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FO\"/>
    </mc:Choice>
  </mc:AlternateContent>
  <xr:revisionPtr revIDLastSave="0" documentId="13_ncr:1_{6C8D1CD0-3153-4AE6-99EC-5BAF34E3232F}" xr6:coauthVersionLast="43" xr6:coauthVersionMax="43" xr10:uidLastSave="{00000000-0000-0000-0000-000000000000}"/>
  <bookViews>
    <workbookView xWindow="4605" yWindow="2115" windowWidth="32520" windowHeight="18705" xr2:uid="{438E6227-0710-4E4F-BE87-C48EAE194A57}"/>
  </bookViews>
  <sheets>
    <sheet name="Summary" sheetId="7" r:id="rId1"/>
    <sheet name="Register" sheetId="3" r:id="rId2"/>
    <sheet name="TAX Report" sheetId="8" r:id="rId3"/>
    <sheet name="Balance" sheetId="6" r:id="rId4"/>
    <sheet name="Rates" sheetId="5" r:id="rId5"/>
    <sheet name="Custom_Tokens_Query" sheetId="11" state="hidden" r:id="rId6"/>
    <sheet name="Setings" sheetId="9" r:id="rId7"/>
  </sheets>
  <definedNames>
    <definedName name="ConvRate">Setings!$E$2</definedName>
    <definedName name="DefCurrency">Setings!$D$2</definedName>
    <definedName name="ExternalData_1" localSheetId="5" hidden="1">Custom_Tokens_Query!$A$1:$I$3</definedName>
    <definedName name="ExternalData_1" localSheetId="4" hidden="1">Rates!$B$2:$K$102</definedName>
    <definedName name="ExternalData_1" localSheetId="6" hidden="1">Setings!$B$4:$D$10</definedName>
    <definedName name="P_End" localSheetId="2">'TAX Report'!$F$3</definedName>
    <definedName name="P_Start" localSheetId="2">'TAX Report'!$E$3</definedName>
    <definedName name="Tax_Rate" localSheetId="2">'TAX Report'!$K$2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9" l="1"/>
  <c r="E5" i="7"/>
  <c r="J5" i="7"/>
  <c r="P5" i="7"/>
  <c r="O5" i="7"/>
  <c r="M4" i="3" l="1"/>
  <c r="M5" i="3"/>
  <c r="K4" i="3"/>
  <c r="K5" i="3"/>
  <c r="K6" i="3"/>
  <c r="K7" i="3"/>
  <c r="K8" i="3"/>
  <c r="K9" i="3"/>
  <c r="K10" i="3"/>
  <c r="K11" i="3"/>
  <c r="K17" i="3"/>
  <c r="K19" i="3"/>
  <c r="K20" i="3"/>
  <c r="K21" i="3"/>
  <c r="K22" i="3"/>
  <c r="K24" i="3"/>
  <c r="K25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B120" i="3" l="1"/>
  <c r="B121" i="3"/>
  <c r="B122" i="3"/>
  <c r="B123" i="3"/>
  <c r="B124" i="3"/>
  <c r="C120" i="3"/>
  <c r="N120" i="3" s="1" a="1"/>
  <c r="N120" i="3" s="1"/>
  <c r="C121" i="3"/>
  <c r="O121" i="3" s="1" a="1"/>
  <c r="O121" i="3" s="1"/>
  <c r="C122" i="3"/>
  <c r="N122" i="3" s="1" a="1"/>
  <c r="N122" i="3" s="1"/>
  <c r="C123" i="3"/>
  <c r="L123" i="3" s="1" a="1"/>
  <c r="L123" i="3" s="1"/>
  <c r="C124" i="3"/>
  <c r="N124" i="3" s="1" a="1"/>
  <c r="N124" i="3" s="1"/>
  <c r="N123" i="3" a="1"/>
  <c r="N123" i="3" s="1"/>
  <c r="O123" i="3" a="1"/>
  <c r="O123" i="3" s="1"/>
  <c r="B111" i="3"/>
  <c r="B112" i="3"/>
  <c r="B113" i="3"/>
  <c r="B114" i="3"/>
  <c r="B115" i="3"/>
  <c r="B116" i="3"/>
  <c r="B117" i="3"/>
  <c r="B118" i="3"/>
  <c r="B119" i="3"/>
  <c r="C111" i="3"/>
  <c r="N111" i="3" s="1" a="1"/>
  <c r="N111" i="3" s="1"/>
  <c r="C112" i="3"/>
  <c r="N112" i="3" s="1" a="1"/>
  <c r="N112" i="3" s="1"/>
  <c r="C113" i="3"/>
  <c r="L113" i="3" s="1" a="1"/>
  <c r="L113" i="3" s="1"/>
  <c r="C114" i="3"/>
  <c r="N114" i="3" s="1" a="1"/>
  <c r="N114" i="3" s="1"/>
  <c r="C115" i="3"/>
  <c r="L115" i="3" s="1" a="1"/>
  <c r="L115" i="3" s="1"/>
  <c r="C116" i="3"/>
  <c r="N116" i="3" s="1" a="1"/>
  <c r="N116" i="3" s="1"/>
  <c r="C117" i="3"/>
  <c r="N117" i="3" s="1" a="1"/>
  <c r="N117" i="3" s="1"/>
  <c r="C118" i="3"/>
  <c r="N118" i="3" s="1" a="1"/>
  <c r="N118" i="3" s="1"/>
  <c r="C119" i="3"/>
  <c r="N119" i="3" s="1" a="1"/>
  <c r="N119" i="3" s="1"/>
  <c r="L94" i="3" a="1"/>
  <c r="L94" i="3" s="1"/>
  <c r="N94" i="3" a="1"/>
  <c r="N94" i="3" s="1"/>
  <c r="O94" i="3" a="1"/>
  <c r="O94" i="3" s="1"/>
  <c r="B102" i="3"/>
  <c r="B103" i="3"/>
  <c r="B104" i="3"/>
  <c r="B105" i="3"/>
  <c r="B106" i="3"/>
  <c r="B107" i="3"/>
  <c r="B108" i="3"/>
  <c r="B109" i="3"/>
  <c r="B110" i="3"/>
  <c r="C102" i="3"/>
  <c r="N102" i="3" s="1" a="1"/>
  <c r="N102" i="3" s="1"/>
  <c r="C103" i="3"/>
  <c r="L103" i="3" s="1" a="1"/>
  <c r="L103" i="3" s="1"/>
  <c r="C104" i="3"/>
  <c r="L104" i="3" s="1" a="1"/>
  <c r="L104" i="3" s="1"/>
  <c r="C105" i="3"/>
  <c r="L105" i="3" s="1" a="1"/>
  <c r="L105" i="3" s="1"/>
  <c r="C106" i="3"/>
  <c r="L106" i="3" s="1" a="1"/>
  <c r="L106" i="3" s="1"/>
  <c r="C107" i="3"/>
  <c r="O107" i="3" s="1" a="1"/>
  <c r="O107" i="3" s="1"/>
  <c r="C108" i="3"/>
  <c r="L108" i="3" s="1" a="1"/>
  <c r="L108" i="3" s="1"/>
  <c r="C109" i="3"/>
  <c r="L109" i="3" s="1" a="1"/>
  <c r="L109" i="3" s="1"/>
  <c r="C110" i="3"/>
  <c r="N110" i="3" s="1" a="1"/>
  <c r="N110" i="3" s="1"/>
  <c r="N106" i="3" a="1"/>
  <c r="N106" i="3" s="1"/>
  <c r="B93" i="3"/>
  <c r="B95" i="3"/>
  <c r="B96" i="3"/>
  <c r="B97" i="3"/>
  <c r="B98" i="3"/>
  <c r="B99" i="3"/>
  <c r="B100" i="3"/>
  <c r="B101" i="3"/>
  <c r="C93" i="3"/>
  <c r="O93" i="3" s="1" a="1"/>
  <c r="O93" i="3" s="1"/>
  <c r="C95" i="3"/>
  <c r="L95" i="3" s="1" a="1"/>
  <c r="L95" i="3" s="1"/>
  <c r="C96" i="3"/>
  <c r="L96" i="3" s="1" a="1"/>
  <c r="L96" i="3" s="1"/>
  <c r="C97" i="3"/>
  <c r="N97" i="3" s="1" a="1"/>
  <c r="N97" i="3" s="1"/>
  <c r="C98" i="3"/>
  <c r="O98" i="3" s="1" a="1"/>
  <c r="O98" i="3" s="1"/>
  <c r="C99" i="3"/>
  <c r="O99" i="3" s="1" a="1"/>
  <c r="O99" i="3" s="1"/>
  <c r="C100" i="3"/>
  <c r="L100" i="3" s="1" a="1"/>
  <c r="L100" i="3" s="1"/>
  <c r="C101" i="3"/>
  <c r="N101" i="3" s="1" a="1"/>
  <c r="N101" i="3" s="1"/>
  <c r="N99" i="3" a="1"/>
  <c r="N99" i="3" s="1"/>
  <c r="B29" i="8"/>
  <c r="B30" i="8"/>
  <c r="B31" i="8"/>
  <c r="B32" i="8"/>
  <c r="B33" i="8"/>
  <c r="B34" i="8"/>
  <c r="B35" i="8"/>
  <c r="B36" i="8"/>
  <c r="B37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6" i="8"/>
  <c r="B7" i="8"/>
  <c r="B8" i="8"/>
  <c r="B9" i="8"/>
  <c r="B10" i="8"/>
  <c r="B11" i="8"/>
  <c r="B12" i="8"/>
  <c r="B13" i="8"/>
  <c r="B14" i="8"/>
  <c r="B15" i="8"/>
  <c r="L99" i="3" l="1" a="1"/>
  <c r="L99" i="3" s="1"/>
  <c r="L102" i="3" a="1"/>
  <c r="L102" i="3" s="1"/>
  <c r="L119" i="3" a="1"/>
  <c r="L119" i="3" s="1"/>
  <c r="O100" i="3" a="1"/>
  <c r="O100" i="3" s="1"/>
  <c r="N96" i="3" a="1"/>
  <c r="N96" i="3" s="1"/>
  <c r="L110" i="3" a="1"/>
  <c r="L110" i="3" s="1"/>
  <c r="O119" i="3" a="1"/>
  <c r="O119" i="3" s="1"/>
  <c r="O96" i="3" a="1"/>
  <c r="O96" i="3" s="1"/>
  <c r="N100" i="3" a="1"/>
  <c r="N100" i="3" s="1"/>
  <c r="O106" i="3" a="1"/>
  <c r="O106" i="3" s="1"/>
  <c r="L93" i="3" a="1"/>
  <c r="L93" i="3" s="1"/>
  <c r="L118" i="3" a="1"/>
  <c r="L118" i="3" s="1"/>
  <c r="O118" i="3" a="1"/>
  <c r="O118" i="3" s="1"/>
  <c r="L114" i="3" a="1"/>
  <c r="L114" i="3" s="1"/>
  <c r="O102" i="3" a="1"/>
  <c r="O102" i="3" s="1"/>
  <c r="O114" i="3" a="1"/>
  <c r="O114" i="3" s="1"/>
  <c r="N121" i="3" a="1"/>
  <c r="N121" i="3" s="1"/>
  <c r="O111" i="3" a="1"/>
  <c r="O111" i="3" s="1"/>
  <c r="L111" i="3" a="1"/>
  <c r="L111" i="3" s="1"/>
  <c r="O124" i="3" a="1"/>
  <c r="O124" i="3" s="1"/>
  <c r="O97" i="3" a="1"/>
  <c r="O97" i="3" s="1"/>
  <c r="O120" i="3" a="1"/>
  <c r="O120" i="3" s="1"/>
  <c r="L122" i="3" a="1"/>
  <c r="L122" i="3" s="1"/>
  <c r="O101" i="3" a="1"/>
  <c r="O101" i="3" s="1"/>
  <c r="O112" i="3" a="1"/>
  <c r="O112" i="3" s="1"/>
  <c r="L121" i="3" a="1"/>
  <c r="L121" i="3" s="1"/>
  <c r="N93" i="3" a="1"/>
  <c r="N93" i="3" s="1"/>
  <c r="L98" i="3" a="1"/>
  <c r="L98" i="3" s="1"/>
  <c r="N98" i="3" a="1"/>
  <c r="N98" i="3" s="1"/>
  <c r="L101" i="3" a="1"/>
  <c r="L101" i="3" s="1"/>
  <c r="L97" i="3" a="1"/>
  <c r="L97" i="3" s="1"/>
  <c r="O116" i="3" a="1"/>
  <c r="O116" i="3" s="1"/>
  <c r="L117" i="3" a="1"/>
  <c r="L117" i="3" s="1"/>
  <c r="O122" i="3" a="1"/>
  <c r="O122" i="3" s="1"/>
  <c r="O115" i="3" a="1"/>
  <c r="O115" i="3" s="1"/>
  <c r="N113" i="3" a="1"/>
  <c r="N113" i="3" s="1"/>
  <c r="O95" i="3" a="1"/>
  <c r="O95" i="3" s="1"/>
  <c r="N95" i="3" a="1"/>
  <c r="N95" i="3" s="1"/>
  <c r="O117" i="3" a="1"/>
  <c r="O117" i="3" s="1"/>
  <c r="L124" i="3" a="1"/>
  <c r="L124" i="3" s="1"/>
  <c r="L120" i="3" a="1"/>
  <c r="L120" i="3" s="1"/>
  <c r="O113" i="3" a="1"/>
  <c r="O113" i="3" s="1"/>
  <c r="N115" i="3" a="1"/>
  <c r="N115" i="3" s="1"/>
  <c r="L116" i="3" a="1"/>
  <c r="L116" i="3" s="1"/>
  <c r="L112" i="3" a="1"/>
  <c r="L112" i="3" s="1"/>
  <c r="O103" i="3" a="1"/>
  <c r="O103" i="3" s="1"/>
  <c r="L107" i="3" a="1"/>
  <c r="L107" i="3" s="1"/>
  <c r="O110" i="3" a="1"/>
  <c r="O110" i="3" s="1"/>
  <c r="N107" i="3" a="1"/>
  <c r="N107" i="3" s="1"/>
  <c r="N103" i="3" a="1"/>
  <c r="N103" i="3" s="1"/>
  <c r="O109" i="3" a="1"/>
  <c r="O109" i="3" s="1"/>
  <c r="O105" i="3" a="1"/>
  <c r="O105" i="3" s="1"/>
  <c r="N105" i="3" a="1"/>
  <c r="N105" i="3" s="1"/>
  <c r="O108" i="3" a="1"/>
  <c r="O108" i="3" s="1"/>
  <c r="O104" i="3" a="1"/>
  <c r="O104" i="3" s="1"/>
  <c r="N109" i="3" a="1"/>
  <c r="N109" i="3" s="1"/>
  <c r="N108" i="3" a="1"/>
  <c r="N108" i="3" s="1"/>
  <c r="N104" i="3" a="1"/>
  <c r="N104" i="3" s="1"/>
  <c r="C75" i="7"/>
  <c r="B37" i="3" l="1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C37" i="3"/>
  <c r="C38" i="3"/>
  <c r="O38" i="3" s="1" a="1"/>
  <c r="O38" i="3" s="1"/>
  <c r="C39" i="3"/>
  <c r="N39" i="3" s="1" a="1"/>
  <c r="N39" i="3" s="1"/>
  <c r="C40" i="3"/>
  <c r="L40" i="3" s="1" a="1"/>
  <c r="L40" i="3" s="1"/>
  <c r="C41" i="3"/>
  <c r="C42" i="3"/>
  <c r="L42" i="3" s="1" a="1"/>
  <c r="L42" i="3" s="1"/>
  <c r="C43" i="3"/>
  <c r="L43" i="3" s="1" a="1"/>
  <c r="L43" i="3" s="1"/>
  <c r="C44" i="3"/>
  <c r="N44" i="3" s="1" a="1"/>
  <c r="N44" i="3" s="1"/>
  <c r="C45" i="3"/>
  <c r="C46" i="3"/>
  <c r="O46" i="3" s="1" a="1"/>
  <c r="O46" i="3" s="1"/>
  <c r="C47" i="3"/>
  <c r="L47" i="3" s="1" a="1"/>
  <c r="L47" i="3" s="1"/>
  <c r="C48" i="3"/>
  <c r="L48" i="3" s="1" a="1"/>
  <c r="L48" i="3" s="1"/>
  <c r="C49" i="3"/>
  <c r="C50" i="3"/>
  <c r="L50" i="3" s="1" a="1"/>
  <c r="L50" i="3" s="1"/>
  <c r="C51" i="3"/>
  <c r="L51" i="3" s="1" a="1"/>
  <c r="L51" i="3" s="1"/>
  <c r="C52" i="3"/>
  <c r="L52" i="3" s="1" a="1"/>
  <c r="L52" i="3" s="1"/>
  <c r="C53" i="3"/>
  <c r="C54" i="3"/>
  <c r="O54" i="3" s="1" a="1"/>
  <c r="O54" i="3" s="1"/>
  <c r="C55" i="3"/>
  <c r="L55" i="3" s="1" a="1"/>
  <c r="L55" i="3" s="1"/>
  <c r="C56" i="3"/>
  <c r="L56" i="3" s="1" a="1"/>
  <c r="L56" i="3" s="1"/>
  <c r="C57" i="3"/>
  <c r="C58" i="3"/>
  <c r="L58" i="3" s="1" a="1"/>
  <c r="L58" i="3" s="1"/>
  <c r="C59" i="3"/>
  <c r="L59" i="3" s="1" a="1"/>
  <c r="L59" i="3" s="1"/>
  <c r="C60" i="3"/>
  <c r="L60" i="3" s="1" a="1"/>
  <c r="L60" i="3" s="1"/>
  <c r="C61" i="3"/>
  <c r="C62" i="3"/>
  <c r="L62" i="3" s="1" a="1"/>
  <c r="L62" i="3" s="1"/>
  <c r="C63" i="3"/>
  <c r="L63" i="3" s="1" a="1"/>
  <c r="L63" i="3" s="1"/>
  <c r="C64" i="3"/>
  <c r="L64" i="3" s="1" a="1"/>
  <c r="L64" i="3" s="1"/>
  <c r="C65" i="3"/>
  <c r="C66" i="3"/>
  <c r="L66" i="3" s="1" a="1"/>
  <c r="L66" i="3" s="1"/>
  <c r="C67" i="3"/>
  <c r="N67" i="3" s="1" a="1"/>
  <c r="N67" i="3" s="1"/>
  <c r="C68" i="3"/>
  <c r="L68" i="3" s="1" a="1"/>
  <c r="L68" i="3" s="1"/>
  <c r="C69" i="3"/>
  <c r="C70" i="3"/>
  <c r="L70" i="3" s="1" a="1"/>
  <c r="L70" i="3" s="1"/>
  <c r="C71" i="3"/>
  <c r="L71" i="3" s="1" a="1"/>
  <c r="L71" i="3" s="1"/>
  <c r="C72" i="3"/>
  <c r="L72" i="3" s="1" a="1"/>
  <c r="L72" i="3" s="1"/>
  <c r="C73" i="3"/>
  <c r="C74" i="3"/>
  <c r="L74" i="3" s="1" a="1"/>
  <c r="L74" i="3" s="1"/>
  <c r="C75" i="3"/>
  <c r="L75" i="3" s="1" a="1"/>
  <c r="L75" i="3" s="1"/>
  <c r="C76" i="3"/>
  <c r="L76" i="3" s="1" a="1"/>
  <c r="L76" i="3" s="1"/>
  <c r="C77" i="3"/>
  <c r="C78" i="3"/>
  <c r="L78" i="3" s="1" a="1"/>
  <c r="L78" i="3" s="1"/>
  <c r="C79" i="3"/>
  <c r="L79" i="3" s="1" a="1"/>
  <c r="L79" i="3" s="1"/>
  <c r="C80" i="3"/>
  <c r="L80" i="3" s="1" a="1"/>
  <c r="L80" i="3" s="1"/>
  <c r="C81" i="3"/>
  <c r="C82" i="3"/>
  <c r="L82" i="3" s="1" a="1"/>
  <c r="L82" i="3" s="1"/>
  <c r="C83" i="3"/>
  <c r="N83" i="3" s="1" a="1"/>
  <c r="N83" i="3" s="1"/>
  <c r="C84" i="3"/>
  <c r="L84" i="3" s="1" a="1"/>
  <c r="L84" i="3" s="1"/>
  <c r="C85" i="3"/>
  <c r="C86" i="3"/>
  <c r="L86" i="3" s="1" a="1"/>
  <c r="L86" i="3" s="1"/>
  <c r="C87" i="3"/>
  <c r="N87" i="3" s="1" a="1"/>
  <c r="N87" i="3" s="1"/>
  <c r="C88" i="3"/>
  <c r="L88" i="3" s="1" a="1"/>
  <c r="L88" i="3" s="1"/>
  <c r="C89" i="3"/>
  <c r="C90" i="3"/>
  <c r="L90" i="3" s="1" a="1"/>
  <c r="L90" i="3" s="1"/>
  <c r="C91" i="3"/>
  <c r="L91" i="3" s="1" a="1"/>
  <c r="L91" i="3" s="1"/>
  <c r="C92" i="3"/>
  <c r="L92" i="3" s="1" a="1"/>
  <c r="L92" i="3" s="1"/>
  <c r="L37" i="3" a="1"/>
  <c r="L37" i="3" s="1"/>
  <c r="L38" i="3" a="1"/>
  <c r="L38" i="3" s="1"/>
  <c r="L39" i="3" a="1"/>
  <c r="L39" i="3" s="1"/>
  <c r="L41" i="3" a="1"/>
  <c r="L41" i="3" s="1"/>
  <c r="L45" i="3" a="1"/>
  <c r="L45" i="3" s="1"/>
  <c r="L46" i="3" a="1"/>
  <c r="L46" i="3" s="1"/>
  <c r="L49" i="3" a="1"/>
  <c r="L49" i="3" s="1"/>
  <c r="L53" i="3" a="1"/>
  <c r="L53" i="3" s="1"/>
  <c r="L57" i="3" a="1"/>
  <c r="L57" i="3" s="1"/>
  <c r="L61" i="3" a="1"/>
  <c r="L61" i="3" s="1"/>
  <c r="L65" i="3" a="1"/>
  <c r="L65" i="3" s="1"/>
  <c r="L69" i="3" a="1"/>
  <c r="L69" i="3" s="1"/>
  <c r="L73" i="3" a="1"/>
  <c r="L73" i="3" s="1"/>
  <c r="L77" i="3" a="1"/>
  <c r="L77" i="3" s="1"/>
  <c r="L81" i="3" a="1"/>
  <c r="L81" i="3" s="1"/>
  <c r="L85" i="3" a="1"/>
  <c r="L85" i="3" s="1"/>
  <c r="L89" i="3" a="1"/>
  <c r="L89" i="3" s="1"/>
  <c r="N37" i="3" a="1"/>
  <c r="N37" i="3" s="1"/>
  <c r="N38" i="3" a="1"/>
  <c r="N38" i="3" s="1"/>
  <c r="N41" i="3" a="1"/>
  <c r="N41" i="3" s="1"/>
  <c r="N45" i="3" a="1"/>
  <c r="N45" i="3" s="1"/>
  <c r="N46" i="3" a="1"/>
  <c r="N46" i="3" s="1"/>
  <c r="N49" i="3" a="1"/>
  <c r="N49" i="3" s="1"/>
  <c r="N53" i="3" a="1"/>
  <c r="N53" i="3" s="1"/>
  <c r="N57" i="3" a="1"/>
  <c r="N57" i="3" s="1"/>
  <c r="N61" i="3" a="1"/>
  <c r="N61" i="3" s="1"/>
  <c r="N62" i="3" a="1"/>
  <c r="N62" i="3" s="1"/>
  <c r="N65" i="3" a="1"/>
  <c r="N65" i="3" s="1"/>
  <c r="N69" i="3" a="1"/>
  <c r="N69" i="3" s="1"/>
  <c r="N70" i="3" a="1"/>
  <c r="N70" i="3" s="1"/>
  <c r="N73" i="3" a="1"/>
  <c r="N73" i="3" s="1"/>
  <c r="N77" i="3" a="1"/>
  <c r="N77" i="3" s="1"/>
  <c r="N81" i="3" a="1"/>
  <c r="N81" i="3" s="1"/>
  <c r="N85" i="3" a="1"/>
  <c r="N85" i="3" s="1"/>
  <c r="N89" i="3" a="1"/>
  <c r="N89" i="3" s="1"/>
  <c r="O37" i="3" a="1"/>
  <c r="O37" i="3" s="1"/>
  <c r="O41" i="3" a="1"/>
  <c r="O41" i="3" s="1"/>
  <c r="O45" i="3" a="1"/>
  <c r="O45" i="3" s="1"/>
  <c r="O49" i="3" a="1"/>
  <c r="O49" i="3" s="1"/>
  <c r="O53" i="3" a="1"/>
  <c r="O53" i="3" s="1"/>
  <c r="O57" i="3" a="1"/>
  <c r="O57" i="3" s="1"/>
  <c r="O61" i="3" a="1"/>
  <c r="O61" i="3" s="1"/>
  <c r="O65" i="3" a="1"/>
  <c r="O65" i="3" s="1"/>
  <c r="O69" i="3" a="1"/>
  <c r="O69" i="3" s="1"/>
  <c r="O73" i="3" a="1"/>
  <c r="O73" i="3" s="1"/>
  <c r="O74" i="3" a="1"/>
  <c r="O74" i="3" s="1"/>
  <c r="O77" i="3" a="1"/>
  <c r="O77" i="3" s="1"/>
  <c r="O78" i="3" a="1"/>
  <c r="O78" i="3" s="1"/>
  <c r="O81" i="3" a="1"/>
  <c r="O81" i="3" s="1"/>
  <c r="O85" i="3" a="1"/>
  <c r="O85" i="3" s="1"/>
  <c r="O89" i="3" a="1"/>
  <c r="O89" i="3" s="1"/>
  <c r="O50" i="3" l="1" a="1"/>
  <c r="O50" i="3" s="1"/>
  <c r="N78" i="3" a="1"/>
  <c r="N78" i="3" s="1"/>
  <c r="O58" i="3" a="1"/>
  <c r="O58" i="3" s="1"/>
  <c r="N54" i="3" a="1"/>
  <c r="N54" i="3" s="1"/>
  <c r="O42" i="3" a="1"/>
  <c r="O42" i="3" s="1"/>
  <c r="N74" i="3" a="1"/>
  <c r="N74" i="3" s="1"/>
  <c r="N66" i="3" a="1"/>
  <c r="N66" i="3" s="1"/>
  <c r="N58" i="3" a="1"/>
  <c r="N58" i="3" s="1"/>
  <c r="N50" i="3" a="1"/>
  <c r="N50" i="3" s="1"/>
  <c r="N42" i="3" a="1"/>
  <c r="N42" i="3" s="1"/>
  <c r="O86" i="3" a="1"/>
  <c r="O86" i="3" s="1"/>
  <c r="N86" i="3" a="1"/>
  <c r="N86" i="3" s="1"/>
  <c r="N82" i="3" a="1"/>
  <c r="N82" i="3" s="1"/>
  <c r="O90" i="3" a="1"/>
  <c r="O90" i="3" s="1"/>
  <c r="O82" i="3" a="1"/>
  <c r="O82" i="3" s="1"/>
  <c r="O75" i="3" a="1"/>
  <c r="O75" i="3" s="1"/>
  <c r="O66" i="3" a="1"/>
  <c r="O66" i="3" s="1"/>
  <c r="L54" i="3" a="1"/>
  <c r="L54" i="3" s="1"/>
  <c r="O70" i="3" a="1"/>
  <c r="O70" i="3" s="1"/>
  <c r="O62" i="3" a="1"/>
  <c r="O62" i="3" s="1"/>
  <c r="N90" i="3" a="1"/>
  <c r="N90" i="3" s="1"/>
  <c r="O43" i="3" a="1"/>
  <c r="O43" i="3" s="1"/>
  <c r="O63" i="3" a="1"/>
  <c r="O63" i="3" s="1"/>
  <c r="L87" i="3" a="1"/>
  <c r="L87" i="3" s="1"/>
  <c r="O79" i="3" a="1"/>
  <c r="O79" i="3" s="1"/>
  <c r="O47" i="3" a="1"/>
  <c r="O47" i="3" s="1"/>
  <c r="O91" i="3" a="1"/>
  <c r="O91" i="3" s="1"/>
  <c r="O59" i="3" a="1"/>
  <c r="O59" i="3" s="1"/>
  <c r="N68" i="3" a="1"/>
  <c r="N68" i="3" s="1"/>
  <c r="N52" i="3" a="1"/>
  <c r="N52" i="3" s="1"/>
  <c r="N84" i="3" a="1"/>
  <c r="N84" i="3" s="1"/>
  <c r="N72" i="3" a="1"/>
  <c r="N72" i="3" s="1"/>
  <c r="N56" i="3" a="1"/>
  <c r="N56" i="3" s="1"/>
  <c r="N88" i="3" a="1"/>
  <c r="N88" i="3" s="1"/>
  <c r="N92" i="3" a="1"/>
  <c r="N92" i="3" s="1"/>
  <c r="N76" i="3" a="1"/>
  <c r="N76" i="3" s="1"/>
  <c r="N60" i="3" a="1"/>
  <c r="N60" i="3" s="1"/>
  <c r="N80" i="3" a="1"/>
  <c r="N80" i="3" s="1"/>
  <c r="N64" i="3" a="1"/>
  <c r="N64" i="3" s="1"/>
  <c r="N48" i="3" a="1"/>
  <c r="N48" i="3" s="1"/>
  <c r="L83" i="3" a="1"/>
  <c r="L83" i="3" s="1"/>
  <c r="N43" i="3" a="1"/>
  <c r="N43" i="3" s="1"/>
  <c r="L67" i="3" a="1"/>
  <c r="L67" i="3" s="1"/>
  <c r="O83" i="3" a="1"/>
  <c r="O83" i="3" s="1"/>
  <c r="O67" i="3" a="1"/>
  <c r="O67" i="3" s="1"/>
  <c r="O51" i="3" a="1"/>
  <c r="O51" i="3" s="1"/>
  <c r="O87" i="3" a="1"/>
  <c r="O87" i="3" s="1"/>
  <c r="O71" i="3" a="1"/>
  <c r="O71" i="3" s="1"/>
  <c r="O55" i="3" a="1"/>
  <c r="O55" i="3" s="1"/>
  <c r="O39" i="3" a="1"/>
  <c r="O39" i="3" s="1"/>
  <c r="N91" i="3" a="1"/>
  <c r="N91" i="3" s="1"/>
  <c r="N79" i="3" a="1"/>
  <c r="N79" i="3" s="1"/>
  <c r="N75" i="3" a="1"/>
  <c r="N75" i="3" s="1"/>
  <c r="N71" i="3" a="1"/>
  <c r="N71" i="3" s="1"/>
  <c r="N63" i="3" a="1"/>
  <c r="N63" i="3" s="1"/>
  <c r="N59" i="3" a="1"/>
  <c r="N59" i="3" s="1"/>
  <c r="N55" i="3" a="1"/>
  <c r="N55" i="3" s="1"/>
  <c r="N51" i="3" a="1"/>
  <c r="N51" i="3" s="1"/>
  <c r="N47" i="3" a="1"/>
  <c r="N47" i="3" s="1"/>
  <c r="O92" i="3" a="1"/>
  <c r="O92" i="3" s="1"/>
  <c r="O76" i="3" a="1"/>
  <c r="O76" i="3" s="1"/>
  <c r="O60" i="3" a="1"/>
  <c r="O60" i="3" s="1"/>
  <c r="O48" i="3" a="1"/>
  <c r="O48" i="3" s="1"/>
  <c r="O44" i="3" a="1"/>
  <c r="O44" i="3" s="1"/>
  <c r="O84" i="3" a="1"/>
  <c r="O84" i="3" s="1"/>
  <c r="O72" i="3" a="1"/>
  <c r="O72" i="3" s="1"/>
  <c r="O64" i="3" a="1"/>
  <c r="O64" i="3" s="1"/>
  <c r="O56" i="3" a="1"/>
  <c r="O56" i="3" s="1"/>
  <c r="O88" i="3" a="1"/>
  <c r="O88" i="3" s="1"/>
  <c r="O80" i="3" a="1"/>
  <c r="O80" i="3" s="1"/>
  <c r="O68" i="3" a="1"/>
  <c r="O68" i="3" s="1"/>
  <c r="O52" i="3" a="1"/>
  <c r="O52" i="3" s="1"/>
  <c r="L44" i="3" a="1"/>
  <c r="L44" i="3" s="1"/>
  <c r="O40" i="3" a="1"/>
  <c r="O40" i="3" s="1"/>
  <c r="N40" i="3" a="1"/>
  <c r="N40" i="3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E3" i="6" l="1"/>
  <c r="E5" i="6"/>
  <c r="E6" i="6"/>
  <c r="E7" i="6"/>
  <c r="E8" i="6"/>
  <c r="E9" i="6"/>
  <c r="E4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D3" i="6"/>
  <c r="D5" i="6"/>
  <c r="D6" i="6"/>
  <c r="D7" i="6"/>
  <c r="D8" i="6"/>
  <c r="D9" i="6"/>
  <c r="D4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C3" i="6"/>
  <c r="C5" i="6"/>
  <c r="G5" i="6" s="1"/>
  <c r="C6" i="6"/>
  <c r="G6" i="6" s="1"/>
  <c r="C7" i="6"/>
  <c r="G7" i="6" s="1"/>
  <c r="C8" i="6"/>
  <c r="G8" i="6" s="1"/>
  <c r="C9" i="6"/>
  <c r="C4" i="6"/>
  <c r="C10" i="6"/>
  <c r="G10" i="6" s="1"/>
  <c r="C11" i="6"/>
  <c r="G11" i="6" s="1"/>
  <c r="C12" i="6"/>
  <c r="G12" i="6" s="1"/>
  <c r="C13" i="6"/>
  <c r="G13" i="6" s="1"/>
  <c r="C14" i="6"/>
  <c r="G14" i="6" s="1"/>
  <c r="C15" i="6"/>
  <c r="G15" i="6" s="1"/>
  <c r="C16" i="6"/>
  <c r="G16" i="6" s="1"/>
  <c r="C17" i="6"/>
  <c r="G17" i="6" s="1"/>
  <c r="C18" i="6"/>
  <c r="G18" i="6" s="1"/>
  <c r="C19" i="6"/>
  <c r="G19" i="6" s="1"/>
  <c r="C20" i="6"/>
  <c r="G20" i="6" s="1"/>
  <c r="C21" i="6"/>
  <c r="G21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33" i="6"/>
  <c r="G33" i="6" s="1"/>
  <c r="C34" i="6"/>
  <c r="G34" i="6" s="1"/>
  <c r="C35" i="6"/>
  <c r="G35" i="6" s="1"/>
  <c r="C36" i="6"/>
  <c r="G36" i="6" s="1"/>
  <c r="C37" i="6"/>
  <c r="G37" i="6" s="1"/>
  <c r="C38" i="6"/>
  <c r="G38" i="6" s="1"/>
  <c r="C39" i="6"/>
  <c r="G39" i="6" s="1"/>
  <c r="C40" i="6"/>
  <c r="G40" i="6" s="1"/>
  <c r="C41" i="6"/>
  <c r="G41" i="6" s="1"/>
  <c r="C42" i="6"/>
  <c r="G42" i="6" s="1"/>
  <c r="C43" i="6"/>
  <c r="G43" i="6" s="1"/>
  <c r="C44" i="6"/>
  <c r="G44" i="6" s="1"/>
  <c r="C45" i="6"/>
  <c r="G45" i="6" s="1"/>
  <c r="C46" i="6"/>
  <c r="G46" i="6" s="1"/>
  <c r="C47" i="6"/>
  <c r="G47" i="6" s="1"/>
  <c r="C48" i="6"/>
  <c r="G48" i="6" s="1"/>
  <c r="C49" i="6"/>
  <c r="G49" i="6" s="1"/>
  <c r="C50" i="6"/>
  <c r="G50" i="6" s="1"/>
  <c r="C51" i="6"/>
  <c r="G51" i="6" s="1"/>
  <c r="C52" i="6"/>
  <c r="G52" i="6" s="1"/>
  <c r="C53" i="6"/>
  <c r="G53" i="6" s="1"/>
  <c r="C54" i="6"/>
  <c r="G54" i="6" s="1"/>
  <c r="C55" i="6"/>
  <c r="G55" i="6" s="1"/>
  <c r="C56" i="6"/>
  <c r="G56" i="6" s="1"/>
  <c r="C57" i="6"/>
  <c r="G57" i="6" s="1"/>
  <c r="C58" i="6"/>
  <c r="G58" i="6" s="1"/>
  <c r="C59" i="6"/>
  <c r="G59" i="6" s="1"/>
  <c r="C60" i="6"/>
  <c r="G60" i="6" s="1"/>
  <c r="C61" i="6"/>
  <c r="G61" i="6" s="1"/>
  <c r="C62" i="6"/>
  <c r="G62" i="6" s="1"/>
  <c r="C63" i="6"/>
  <c r="G63" i="6" s="1"/>
  <c r="C64" i="6"/>
  <c r="G64" i="6" s="1"/>
  <c r="C65" i="6"/>
  <c r="G65" i="6" s="1"/>
  <c r="C66" i="6"/>
  <c r="G66" i="6" s="1"/>
  <c r="C67" i="6"/>
  <c r="G67" i="6" s="1"/>
  <c r="C68" i="6"/>
  <c r="G68" i="6" s="1"/>
  <c r="C69" i="6"/>
  <c r="G69" i="6" s="1"/>
  <c r="C70" i="6"/>
  <c r="G70" i="6" s="1"/>
  <c r="C71" i="6"/>
  <c r="G71" i="6" s="1"/>
  <c r="C72" i="6"/>
  <c r="G72" i="6" s="1"/>
  <c r="C73" i="6"/>
  <c r="G73" i="6" s="1"/>
  <c r="C74" i="6"/>
  <c r="G74" i="6" s="1"/>
  <c r="C75" i="6"/>
  <c r="G75" i="6" s="1"/>
  <c r="C76" i="6"/>
  <c r="G76" i="6" s="1"/>
  <c r="C77" i="6"/>
  <c r="G77" i="6" s="1"/>
  <c r="C78" i="6"/>
  <c r="G78" i="6" s="1"/>
  <c r="C79" i="6"/>
  <c r="G79" i="6" s="1"/>
  <c r="C80" i="6"/>
  <c r="G80" i="6" s="1"/>
  <c r="C81" i="6"/>
  <c r="G81" i="6" s="1"/>
  <c r="C82" i="6"/>
  <c r="G82" i="6" s="1"/>
  <c r="C83" i="6"/>
  <c r="G83" i="6" s="1"/>
  <c r="C84" i="6"/>
  <c r="G84" i="6" s="1"/>
  <c r="C85" i="6"/>
  <c r="G85" i="6" s="1"/>
  <c r="C86" i="6"/>
  <c r="G86" i="6" s="1"/>
  <c r="C87" i="6"/>
  <c r="G87" i="6" s="1"/>
  <c r="C88" i="6"/>
  <c r="G88" i="6" s="1"/>
  <c r="C89" i="6"/>
  <c r="G89" i="6" s="1"/>
  <c r="C90" i="6"/>
  <c r="G90" i="6" s="1"/>
  <c r="C91" i="6"/>
  <c r="G91" i="6" s="1"/>
  <c r="C92" i="6"/>
  <c r="G92" i="6" s="1"/>
  <c r="C93" i="6"/>
  <c r="G93" i="6" s="1"/>
  <c r="C94" i="6"/>
  <c r="G94" i="6" s="1"/>
  <c r="C95" i="6"/>
  <c r="G95" i="6" s="1"/>
  <c r="C96" i="6"/>
  <c r="G96" i="6" s="1"/>
  <c r="C97" i="6"/>
  <c r="G97" i="6" s="1"/>
  <c r="C98" i="6"/>
  <c r="G98" i="6" s="1"/>
  <c r="C99" i="6"/>
  <c r="G99" i="6" s="1"/>
  <c r="C100" i="6"/>
  <c r="G100" i="6" s="1"/>
  <c r="C101" i="6"/>
  <c r="G101" i="6" s="1"/>
  <c r="C102" i="6"/>
  <c r="G102" i="6" s="1"/>
  <c r="I10" i="7" l="1"/>
  <c r="D10" i="7"/>
  <c r="N10" i="7"/>
  <c r="G9" i="6"/>
  <c r="G4" i="6"/>
  <c r="G3" i="6"/>
  <c r="J10" i="7" l="1"/>
  <c r="P10" i="7"/>
  <c r="J8" i="7"/>
  <c r="H8" i="7" s="1"/>
  <c r="I8" i="7" s="1"/>
  <c r="J7" i="7"/>
  <c r="H7" i="7" s="1"/>
  <c r="I7" i="7" s="1"/>
  <c r="J6" i="7"/>
  <c r="H6" i="7" s="1"/>
  <c r="C32" i="3"/>
  <c r="C33" i="3"/>
  <c r="C34" i="3"/>
  <c r="C35" i="3"/>
  <c r="C36" i="3"/>
  <c r="B32" i="3"/>
  <c r="B33" i="3"/>
  <c r="B34" i="3"/>
  <c r="B35" i="3"/>
  <c r="B36" i="3"/>
  <c r="J9" i="7" l="1"/>
  <c r="O35" i="3" a="1"/>
  <c r="O35" i="3" s="1"/>
  <c r="O36" i="3" a="1"/>
  <c r="O36" i="3" s="1"/>
  <c r="N36" i="3" a="1"/>
  <c r="N36" i="3" s="1"/>
  <c r="N35" i="3" a="1"/>
  <c r="N35" i="3" s="1"/>
  <c r="L35" i="3" a="1"/>
  <c r="L35" i="3" s="1"/>
  <c r="N34" i="3" a="1"/>
  <c r="N34" i="3" s="1"/>
  <c r="L34" i="3" a="1"/>
  <c r="L34" i="3" s="1"/>
  <c r="O34" i="3" a="1"/>
  <c r="O34" i="3" s="1"/>
  <c r="L36" i="3" a="1"/>
  <c r="L36" i="3" s="1"/>
  <c r="O32" i="3" a="1"/>
  <c r="O32" i="3" s="1"/>
  <c r="N32" i="3" a="1"/>
  <c r="N32" i="3" s="1"/>
  <c r="L33" i="3" a="1"/>
  <c r="L33" i="3" s="1"/>
  <c r="O33" i="3" a="1"/>
  <c r="O33" i="3" s="1"/>
  <c r="L32" i="3" a="1"/>
  <c r="L32" i="3" s="1"/>
  <c r="N33" i="3" a="1"/>
  <c r="N33" i="3" s="1"/>
  <c r="C25" i="3"/>
  <c r="C26" i="3"/>
  <c r="C27" i="3"/>
  <c r="C28" i="3"/>
  <c r="C29" i="3"/>
  <c r="C30" i="3"/>
  <c r="C31" i="3"/>
  <c r="B25" i="3"/>
  <c r="B26" i="3"/>
  <c r="B27" i="3"/>
  <c r="B28" i="3"/>
  <c r="B29" i="3"/>
  <c r="B30" i="3"/>
  <c r="B31" i="3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4" i="3"/>
  <c r="L22" i="3" l="1" a="1"/>
  <c r="L22" i="3" s="1"/>
  <c r="O22" i="3" a="1"/>
  <c r="O22" i="3" s="1"/>
  <c r="N22" i="3" s="1" a="1"/>
  <c r="N22" i="3" s="1"/>
  <c r="N30" i="3" a="1"/>
  <c r="N30" i="3" s="1"/>
  <c r="L30" i="3" a="1"/>
  <c r="L30" i="3" s="1"/>
  <c r="O30" i="3" a="1"/>
  <c r="O30" i="3" s="1"/>
  <c r="L26" i="3" a="1"/>
  <c r="L26" i="3" s="1"/>
  <c r="O26" i="3" a="1"/>
  <c r="O26" i="3" s="1"/>
  <c r="N26" i="3" s="1" a="1"/>
  <c r="N26" i="3" s="1"/>
  <c r="L21" i="3" a="1"/>
  <c r="L21" i="3" s="1"/>
  <c r="O21" i="3" a="1"/>
  <c r="O21" i="3" s="1"/>
  <c r="N21" i="3" s="1" a="1"/>
  <c r="N21" i="3" s="1"/>
  <c r="L29" i="3" a="1"/>
  <c r="L29" i="3" s="1"/>
  <c r="O29" i="3" a="1"/>
  <c r="O29" i="3" s="1"/>
  <c r="N29" i="3" a="1"/>
  <c r="N29" i="3" s="1"/>
  <c r="L25" i="3" a="1"/>
  <c r="L25" i="3" s="1"/>
  <c r="O25" i="3" a="1"/>
  <c r="O25" i="3" s="1"/>
  <c r="N25" i="3" s="1" a="1"/>
  <c r="N25" i="3" s="1"/>
  <c r="O24" i="3" a="1"/>
  <c r="O24" i="3" s="1"/>
  <c r="N24" i="3" s="1" a="1"/>
  <c r="N24" i="3" s="1"/>
  <c r="L24" i="3" a="1"/>
  <c r="L24" i="3" s="1"/>
  <c r="O20" i="3" a="1"/>
  <c r="O20" i="3" s="1"/>
  <c r="N20" i="3" s="1" a="1"/>
  <c r="N20" i="3" s="1"/>
  <c r="L20" i="3" a="1"/>
  <c r="L20" i="3" s="1"/>
  <c r="O28" i="3" a="1"/>
  <c r="O28" i="3" s="1"/>
  <c r="N28" i="3" a="1"/>
  <c r="N28" i="3" s="1"/>
  <c r="L28" i="3" a="1"/>
  <c r="L28" i="3" s="1"/>
  <c r="L18" i="3" a="1"/>
  <c r="L18" i="3" s="1"/>
  <c r="O18" i="3" a="1"/>
  <c r="O18" i="3" s="1"/>
  <c r="N18" i="3" s="1" a="1"/>
  <c r="N18" i="3" s="1"/>
  <c r="L23" i="3" a="1"/>
  <c r="L23" i="3" s="1"/>
  <c r="O23" i="3" a="1"/>
  <c r="O23" i="3" s="1"/>
  <c r="N23" i="3" s="1" a="1"/>
  <c r="N23" i="3" s="1"/>
  <c r="L19" i="3" a="1"/>
  <c r="L19" i="3" s="1"/>
  <c r="O19" i="3" a="1"/>
  <c r="O19" i="3" s="1"/>
  <c r="N19" i="3" s="1" a="1"/>
  <c r="N19" i="3" s="1"/>
  <c r="N31" i="3" a="1"/>
  <c r="N31" i="3" s="1"/>
  <c r="L31" i="3" a="1"/>
  <c r="L31" i="3" s="1"/>
  <c r="O31" i="3" a="1"/>
  <c r="O31" i="3" s="1"/>
  <c r="N27" i="3" a="1"/>
  <c r="N27" i="3" s="1"/>
  <c r="L27" i="3" a="1"/>
  <c r="L27" i="3" s="1"/>
  <c r="O27" i="3" a="1"/>
  <c r="O27" i="3" s="1"/>
  <c r="C4" i="3"/>
  <c r="O4" i="3" l="1" a="1"/>
  <c r="O4" i="3" s="1"/>
  <c r="N4" i="3" s="1" a="1"/>
  <c r="N4" i="3" s="1"/>
  <c r="I4" i="3" s="1" a="1"/>
  <c r="I4" i="3" s="1"/>
  <c r="L4" i="3" a="1"/>
  <c r="L4" i="3" s="1"/>
  <c r="B5" i="3"/>
  <c r="B6" i="3"/>
  <c r="B7" i="3"/>
  <c r="B8" i="3"/>
  <c r="B9" i="3"/>
  <c r="B10" i="3"/>
  <c r="B11" i="3"/>
  <c r="B12" i="3"/>
  <c r="B13" i="3"/>
  <c r="B14" i="3"/>
  <c r="B15" i="3"/>
  <c r="C15" i="3" s="1"/>
  <c r="B16" i="3"/>
  <c r="C16" i="3" s="1"/>
  <c r="B17" i="3"/>
  <c r="C17" i="3" s="1"/>
  <c r="J4" i="3" l="1"/>
  <c r="L17" i="3" a="1"/>
  <c r="L17" i="3" s="1"/>
  <c r="O17" i="3" a="1"/>
  <c r="O17" i="3" s="1"/>
  <c r="N17" i="3" s="1" a="1"/>
  <c r="N17" i="3" s="1"/>
  <c r="O16" i="3" a="1"/>
  <c r="O16" i="3" s="1"/>
  <c r="N16" i="3" s="1" a="1"/>
  <c r="N16" i="3" s="1"/>
  <c r="L16" i="3" a="1"/>
  <c r="L16" i="3" s="1"/>
  <c r="L15" i="3" a="1"/>
  <c r="L15" i="3" s="1"/>
  <c r="O15" i="3" a="1"/>
  <c r="O15" i="3" s="1"/>
  <c r="N15" i="3" s="1" a="1"/>
  <c r="N15" i="3" s="1"/>
  <c r="C10" i="3"/>
  <c r="C6" i="3"/>
  <c r="C13" i="3"/>
  <c r="C9" i="3"/>
  <c r="C5" i="3"/>
  <c r="C8" i="3"/>
  <c r="C14" i="3"/>
  <c r="C12" i="3"/>
  <c r="C11" i="3"/>
  <c r="C7" i="3"/>
  <c r="O12" i="3" l="1" a="1"/>
  <c r="O12" i="3" s="1"/>
  <c r="N12" i="3" s="1" a="1"/>
  <c r="N12" i="3" s="1"/>
  <c r="L12" i="3" a="1"/>
  <c r="L12" i="3" s="1"/>
  <c r="O8" i="3" a="1"/>
  <c r="O8" i="3" s="1"/>
  <c r="N8" i="3" s="1" a="1"/>
  <c r="N8" i="3" s="1"/>
  <c r="L8" i="3" a="1"/>
  <c r="L8" i="3" s="1"/>
  <c r="L9" i="3" a="1"/>
  <c r="L9" i="3" s="1"/>
  <c r="O9" i="3" a="1"/>
  <c r="O9" i="3" s="1"/>
  <c r="N9" i="3" s="1" a="1"/>
  <c r="N9" i="3" s="1"/>
  <c r="L6" i="3" a="1"/>
  <c r="L6" i="3" s="1"/>
  <c r="O6" i="3" a="1"/>
  <c r="O6" i="3" s="1"/>
  <c r="N6" i="3" s="1" a="1"/>
  <c r="N6" i="3" s="1"/>
  <c r="L7" i="3" a="1"/>
  <c r="L7" i="3" s="1"/>
  <c r="O7" i="3" a="1"/>
  <c r="O7" i="3" s="1"/>
  <c r="N7" i="3" s="1" a="1"/>
  <c r="N7" i="3" s="1"/>
  <c r="L11" i="3" a="1"/>
  <c r="L11" i="3" s="1"/>
  <c r="O11" i="3" a="1"/>
  <c r="O11" i="3" s="1"/>
  <c r="N11" i="3" s="1" a="1"/>
  <c r="N11" i="3" s="1"/>
  <c r="L14" i="3" a="1"/>
  <c r="L14" i="3" s="1"/>
  <c r="O14" i="3" a="1"/>
  <c r="O14" i="3" s="1"/>
  <c r="N14" i="3" s="1" a="1"/>
  <c r="N14" i="3" s="1"/>
  <c r="L5" i="3" a="1"/>
  <c r="L5" i="3" s="1"/>
  <c r="O5" i="3" a="1"/>
  <c r="O5" i="3" s="1"/>
  <c r="N5" i="3" s="1" a="1"/>
  <c r="N5" i="3" s="1"/>
  <c r="I5" i="3" s="1" a="1"/>
  <c r="I5" i="3" s="1"/>
  <c r="L13" i="3" a="1"/>
  <c r="L13" i="3" s="1"/>
  <c r="O13" i="3" a="1"/>
  <c r="O13" i="3" s="1"/>
  <c r="N13" i="3" s="1" a="1"/>
  <c r="N13" i="3" s="1"/>
  <c r="L10" i="3" a="1"/>
  <c r="L10" i="3" s="1"/>
  <c r="O10" i="3" a="1"/>
  <c r="O10" i="3" s="1"/>
  <c r="N10" i="3" s="1" a="1"/>
  <c r="N10" i="3" s="1"/>
  <c r="J5" i="3" l="1"/>
  <c r="I6" i="3" s="1" a="1"/>
  <c r="I6" i="3" s="1"/>
  <c r="J6" i="3" l="1"/>
  <c r="I7" i="3" s="1" a="1"/>
  <c r="I7" i="3" s="1"/>
  <c r="J7" i="3" l="1"/>
  <c r="I8" i="3" s="1" a="1"/>
  <c r="I8" i="3" s="1"/>
  <c r="J8" i="3" s="1"/>
  <c r="I9" i="3" l="1" a="1"/>
  <c r="I9" i="3" s="1"/>
  <c r="J9" i="3" s="1"/>
  <c r="I10" i="3" l="1" a="1"/>
  <c r="I10" i="3" s="1"/>
  <c r="J10" i="3" s="1"/>
  <c r="I11" i="3" l="1" a="1"/>
  <c r="I11" i="3" s="1"/>
  <c r="J11" i="3" s="1"/>
  <c r="I12" i="3" l="1" a="1"/>
  <c r="I12" i="3" s="1"/>
  <c r="J12" i="3" s="1"/>
  <c r="K12" i="3" s="1"/>
  <c r="I13" i="3" l="1" a="1"/>
  <c r="I13" i="3" s="1"/>
  <c r="J13" i="3" s="1"/>
  <c r="K13" i="3" s="1"/>
  <c r="I14" i="3" l="1" a="1"/>
  <c r="I14" i="3" s="1"/>
  <c r="J14" i="3" s="1"/>
  <c r="K14" i="3" s="1"/>
  <c r="I15" i="3" l="1" a="1"/>
  <c r="I15" i="3" s="1"/>
  <c r="J15" i="3" s="1"/>
  <c r="K15" i="3" s="1"/>
  <c r="I16" i="3" l="1" a="1"/>
  <c r="I16" i="3" s="1"/>
  <c r="J16" i="3" s="1"/>
  <c r="K16" i="3" s="1"/>
  <c r="I17" i="3" l="1" a="1"/>
  <c r="I17" i="3" s="1"/>
  <c r="J17" i="3" s="1"/>
  <c r="I18" i="3" s="1" a="1"/>
  <c r="I18" i="3" s="1"/>
  <c r="J18" i="3" s="1"/>
  <c r="K18" i="3" s="1"/>
  <c r="I19" i="3" l="1" a="1"/>
  <c r="I19" i="3" s="1"/>
  <c r="J19" i="3" s="1"/>
  <c r="I20" i="3" l="1" a="1"/>
  <c r="I20" i="3" s="1"/>
  <c r="J20" i="3" s="1"/>
  <c r="I21" i="3" s="1" a="1"/>
  <c r="I21" i="3" s="1"/>
  <c r="J21" i="3" s="1"/>
  <c r="I22" i="3" l="1" a="1"/>
  <c r="I22" i="3" s="1"/>
  <c r="J22" i="3" s="1"/>
  <c r="I23" i="3" s="1" a="1"/>
  <c r="I23" i="3" s="1"/>
  <c r="J23" i="3" s="1"/>
  <c r="K23" i="3" s="1"/>
  <c r="I24" i="3" l="1" a="1"/>
  <c r="I24" i="3" s="1"/>
  <c r="J24" i="3" s="1"/>
  <c r="I25" i="3" l="1" a="1"/>
  <c r="I25" i="3" s="1"/>
  <c r="J25" i="3" s="1"/>
  <c r="I26" i="3" l="1" a="1"/>
  <c r="I26" i="3" s="1"/>
  <c r="J26" i="3" s="1"/>
  <c r="K26" i="3" s="1"/>
  <c r="I27" i="3" l="1" a="1"/>
  <c r="I27" i="3" s="1"/>
  <c r="J27" i="3" s="1"/>
  <c r="I28" i="3" l="1" a="1"/>
  <c r="I28" i="3" s="1"/>
  <c r="J28" i="3" s="1"/>
  <c r="I29" i="3" s="1" a="1"/>
  <c r="I29" i="3" s="1"/>
  <c r="J29" i="3" s="1"/>
  <c r="I30" i="3" l="1" a="1"/>
  <c r="I30" i="3" s="1"/>
  <c r="J30" i="3" s="1"/>
  <c r="I31" i="3" l="1" a="1"/>
  <c r="I31" i="3" s="1"/>
  <c r="J31" i="3" s="1"/>
  <c r="I32" i="3" l="1" a="1"/>
  <c r="I32" i="3" s="1"/>
  <c r="J32" i="3" s="1"/>
  <c r="I33" i="3" l="1" a="1"/>
  <c r="I33" i="3" s="1"/>
  <c r="J33" i="3" s="1"/>
  <c r="I34" i="3" l="1" a="1"/>
  <c r="I34" i="3" s="1"/>
  <c r="J34" i="3" s="1"/>
  <c r="I35" i="3" l="1" a="1"/>
  <c r="I35" i="3" s="1"/>
  <c r="J35" i="3" s="1"/>
  <c r="I36" i="3" l="1" a="1"/>
  <c r="I36" i="3" s="1"/>
  <c r="J36" i="3" s="1"/>
  <c r="I37" i="3" l="1" a="1"/>
  <c r="I37" i="3" s="1"/>
  <c r="J37" i="3" s="1"/>
  <c r="I38" i="3" l="1" a="1"/>
  <c r="I38" i="3" s="1"/>
  <c r="J38" i="3" s="1"/>
  <c r="I39" i="3" l="1" a="1"/>
  <c r="I39" i="3" s="1"/>
  <c r="J39" i="3" s="1"/>
  <c r="I40" i="3" l="1" a="1"/>
  <c r="I40" i="3" s="1"/>
  <c r="J40" i="3" s="1"/>
  <c r="I41" i="3" l="1" a="1"/>
  <c r="I41" i="3" s="1"/>
  <c r="J41" i="3" s="1"/>
  <c r="I42" i="3" l="1" a="1"/>
  <c r="I42" i="3" s="1"/>
  <c r="J42" i="3" s="1"/>
  <c r="I43" i="3" l="1" a="1"/>
  <c r="I43" i="3" s="1"/>
  <c r="J43" i="3" s="1"/>
  <c r="I44" i="3" l="1" a="1"/>
  <c r="I44" i="3" s="1"/>
  <c r="J44" i="3" s="1"/>
  <c r="I45" i="3" s="1" a="1"/>
  <c r="I45" i="3" s="1"/>
  <c r="J45" i="3" s="1"/>
  <c r="I46" i="3" l="1" a="1"/>
  <c r="I46" i="3" s="1"/>
  <c r="J46" i="3" s="1"/>
  <c r="I47" i="3" l="1" a="1"/>
  <c r="I47" i="3" s="1"/>
  <c r="J47" i="3" s="1"/>
  <c r="I48" i="3" l="1" a="1"/>
  <c r="I48" i="3" s="1"/>
  <c r="J48" i="3" s="1"/>
  <c r="I49" i="3" s="1" a="1"/>
  <c r="I49" i="3" s="1"/>
  <c r="J49" i="3" l="1"/>
  <c r="I50" i="3" l="1" a="1"/>
  <c r="I50" i="3" s="1"/>
  <c r="J50" i="3" s="1"/>
  <c r="I51" i="3" l="1" a="1"/>
  <c r="I51" i="3" s="1"/>
  <c r="J51" i="3" s="1"/>
  <c r="I52" i="3" s="1" a="1"/>
  <c r="I52" i="3" s="1"/>
  <c r="J52" i="3" s="1"/>
  <c r="I53" i="3" l="1" a="1"/>
  <c r="I53" i="3" s="1"/>
  <c r="J53" i="3" s="1"/>
  <c r="I54" i="3" s="1" a="1"/>
  <c r="I54" i="3" s="1"/>
  <c r="J54" i="3" s="1"/>
  <c r="I55" i="3" l="1" a="1"/>
  <c r="I55" i="3" s="1"/>
  <c r="J55" i="3" s="1"/>
  <c r="I56" i="3" l="1" a="1"/>
  <c r="I56" i="3" s="1"/>
  <c r="J56" i="3" s="1"/>
  <c r="I57" i="3" l="1" a="1"/>
  <c r="I57" i="3" s="1"/>
  <c r="J57" i="3" s="1"/>
  <c r="I58" i="3" l="1" a="1"/>
  <c r="I58" i="3" s="1"/>
  <c r="J58" i="3" s="1"/>
  <c r="I59" i="3" l="1" a="1"/>
  <c r="I59" i="3" s="1"/>
  <c r="J59" i="3" s="1"/>
  <c r="I60" i="3" l="1" a="1"/>
  <c r="I60" i="3" s="1"/>
  <c r="J60" i="3" s="1"/>
  <c r="I61" i="3" l="1" a="1"/>
  <c r="I61" i="3" s="1"/>
  <c r="J61" i="3" s="1"/>
  <c r="I62" i="3" l="1" a="1"/>
  <c r="I62" i="3" s="1"/>
  <c r="J62" i="3" s="1"/>
  <c r="I63" i="3" s="1" a="1"/>
  <c r="I63" i="3" s="1"/>
  <c r="J63" i="3" s="1"/>
  <c r="I64" i="3" l="1" a="1"/>
  <c r="I64" i="3" s="1"/>
  <c r="J64" i="3" s="1"/>
  <c r="I65" i="3" l="1" a="1"/>
  <c r="I65" i="3" s="1"/>
  <c r="J65" i="3" s="1"/>
  <c r="C74" i="7"/>
  <c r="D75" i="7"/>
  <c r="I66" i="3" l="1" a="1"/>
  <c r="I66" i="3" s="1"/>
  <c r="J66" i="3" s="1"/>
  <c r="D74" i="7"/>
  <c r="C73" i="7"/>
  <c r="I67" i="3" l="1" a="1"/>
  <c r="I67" i="3" s="1"/>
  <c r="J67" i="3" s="1"/>
  <c r="C72" i="7"/>
  <c r="D73" i="7"/>
  <c r="I68" i="3" l="1" a="1"/>
  <c r="I68" i="3" s="1"/>
  <c r="J68" i="3" s="1"/>
  <c r="D72" i="7"/>
  <c r="C71" i="7"/>
  <c r="I69" i="3" l="1" a="1"/>
  <c r="I69" i="3" s="1"/>
  <c r="J69" i="3" s="1"/>
  <c r="I70" i="3" s="1" a="1"/>
  <c r="I70" i="3" s="1"/>
  <c r="J70" i="3" s="1"/>
  <c r="C70" i="7"/>
  <c r="D71" i="7"/>
  <c r="I71" i="3" l="1" a="1"/>
  <c r="I71" i="3" s="1"/>
  <c r="J71" i="3" s="1"/>
  <c r="D70" i="7"/>
  <c r="C69" i="7"/>
  <c r="I72" i="3" l="1" a="1"/>
  <c r="I72" i="3" s="1"/>
  <c r="J72" i="3" s="1"/>
  <c r="I73" i="3" s="1" a="1"/>
  <c r="I73" i="3" s="1"/>
  <c r="C68" i="7"/>
  <c r="D69" i="7"/>
  <c r="J73" i="3" l="1"/>
  <c r="I74" i="3" s="1" a="1"/>
  <c r="I74" i="3" s="1"/>
  <c r="J74" i="3" s="1"/>
  <c r="D68" i="7"/>
  <c r="C67" i="7"/>
  <c r="I6" i="7"/>
  <c r="I75" i="3" l="1" a="1"/>
  <c r="I75" i="3" s="1"/>
  <c r="J75" i="3" s="1"/>
  <c r="C66" i="7"/>
  <c r="D67" i="7"/>
  <c r="I9" i="7"/>
  <c r="I76" i="3" l="1" a="1"/>
  <c r="I76" i="3" s="1"/>
  <c r="J76" i="3" s="1"/>
  <c r="D66" i="7"/>
  <c r="C65" i="7"/>
  <c r="I77" i="3" l="1" a="1"/>
  <c r="I77" i="3" s="1"/>
  <c r="J77" i="3" s="1"/>
  <c r="C64" i="7"/>
  <c r="D65" i="7"/>
  <c r="I78" i="3" l="1" a="1"/>
  <c r="I78" i="3" s="1"/>
  <c r="J78" i="3" s="1"/>
  <c r="D64" i="7"/>
  <c r="C63" i="7"/>
  <c r="I79" i="3" l="1" a="1"/>
  <c r="I79" i="3" s="1"/>
  <c r="J79" i="3" s="1"/>
  <c r="C62" i="7"/>
  <c r="D63" i="7"/>
  <c r="I80" i="3" l="1" a="1"/>
  <c r="I80" i="3" s="1"/>
  <c r="J80" i="3" s="1"/>
  <c r="D62" i="7"/>
  <c r="C61" i="7"/>
  <c r="D61" i="7" s="1"/>
  <c r="I81" i="3" l="1" a="1"/>
  <c r="I81" i="3" s="1"/>
  <c r="J81" i="3" s="1"/>
  <c r="C60" i="7"/>
  <c r="I82" i="3" l="1" a="1"/>
  <c r="I82" i="3" s="1"/>
  <c r="J82" i="3" s="1"/>
  <c r="D60" i="7"/>
  <c r="C59" i="7"/>
  <c r="I83" i="3" l="1" a="1"/>
  <c r="I83" i="3" s="1"/>
  <c r="J83" i="3" s="1"/>
  <c r="C58" i="7"/>
  <c r="D59" i="7"/>
  <c r="I84" i="3" l="1" a="1"/>
  <c r="I84" i="3" s="1"/>
  <c r="J84" i="3" s="1"/>
  <c r="D58" i="7"/>
  <c r="C57" i="7"/>
  <c r="I85" i="3" l="1" a="1"/>
  <c r="I85" i="3" s="1"/>
  <c r="J85" i="3" s="1"/>
  <c r="C56" i="7"/>
  <c r="D57" i="7"/>
  <c r="I86" i="3" l="1" a="1"/>
  <c r="I86" i="3" s="1"/>
  <c r="J86" i="3" s="1"/>
  <c r="D56" i="7"/>
  <c r="C55" i="7"/>
  <c r="I87" i="3" l="1" a="1"/>
  <c r="I87" i="3" s="1"/>
  <c r="J87" i="3" s="1"/>
  <c r="C54" i="7"/>
  <c r="D55" i="7"/>
  <c r="I88" i="3" l="1" a="1"/>
  <c r="I88" i="3" s="1"/>
  <c r="J88" i="3" s="1"/>
  <c r="D54" i="7"/>
  <c r="C53" i="7"/>
  <c r="I89" i="3" l="1" a="1"/>
  <c r="I89" i="3" s="1"/>
  <c r="J89" i="3" s="1"/>
  <c r="C52" i="7"/>
  <c r="I90" i="3" l="1" a="1"/>
  <c r="I90" i="3" s="1"/>
  <c r="J90" i="3" s="1"/>
  <c r="D52" i="7"/>
  <c r="C51" i="7"/>
  <c r="I91" i="3" l="1" a="1"/>
  <c r="I91" i="3" s="1"/>
  <c r="J91" i="3" s="1"/>
  <c r="I92" i="3" s="1" a="1"/>
  <c r="I92" i="3" s="1"/>
  <c r="J92" i="3" s="1"/>
  <c r="C50" i="7"/>
  <c r="D51" i="7"/>
  <c r="I93" i="3" l="1" a="1"/>
  <c r="I93" i="3" s="1"/>
  <c r="J93" i="3" s="1"/>
  <c r="D50" i="7"/>
  <c r="C49" i="7"/>
  <c r="I95" i="3" l="1" a="1"/>
  <c r="I95" i="3" s="1"/>
  <c r="J95" i="3" s="1"/>
  <c r="I96" i="3" s="1" a="1"/>
  <c r="I96" i="3" s="1"/>
  <c r="J96" i="3" s="1"/>
  <c r="I94" i="3" a="1"/>
  <c r="I94" i="3" s="1"/>
  <c r="C48" i="7"/>
  <c r="D49" i="7"/>
  <c r="I97" i="3" l="1" a="1"/>
  <c r="I97" i="3" s="1"/>
  <c r="J97" i="3" s="1"/>
  <c r="D48" i="7"/>
  <c r="C47" i="7"/>
  <c r="I98" i="3" l="1" a="1"/>
  <c r="I98" i="3" s="1"/>
  <c r="J98" i="3" s="1"/>
  <c r="C46" i="7"/>
  <c r="D46" i="7" s="1"/>
  <c r="D47" i="7"/>
  <c r="I99" i="3" l="1" a="1"/>
  <c r="I99" i="3" s="1"/>
  <c r="J99" i="3" s="1"/>
  <c r="I100" i="3" l="1" a="1"/>
  <c r="I100" i="3" s="1"/>
  <c r="J100" i="3" s="1"/>
  <c r="I101" i="3" l="1" a="1"/>
  <c r="I101" i="3" s="1"/>
  <c r="J101" i="3" s="1"/>
  <c r="I102" i="3" l="1" a="1"/>
  <c r="I102" i="3" s="1"/>
  <c r="J102" i="3" s="1"/>
  <c r="I103" i="3" s="1" a="1"/>
  <c r="I103" i="3" s="1"/>
  <c r="J103" i="3" s="1"/>
  <c r="I104" i="3" l="1" a="1"/>
  <c r="I104" i="3" s="1"/>
  <c r="J104" i="3" s="1"/>
  <c r="I105" i="3" l="1" a="1"/>
  <c r="I105" i="3" s="1"/>
  <c r="J105" i="3" s="1"/>
  <c r="I106" i="3" l="1" a="1"/>
  <c r="I106" i="3" s="1"/>
  <c r="J106" i="3" s="1"/>
  <c r="I107" i="3" l="1" a="1"/>
  <c r="I107" i="3" s="1"/>
  <c r="J107" i="3" s="1"/>
  <c r="I108" i="3" l="1" a="1"/>
  <c r="I108" i="3" s="1"/>
  <c r="J108" i="3" s="1"/>
  <c r="I109" i="3" l="1" a="1"/>
  <c r="I109" i="3" s="1"/>
  <c r="J109" i="3" s="1"/>
  <c r="I110" i="3" l="1" a="1"/>
  <c r="I110" i="3" s="1"/>
  <c r="J110" i="3" s="1"/>
  <c r="I111" i="3" s="1" a="1"/>
  <c r="I111" i="3" s="1"/>
  <c r="J111" i="3" s="1"/>
  <c r="I112" i="3" l="1" a="1"/>
  <c r="I112" i="3" s="1"/>
  <c r="J112" i="3" s="1"/>
  <c r="I113" i="3" l="1" a="1"/>
  <c r="I113" i="3" s="1"/>
  <c r="J113" i="3" s="1"/>
  <c r="I114" i="3" s="1" a="1"/>
  <c r="I114" i="3" s="1"/>
  <c r="J114" i="3" s="1"/>
  <c r="I115" i="3" l="1" a="1"/>
  <c r="I115" i="3" s="1"/>
  <c r="J115" i="3" s="1"/>
  <c r="I116" i="3" l="1" a="1"/>
  <c r="I116" i="3" s="1"/>
  <c r="J116" i="3" s="1"/>
  <c r="I117" i="3" l="1" a="1"/>
  <c r="I117" i="3" s="1"/>
  <c r="J117" i="3" s="1"/>
  <c r="I118" i="3" l="1" a="1"/>
  <c r="I118" i="3" s="1"/>
  <c r="J118" i="3" s="1"/>
  <c r="I119" i="3" l="1" a="1"/>
  <c r="I119" i="3" s="1"/>
  <c r="J119" i="3" s="1"/>
  <c r="I120" i="3" l="1" a="1"/>
  <c r="I120" i="3" s="1"/>
  <c r="J120" i="3" s="1"/>
  <c r="I121" i="3" l="1" a="1"/>
  <c r="I121" i="3" s="1"/>
  <c r="J121" i="3" s="1"/>
  <c r="I122" i="3" l="1" a="1"/>
  <c r="I122" i="3" s="1"/>
  <c r="J122" i="3" s="1"/>
  <c r="I123" i="3" l="1" a="1"/>
  <c r="I123" i="3" s="1"/>
  <c r="J123" i="3" s="1"/>
  <c r="I124" i="3" l="1" a="1"/>
  <c r="I124" i="3" s="1"/>
  <c r="J124" i="3" s="1"/>
  <c r="F90" i="6" s="1" a="1"/>
  <c r="F90" i="6" s="1"/>
  <c r="H90" i="6" s="1"/>
  <c r="C31" i="8" a="1"/>
  <c r="C31" i="8" s="1"/>
  <c r="K31" i="8" s="1"/>
  <c r="C37" i="8" a="1"/>
  <c r="C37" i="8" s="1"/>
  <c r="K37" i="8" s="1"/>
  <c r="C36" i="8" a="1"/>
  <c r="C36" i="8" s="1"/>
  <c r="K36" i="8" s="1"/>
  <c r="C33" i="8" a="1"/>
  <c r="C33" i="8" s="1"/>
  <c r="K33" i="8" s="1"/>
  <c r="C32" i="8" a="1"/>
  <c r="C32" i="8" s="1"/>
  <c r="K32" i="8" s="1"/>
  <c r="C29" i="8" a="1"/>
  <c r="C29" i="8" s="1"/>
  <c r="K29" i="8" s="1"/>
  <c r="C34" i="8" a="1"/>
  <c r="C34" i="8" s="1"/>
  <c r="K34" i="8" s="1"/>
  <c r="C35" i="8" a="1"/>
  <c r="C35" i="8" s="1"/>
  <c r="K35" i="8" s="1"/>
  <c r="C30" i="8" a="1"/>
  <c r="C30" i="8" s="1"/>
  <c r="K30" i="8" s="1"/>
  <c r="C18" i="8" a="1"/>
  <c r="C18" i="8" s="1"/>
  <c r="K18" i="8" s="1"/>
  <c r="C20" i="8" a="1"/>
  <c r="C20" i="8" s="1"/>
  <c r="K20" i="8" s="1"/>
  <c r="C26" i="8" a="1"/>
  <c r="C26" i="8" s="1"/>
  <c r="K26" i="8" s="1"/>
  <c r="C16" i="8" a="1"/>
  <c r="C16" i="8" s="1"/>
  <c r="K16" i="8" s="1"/>
  <c r="C22" i="8" a="1"/>
  <c r="C22" i="8" s="1"/>
  <c r="K22" i="8" s="1"/>
  <c r="C24" i="8" a="1"/>
  <c r="C24" i="8" s="1"/>
  <c r="K24" i="8" s="1"/>
  <c r="C28" i="8" a="1"/>
  <c r="C28" i="8" s="1"/>
  <c r="K28" i="8" s="1"/>
  <c r="C19" i="8" a="1"/>
  <c r="C19" i="8" s="1"/>
  <c r="K19" i="8" s="1"/>
  <c r="C21" i="8" a="1"/>
  <c r="C21" i="8" s="1"/>
  <c r="K21" i="8" s="1"/>
  <c r="C27" i="8" a="1"/>
  <c r="C27" i="8" s="1"/>
  <c r="K27" i="8" s="1"/>
  <c r="C17" i="8" a="1"/>
  <c r="C17" i="8" s="1"/>
  <c r="K17" i="8" s="1"/>
  <c r="C23" i="8" a="1"/>
  <c r="C23" i="8" s="1"/>
  <c r="K23" i="8" s="1"/>
  <c r="C25" i="8" a="1"/>
  <c r="C25" i="8" s="1"/>
  <c r="K25" i="8" s="1"/>
  <c r="C6" i="8" a="1"/>
  <c r="C6" i="8" s="1"/>
  <c r="C12" i="8" a="1"/>
  <c r="C12" i="8" s="1"/>
  <c r="C9" i="8" a="1"/>
  <c r="C9" i="8" s="1"/>
  <c r="C11" i="8" a="1"/>
  <c r="C11" i="8" s="1"/>
  <c r="C15" i="8" a="1"/>
  <c r="C15" i="8" s="1"/>
  <c r="K15" i="8" s="1"/>
  <c r="C7" i="8" a="1"/>
  <c r="C7" i="8" s="1"/>
  <c r="C13" i="8" a="1"/>
  <c r="C13" i="8" s="1"/>
  <c r="K13" i="8" s="1"/>
  <c r="C8" i="8" a="1"/>
  <c r="C8" i="8" s="1"/>
  <c r="C10" i="8" a="1"/>
  <c r="C10" i="8" s="1"/>
  <c r="C14" i="8" a="1"/>
  <c r="C14" i="8" s="1"/>
  <c r="K14" i="8" s="1"/>
  <c r="I55" i="7" a="1"/>
  <c r="I55" i="7" s="1"/>
  <c r="J55" i="7" s="1"/>
  <c r="M55" i="7" s="1"/>
  <c r="I46" i="7" a="1"/>
  <c r="I46" i="7" s="1"/>
  <c r="J46" i="7" s="1"/>
  <c r="M46" i="7" s="1"/>
  <c r="I49" i="7" a="1"/>
  <c r="I49" i="7" s="1"/>
  <c r="J49" i="7" s="1"/>
  <c r="M49" i="7" s="1"/>
  <c r="I53" i="7" a="1"/>
  <c r="I53" i="7" s="1"/>
  <c r="J53" i="7" s="1"/>
  <c r="M53" i="7" s="1"/>
  <c r="I50" i="7" a="1"/>
  <c r="I50" i="7" s="1"/>
  <c r="J50" i="7" s="1"/>
  <c r="M50" i="7" s="1"/>
  <c r="I54" i="7" a="1"/>
  <c r="I54" i="7" s="1"/>
  <c r="J54" i="7" s="1"/>
  <c r="M54" i="7" s="1"/>
  <c r="I47" i="7" a="1"/>
  <c r="I47" i="7" s="1"/>
  <c r="J47" i="7" s="1"/>
  <c r="M47" i="7" s="1"/>
  <c r="I51" i="7" a="1"/>
  <c r="I51" i="7" s="1"/>
  <c r="J51" i="7" s="1"/>
  <c r="M51" i="7" s="1"/>
  <c r="I48" i="7" a="1"/>
  <c r="I48" i="7" s="1"/>
  <c r="J48" i="7" s="1"/>
  <c r="M48" i="7" s="1"/>
  <c r="I52" i="7" a="1"/>
  <c r="I52" i="7" s="1"/>
  <c r="J52" i="7" s="1"/>
  <c r="M52" i="7" s="1"/>
  <c r="D53" i="7"/>
  <c r="F81" i="6" l="1" a="1"/>
  <c r="F81" i="6" s="1"/>
  <c r="H81" i="6" s="1"/>
  <c r="F61" i="6" a="1"/>
  <c r="F61" i="6" s="1"/>
  <c r="H61" i="6" s="1"/>
  <c r="F31" i="6" a="1"/>
  <c r="F31" i="6" s="1"/>
  <c r="H31" i="6" s="1"/>
  <c r="F27" i="6" a="1"/>
  <c r="F27" i="6" s="1"/>
  <c r="H27" i="6" s="1"/>
  <c r="F75" i="6" a="1"/>
  <c r="F75" i="6" s="1"/>
  <c r="H75" i="6" s="1"/>
  <c r="F8" i="6" a="1"/>
  <c r="F8" i="6" s="1"/>
  <c r="H8" i="6" s="1"/>
  <c r="F23" i="6" a="1"/>
  <c r="F23" i="6" s="1"/>
  <c r="H23" i="6" s="1"/>
  <c r="F26" i="6" a="1"/>
  <c r="F26" i="6" s="1"/>
  <c r="H26" i="6" s="1"/>
  <c r="F57" i="6" a="1"/>
  <c r="F57" i="6" s="1"/>
  <c r="H57" i="6" s="1"/>
  <c r="F64" i="6" a="1"/>
  <c r="F64" i="6" s="1"/>
  <c r="H64" i="6" s="1"/>
  <c r="F78" i="6" a="1"/>
  <c r="F78" i="6" s="1"/>
  <c r="H78" i="6" s="1"/>
  <c r="F94" i="6" a="1"/>
  <c r="F94" i="6" s="1"/>
  <c r="H94" i="6" s="1"/>
  <c r="F17" i="6" a="1"/>
  <c r="F17" i="6" s="1"/>
  <c r="H17" i="6" s="1"/>
  <c r="F44" i="6" a="1"/>
  <c r="F44" i="6" s="1"/>
  <c r="H44" i="6" s="1"/>
  <c r="F52" i="6" a="1"/>
  <c r="F52" i="6" s="1"/>
  <c r="H52" i="6" s="1"/>
  <c r="F69" i="6" a="1"/>
  <c r="F69" i="6" s="1"/>
  <c r="H69" i="6" s="1"/>
  <c r="F28" i="6" a="1"/>
  <c r="F28" i="6" s="1"/>
  <c r="H28" i="6" s="1"/>
  <c r="F54" i="6" a="1"/>
  <c r="F54" i="6" s="1"/>
  <c r="H54" i="6" s="1"/>
  <c r="F89" i="6" a="1"/>
  <c r="F89" i="6" s="1"/>
  <c r="H89" i="6" s="1"/>
  <c r="F62" i="6" a="1"/>
  <c r="F62" i="6" s="1"/>
  <c r="H62" i="6" s="1"/>
  <c r="F76" i="6" a="1"/>
  <c r="F76" i="6" s="1"/>
  <c r="H76" i="6" s="1"/>
  <c r="F55" i="6" a="1"/>
  <c r="F55" i="6" s="1"/>
  <c r="H55" i="6" s="1"/>
  <c r="F5" i="6" a="1"/>
  <c r="F5" i="6" s="1"/>
  <c r="H5" i="6" s="1"/>
  <c r="F87" i="6" a="1"/>
  <c r="F87" i="6" s="1"/>
  <c r="H87" i="6" s="1"/>
  <c r="F15" i="6" a="1"/>
  <c r="F15" i="6" s="1"/>
  <c r="H15" i="6" s="1"/>
  <c r="F102" i="6" a="1"/>
  <c r="F102" i="6" s="1"/>
  <c r="H102" i="6" s="1"/>
  <c r="F29" i="6" a="1"/>
  <c r="F29" i="6" s="1"/>
  <c r="H29" i="6" s="1"/>
  <c r="F92" i="6" a="1"/>
  <c r="F92" i="6" s="1"/>
  <c r="H92" i="6" s="1"/>
  <c r="F41" i="6" a="1"/>
  <c r="F41" i="6" s="1"/>
  <c r="H41" i="6" s="1"/>
  <c r="F51" i="6" a="1"/>
  <c r="F51" i="6" s="1"/>
  <c r="H51" i="6" s="1"/>
  <c r="F66" i="6" a="1"/>
  <c r="F66" i="6" s="1"/>
  <c r="H66" i="6" s="1"/>
  <c r="F9" i="6" a="1"/>
  <c r="F9" i="6" s="1"/>
  <c r="H9" i="6" s="1"/>
  <c r="F14" i="6" a="1"/>
  <c r="F14" i="6" s="1"/>
  <c r="H14" i="6" s="1"/>
  <c r="F50" i="6" a="1"/>
  <c r="F50" i="6" s="1"/>
  <c r="H50" i="6" s="1"/>
  <c r="F95" i="6" a="1"/>
  <c r="F95" i="6" s="1"/>
  <c r="H95" i="6" s="1"/>
  <c r="F53" i="6" a="1"/>
  <c r="F53" i="6" s="1"/>
  <c r="H53" i="6" s="1"/>
  <c r="F58" i="6" a="1"/>
  <c r="F58" i="6" s="1"/>
  <c r="H58" i="6" s="1"/>
  <c r="F6" i="6" a="1"/>
  <c r="F6" i="6" s="1"/>
  <c r="H6" i="6" s="1"/>
  <c r="F65" i="6" a="1"/>
  <c r="F65" i="6" s="1"/>
  <c r="H65" i="6" s="1"/>
  <c r="F74" i="6" a="1"/>
  <c r="F74" i="6" s="1"/>
  <c r="H74" i="6" s="1"/>
  <c r="F84" i="6" a="1"/>
  <c r="F84" i="6" s="1"/>
  <c r="H84" i="6" s="1"/>
  <c r="F46" i="6" a="1"/>
  <c r="F46" i="6" s="1"/>
  <c r="H46" i="6" s="1"/>
  <c r="F47" i="6" a="1"/>
  <c r="F47" i="6" s="1"/>
  <c r="H47" i="6" s="1"/>
  <c r="F34" i="6" a="1"/>
  <c r="F34" i="6" s="1"/>
  <c r="H34" i="6" s="1"/>
  <c r="F42" i="6" a="1"/>
  <c r="F42" i="6" s="1"/>
  <c r="H42" i="6" s="1"/>
  <c r="F33" i="6" a="1"/>
  <c r="F33" i="6" s="1"/>
  <c r="H33" i="6" s="1"/>
  <c r="F59" i="6" a="1"/>
  <c r="F59" i="6" s="1"/>
  <c r="H59" i="6" s="1"/>
  <c r="F68" i="6" a="1"/>
  <c r="F68" i="6" s="1"/>
  <c r="H68" i="6" s="1"/>
  <c r="F101" i="6" a="1"/>
  <c r="F101" i="6" s="1"/>
  <c r="H101" i="6" s="1"/>
  <c r="F83" i="6" a="1"/>
  <c r="F83" i="6" s="1"/>
  <c r="H83" i="6" s="1"/>
  <c r="F40" i="6" a="1"/>
  <c r="F40" i="6" s="1"/>
  <c r="H40" i="6" s="1"/>
  <c r="F70" i="6" a="1"/>
  <c r="F70" i="6" s="1"/>
  <c r="H70" i="6" s="1"/>
  <c r="F91" i="6" a="1"/>
  <c r="F91" i="6" s="1"/>
  <c r="H91" i="6" s="1"/>
  <c r="F11" i="6" a="1"/>
  <c r="F11" i="6" s="1"/>
  <c r="H11" i="6" s="1"/>
  <c r="F96" i="6" a="1"/>
  <c r="F96" i="6" s="1"/>
  <c r="H96" i="6" s="1"/>
  <c r="F30" i="6" a="1"/>
  <c r="F30" i="6" s="1"/>
  <c r="H30" i="6" s="1"/>
  <c r="F38" i="6" a="1"/>
  <c r="F38" i="6" s="1"/>
  <c r="H38" i="6" s="1"/>
  <c r="F85" i="6" a="1"/>
  <c r="F85" i="6" s="1"/>
  <c r="H85" i="6" s="1"/>
  <c r="F98" i="6" a="1"/>
  <c r="F98" i="6" s="1"/>
  <c r="H98" i="6" s="1"/>
  <c r="F49" i="6" a="1"/>
  <c r="F49" i="6" s="1"/>
  <c r="H49" i="6" s="1"/>
  <c r="F82" i="6" a="1"/>
  <c r="F82" i="6" s="1"/>
  <c r="H82" i="6" s="1"/>
  <c r="F97" i="6" a="1"/>
  <c r="F97" i="6" s="1"/>
  <c r="H97" i="6" s="1"/>
  <c r="F13" i="6" a="1"/>
  <c r="F13" i="6" s="1"/>
  <c r="H13" i="6" s="1"/>
  <c r="F4" i="6" a="1"/>
  <c r="F4" i="6" s="1"/>
  <c r="H4" i="6" s="1"/>
  <c r="F18" i="6" a="1"/>
  <c r="F18" i="6" s="1"/>
  <c r="H18" i="6" s="1"/>
  <c r="F7" i="6" a="1"/>
  <c r="F7" i="6" s="1"/>
  <c r="H7" i="6" s="1"/>
  <c r="F3" i="6" a="1"/>
  <c r="F3" i="6" s="1"/>
  <c r="F93" i="6" a="1"/>
  <c r="F93" i="6" s="1"/>
  <c r="H93" i="6" s="1"/>
  <c r="F10" i="6" a="1"/>
  <c r="F10" i="6" s="1"/>
  <c r="H10" i="6" s="1"/>
  <c r="F48" i="6" a="1"/>
  <c r="F48" i="6" s="1"/>
  <c r="H48" i="6" s="1"/>
  <c r="F60" i="6" a="1"/>
  <c r="F60" i="6" s="1"/>
  <c r="H60" i="6" s="1"/>
  <c r="F86" i="6" a="1"/>
  <c r="F86" i="6" s="1"/>
  <c r="H86" i="6" s="1"/>
  <c r="F67" i="6" a="1"/>
  <c r="F67" i="6" s="1"/>
  <c r="H67" i="6" s="1"/>
  <c r="F37" i="6" a="1"/>
  <c r="F37" i="6" s="1"/>
  <c r="H37" i="6" s="1"/>
  <c r="F45" i="6" a="1"/>
  <c r="F45" i="6" s="1"/>
  <c r="H45" i="6" s="1"/>
  <c r="F21" i="6" a="1"/>
  <c r="F21" i="6" s="1"/>
  <c r="H21" i="6" s="1"/>
  <c r="F73" i="6" a="1"/>
  <c r="F73" i="6" s="1"/>
  <c r="H73" i="6" s="1"/>
  <c r="F25" i="6" a="1"/>
  <c r="F25" i="6" s="1"/>
  <c r="H25" i="6" s="1"/>
  <c r="F24" i="6" a="1"/>
  <c r="F24" i="6" s="1"/>
  <c r="H24" i="6" s="1"/>
  <c r="F20" i="6" a="1"/>
  <c r="F20" i="6" s="1"/>
  <c r="H20" i="6" s="1"/>
  <c r="F36" i="6" a="1"/>
  <c r="F36" i="6" s="1"/>
  <c r="H36" i="6" s="1"/>
  <c r="F80" i="6" a="1"/>
  <c r="F80" i="6" s="1"/>
  <c r="H80" i="6" s="1"/>
  <c r="F43" i="6" a="1"/>
  <c r="F43" i="6" s="1"/>
  <c r="H43" i="6" s="1"/>
  <c r="F79" i="6" a="1"/>
  <c r="F79" i="6" s="1"/>
  <c r="H79" i="6" s="1"/>
  <c r="F56" i="6" a="1"/>
  <c r="F56" i="6" s="1"/>
  <c r="H56" i="6" s="1"/>
  <c r="F12" i="6" a="1"/>
  <c r="F12" i="6" s="1"/>
  <c r="H12" i="6" s="1"/>
  <c r="F22" i="6" a="1"/>
  <c r="F22" i="6" s="1"/>
  <c r="H22" i="6" s="1"/>
  <c r="F71" i="6" a="1"/>
  <c r="F71" i="6" s="1"/>
  <c r="H71" i="6" s="1"/>
  <c r="F39" i="6" a="1"/>
  <c r="F39" i="6" s="1"/>
  <c r="H39" i="6" s="1"/>
  <c r="F32" i="6" a="1"/>
  <c r="F32" i="6" s="1"/>
  <c r="H32" i="6" s="1"/>
  <c r="F77" i="6" a="1"/>
  <c r="F77" i="6" s="1"/>
  <c r="H77" i="6" s="1"/>
  <c r="F19" i="6" a="1"/>
  <c r="F19" i="6" s="1"/>
  <c r="H19" i="6" s="1"/>
  <c r="F88" i="6" a="1"/>
  <c r="F88" i="6" s="1"/>
  <c r="H88" i="6" s="1"/>
  <c r="F99" i="6" a="1"/>
  <c r="F99" i="6" s="1"/>
  <c r="H99" i="6" s="1"/>
  <c r="F63" i="6" a="1"/>
  <c r="F63" i="6" s="1"/>
  <c r="H63" i="6" s="1"/>
  <c r="F35" i="6" a="1"/>
  <c r="F35" i="6" s="1"/>
  <c r="H35" i="6" s="1"/>
  <c r="F16" i="6" a="1"/>
  <c r="F16" i="6" s="1"/>
  <c r="H16" i="6" s="1"/>
  <c r="F72" i="6" a="1"/>
  <c r="F72" i="6" s="1"/>
  <c r="H72" i="6" s="1"/>
  <c r="F100" i="6" a="1"/>
  <c r="F100" i="6" s="1"/>
  <c r="H100" i="6" s="1"/>
  <c r="D35" i="8"/>
  <c r="F35" i="8"/>
  <c r="H35" i="8"/>
  <c r="E35" i="8"/>
  <c r="G35" i="8"/>
  <c r="I35" i="8"/>
  <c r="I33" i="8"/>
  <c r="D33" i="8"/>
  <c r="F33" i="8"/>
  <c r="H33" i="8"/>
  <c r="G33" i="8"/>
  <c r="E33" i="8"/>
  <c r="E34" i="8"/>
  <c r="G34" i="8"/>
  <c r="I34" i="8"/>
  <c r="D34" i="8"/>
  <c r="F34" i="8"/>
  <c r="H34" i="8"/>
  <c r="G36" i="8"/>
  <c r="I36" i="8"/>
  <c r="D36" i="8"/>
  <c r="F36" i="8"/>
  <c r="H36" i="8"/>
  <c r="E36" i="8"/>
  <c r="E29" i="8"/>
  <c r="G29" i="8"/>
  <c r="I29" i="8"/>
  <c r="H29" i="8"/>
  <c r="F29" i="8"/>
  <c r="D29" i="8"/>
  <c r="G37" i="8"/>
  <c r="E37" i="8"/>
  <c r="I37" i="8"/>
  <c r="D37" i="8"/>
  <c r="F37" i="8"/>
  <c r="H37" i="8"/>
  <c r="D30" i="8"/>
  <c r="F30" i="8"/>
  <c r="H30" i="8"/>
  <c r="E30" i="8"/>
  <c r="G30" i="8"/>
  <c r="I30" i="8"/>
  <c r="F32" i="8"/>
  <c r="H32" i="8"/>
  <c r="I32" i="8"/>
  <c r="G32" i="8"/>
  <c r="E32" i="8"/>
  <c r="D32" i="8"/>
  <c r="G31" i="8"/>
  <c r="I31" i="8"/>
  <c r="D31" i="8"/>
  <c r="H31" i="8"/>
  <c r="F31" i="8"/>
  <c r="E31" i="8"/>
  <c r="F23" i="8"/>
  <c r="G23" i="8"/>
  <c r="D23" i="8"/>
  <c r="H23" i="8"/>
  <c r="E23" i="8"/>
  <c r="I23" i="8"/>
  <c r="F19" i="8"/>
  <c r="G19" i="8"/>
  <c r="D19" i="8"/>
  <c r="H19" i="8"/>
  <c r="E19" i="8"/>
  <c r="I19" i="8"/>
  <c r="E16" i="8"/>
  <c r="I16" i="8"/>
  <c r="F16" i="8"/>
  <c r="G16" i="8"/>
  <c r="D16" i="8"/>
  <c r="H16" i="8"/>
  <c r="D17" i="8"/>
  <c r="H17" i="8"/>
  <c r="E17" i="8"/>
  <c r="F17" i="8"/>
  <c r="G17" i="8"/>
  <c r="I17" i="8"/>
  <c r="E28" i="8"/>
  <c r="I28" i="8"/>
  <c r="F28" i="8"/>
  <c r="G28" i="8"/>
  <c r="H28" i="8"/>
  <c r="D28" i="8"/>
  <c r="G26" i="8"/>
  <c r="D26" i="8"/>
  <c r="E26" i="8"/>
  <c r="I26" i="8"/>
  <c r="F26" i="8"/>
  <c r="H26" i="8"/>
  <c r="F27" i="8"/>
  <c r="G27" i="8"/>
  <c r="D27" i="8"/>
  <c r="H27" i="8"/>
  <c r="I27" i="8"/>
  <c r="E27" i="8"/>
  <c r="E24" i="8"/>
  <c r="I24" i="8"/>
  <c r="F24" i="8"/>
  <c r="G24" i="8"/>
  <c r="D24" i="8"/>
  <c r="H24" i="8"/>
  <c r="E20" i="8"/>
  <c r="I20" i="8"/>
  <c r="F20" i="8"/>
  <c r="G20" i="8"/>
  <c r="D20" i="8"/>
  <c r="H20" i="8"/>
  <c r="D25" i="8"/>
  <c r="H25" i="8"/>
  <c r="E25" i="8"/>
  <c r="F25" i="8"/>
  <c r="I25" i="8"/>
  <c r="G25" i="8"/>
  <c r="D21" i="8"/>
  <c r="H21" i="8"/>
  <c r="E21" i="8"/>
  <c r="I21" i="8"/>
  <c r="F21" i="8"/>
  <c r="G21" i="8"/>
  <c r="G22" i="8"/>
  <c r="D22" i="8"/>
  <c r="H22" i="8"/>
  <c r="E22" i="8"/>
  <c r="I22" i="8"/>
  <c r="F22" i="8"/>
  <c r="G18" i="8"/>
  <c r="D18" i="8"/>
  <c r="H18" i="8"/>
  <c r="E18" i="8"/>
  <c r="I18" i="8"/>
  <c r="F18" i="8"/>
  <c r="I7" i="8"/>
  <c r="K7" i="8" s="1"/>
  <c r="I6" i="8"/>
  <c r="K6" i="8" s="1"/>
  <c r="I8" i="8"/>
  <c r="K8" i="8" s="1"/>
  <c r="I11" i="8"/>
  <c r="K11" i="8" s="1"/>
  <c r="H13" i="8"/>
  <c r="I13" i="8"/>
  <c r="I9" i="8"/>
  <c r="K9" i="8" s="1"/>
  <c r="H14" i="8"/>
  <c r="I14" i="8"/>
  <c r="I12" i="8"/>
  <c r="K12" i="8" s="1"/>
  <c r="I10" i="8"/>
  <c r="K10" i="8" s="1"/>
  <c r="H15" i="8"/>
  <c r="I15" i="8"/>
  <c r="G8" i="8"/>
  <c r="G11" i="8"/>
  <c r="G13" i="8"/>
  <c r="G9" i="8"/>
  <c r="G14" i="8"/>
  <c r="G7" i="8"/>
  <c r="G12" i="8"/>
  <c r="G10" i="8"/>
  <c r="G15" i="8"/>
  <c r="G6" i="8"/>
  <c r="E11" i="8"/>
  <c r="F11" i="8"/>
  <c r="H11" i="8" s="1"/>
  <c r="E8" i="8"/>
  <c r="F8" i="8"/>
  <c r="H8" i="8" s="1"/>
  <c r="E13" i="8"/>
  <c r="F13" i="8"/>
  <c r="E9" i="8"/>
  <c r="F9" i="8"/>
  <c r="H9" i="8" s="1"/>
  <c r="E14" i="8"/>
  <c r="F14" i="8"/>
  <c r="E7" i="8"/>
  <c r="F7" i="8"/>
  <c r="E12" i="8"/>
  <c r="F12" i="8"/>
  <c r="H12" i="8" s="1"/>
  <c r="E10" i="8"/>
  <c r="F10" i="8"/>
  <c r="H10" i="8" s="1"/>
  <c r="E15" i="8"/>
  <c r="F15" i="8"/>
  <c r="E6" i="8"/>
  <c r="F6" i="8"/>
  <c r="D8" i="8"/>
  <c r="D11" i="8"/>
  <c r="D13" i="8"/>
  <c r="D9" i="8"/>
  <c r="D14" i="8"/>
  <c r="D7" i="8"/>
  <c r="D12" i="8"/>
  <c r="D10" i="8"/>
  <c r="D15" i="8"/>
  <c r="D6" i="8"/>
  <c r="O10" i="7" l="1"/>
  <c r="E7" i="7"/>
  <c r="C7" i="7" s="1"/>
  <c r="D7" i="7" s="1"/>
  <c r="E6" i="7"/>
  <c r="C6" i="7" s="1"/>
  <c r="D6" i="7" s="1"/>
  <c r="H3" i="6"/>
  <c r="E8" i="7"/>
  <c r="C8" i="7" s="1"/>
  <c r="D8" i="7" s="1"/>
  <c r="E10" i="7"/>
  <c r="K38" i="8"/>
  <c r="I38" i="8"/>
  <c r="H6" i="8"/>
  <c r="H7" i="8"/>
  <c r="E9" i="7" l="1"/>
  <c r="Q6" i="7"/>
  <c r="M6" i="7" s="1"/>
  <c r="Q7" i="7"/>
  <c r="M7" i="7" s="1"/>
  <c r="Q10" i="7"/>
  <c r="Q8" i="7"/>
  <c r="M8" i="7" s="1"/>
  <c r="D9" i="7"/>
  <c r="P8" i="7" l="1"/>
  <c r="N8" i="7"/>
  <c r="O8" i="7"/>
  <c r="Q9" i="7"/>
  <c r="O7" i="7"/>
  <c r="N7" i="7"/>
  <c r="P7" i="7"/>
  <c r="P6" i="7"/>
  <c r="N6" i="7"/>
  <c r="O6" i="7"/>
  <c r="P9" i="7" l="1"/>
  <c r="O9" i="7"/>
  <c r="N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65DDD-E4EA-402C-A5E9-9CAA6FDDB534}" keepAlive="1" interval="15" name="Query - Get_All_Rates" description="Connection to the 'Get_All_Rates' query in the workbook." type="5" refreshedVersion="6" background="1" refreshOnLoad="1" saveData="1">
    <dbPr connection="Provider=Microsoft.Mashup.OleDb.1;Data Source=$Workbook$;Location=Get_All_Rates;Extended Properties=&quot;&quot;" command="SELECT * FROM [Get_All_Rates]"/>
  </connection>
  <connection id="2" xr16:uid="{ADA77490-4A32-41C2-8A4A-A6F3CBB15467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3" xr16:uid="{5E495288-010B-41C6-B37A-1E2D6D2BCBB9}" keepAlive="1" name="Query - Live Currency Rates" description="Connection to the 'Live Currency Rates' query in the workbook." type="5" refreshedVersion="6" background="1" saveData="1">
    <dbPr connection="Provider=Microsoft.Mashup.OleDb.1;Data Source=$Workbook$;Location=Live Currency Rates;Extended Properties=&quot;&quot;" command="SELECT * FROM [Live Currency Rates]"/>
  </connection>
  <connection id="4" xr16:uid="{57147CF1-4021-4673-AD60-061535A1549A}" keepAlive="1" name="Query - Live Currency Rates Inv" description="Connection to the 'Live Currency Rates Inv' query in the workbook." type="5" refreshedVersion="6" background="1" saveData="1">
    <dbPr connection="Provider=Microsoft.Mashup.OleDb.1;Data Source=$Workbook$;Location=&quot;Live Currency Rates Inv&quot;;Extended Properties=&quot;&quot;" command="SELECT * FROM [Live Currency Rates Inv]"/>
  </connection>
</connections>
</file>

<file path=xl/sharedStrings.xml><?xml version="1.0" encoding="utf-8"?>
<sst xmlns="http://schemas.openxmlformats.org/spreadsheetml/2006/main" count="341" uniqueCount="254">
  <si>
    <t>BTC</t>
  </si>
  <si>
    <t>USD</t>
  </si>
  <si>
    <t>Batch</t>
  </si>
  <si>
    <t>LTC</t>
  </si>
  <si>
    <t>Ind</t>
  </si>
  <si>
    <t>Gain|Loss</t>
  </si>
  <si>
    <t>Token</t>
  </si>
  <si>
    <t>IN Price</t>
  </si>
  <si>
    <t>Gain | Loss</t>
  </si>
  <si>
    <t>Date</t>
  </si>
  <si>
    <t>Bitcoin</t>
  </si>
  <si>
    <t>ETH</t>
  </si>
  <si>
    <t>Ethereum</t>
  </si>
  <si>
    <t>XRP</t>
  </si>
  <si>
    <t>BCH</t>
  </si>
  <si>
    <t>Bitcoin Cash</t>
  </si>
  <si>
    <t>EOS</t>
  </si>
  <si>
    <t>XLM</t>
  </si>
  <si>
    <t>Stellar</t>
  </si>
  <si>
    <t>Litecoin</t>
  </si>
  <si>
    <t>ADA</t>
  </si>
  <si>
    <t>Cardano</t>
  </si>
  <si>
    <t>MIOTA</t>
  </si>
  <si>
    <t>IOTA</t>
  </si>
  <si>
    <t>USDT</t>
  </si>
  <si>
    <t>Tether</t>
  </si>
  <si>
    <t>TRX</t>
  </si>
  <si>
    <t>TRON</t>
  </si>
  <si>
    <t>XMR</t>
  </si>
  <si>
    <t>Monero</t>
  </si>
  <si>
    <t>NEO</t>
  </si>
  <si>
    <t>DASH</t>
  </si>
  <si>
    <t>Dash</t>
  </si>
  <si>
    <t>ETC</t>
  </si>
  <si>
    <t>Ethereum Classic</t>
  </si>
  <si>
    <t>XEM</t>
  </si>
  <si>
    <t>NEM</t>
  </si>
  <si>
    <t>BNB</t>
  </si>
  <si>
    <t>Binance Coin</t>
  </si>
  <si>
    <t>XTZ</t>
  </si>
  <si>
    <t>Tezos</t>
  </si>
  <si>
    <t>VeChain</t>
  </si>
  <si>
    <t>ZEC</t>
  </si>
  <si>
    <t>Zcash</t>
  </si>
  <si>
    <t>OMG</t>
  </si>
  <si>
    <t>OmiseGO</t>
  </si>
  <si>
    <t>QTUM</t>
  </si>
  <si>
    <t>Qtum</t>
  </si>
  <si>
    <t>ZRX</t>
  </si>
  <si>
    <t>0x</t>
  </si>
  <si>
    <t>ZIL</t>
  </si>
  <si>
    <t>Zilliqa</t>
  </si>
  <si>
    <t>LSK</t>
  </si>
  <si>
    <t>Lisk</t>
  </si>
  <si>
    <t>BCN</t>
  </si>
  <si>
    <t>Bytecoin</t>
  </si>
  <si>
    <t>BTG</t>
  </si>
  <si>
    <t>Bitcoin Gold</t>
  </si>
  <si>
    <t>ICX</t>
  </si>
  <si>
    <t>ICON</t>
  </si>
  <si>
    <t>DCR</t>
  </si>
  <si>
    <t>Decred</t>
  </si>
  <si>
    <t>AE</t>
  </si>
  <si>
    <t>Aeternity</t>
  </si>
  <si>
    <t>BTS</t>
  </si>
  <si>
    <t>BitShares</t>
  </si>
  <si>
    <t>ONT</t>
  </si>
  <si>
    <t>Ontology</t>
  </si>
  <si>
    <t>MKR</t>
  </si>
  <si>
    <t>Maker</t>
  </si>
  <si>
    <t>DGB</t>
  </si>
  <si>
    <t>DigiByte</t>
  </si>
  <si>
    <t>DOGE</t>
  </si>
  <si>
    <t>Dogecoin</t>
  </si>
  <si>
    <t>XVG</t>
  </si>
  <si>
    <t>Verge</t>
  </si>
  <si>
    <t>STEEM</t>
  </si>
  <si>
    <t>Steem</t>
  </si>
  <si>
    <t>SC</t>
  </si>
  <si>
    <t>Siacoin</t>
  </si>
  <si>
    <t>REP</t>
  </si>
  <si>
    <t>Augur</t>
  </si>
  <si>
    <t>BTM</t>
  </si>
  <si>
    <t>Bytom</t>
  </si>
  <si>
    <t>BCD</t>
  </si>
  <si>
    <t>Bitcoin Diamond</t>
  </si>
  <si>
    <t>BAT</t>
  </si>
  <si>
    <t>Basic Attention Token</t>
  </si>
  <si>
    <t>GNT</t>
  </si>
  <si>
    <t>Golem</t>
  </si>
  <si>
    <t>STRAT</t>
  </si>
  <si>
    <t>Stratis</t>
  </si>
  <si>
    <t>KCS</t>
  </si>
  <si>
    <t>KuCoin Shares</t>
  </si>
  <si>
    <t>NANO</t>
  </si>
  <si>
    <t>Nano</t>
  </si>
  <si>
    <t>WAVES</t>
  </si>
  <si>
    <t>Waves</t>
  </si>
  <si>
    <t>SNT</t>
  </si>
  <si>
    <t>Status</t>
  </si>
  <si>
    <t>NPXS</t>
  </si>
  <si>
    <t>Pundi X</t>
  </si>
  <si>
    <t>MAID</t>
  </si>
  <si>
    <t>MaidSafeCoin</t>
  </si>
  <si>
    <t>IOST</t>
  </si>
  <si>
    <t>XIN</t>
  </si>
  <si>
    <t>Mixin</t>
  </si>
  <si>
    <t>KMD</t>
  </si>
  <si>
    <t>Komodo</t>
  </si>
  <si>
    <t>GXChain</t>
  </si>
  <si>
    <t>HT</t>
  </si>
  <si>
    <t>Huobi Token</t>
  </si>
  <si>
    <t>ARDR</t>
  </si>
  <si>
    <t>Ardor</t>
  </si>
  <si>
    <t>ELF</t>
  </si>
  <si>
    <t>aelf</t>
  </si>
  <si>
    <t>MONA</t>
  </si>
  <si>
    <t>MonaCoin</t>
  </si>
  <si>
    <t>WAX</t>
  </si>
  <si>
    <t>MCO</t>
  </si>
  <si>
    <t>LINK</t>
  </si>
  <si>
    <t>Token Name</t>
  </si>
  <si>
    <t>Price in USD</t>
  </si>
  <si>
    <t>Price in BTC</t>
  </si>
  <si>
    <t>Percent Change, 1h</t>
  </si>
  <si>
    <t>Percent Change, 24h</t>
  </si>
  <si>
    <t>Percent Change, 7d</t>
  </si>
  <si>
    <t>Update Date</t>
  </si>
  <si>
    <t>Update Time</t>
  </si>
  <si>
    <t>Balance</t>
  </si>
  <si>
    <t>T_IN</t>
  </si>
  <si>
    <t>T_OUT</t>
  </si>
  <si>
    <t>Book Value</t>
  </si>
  <si>
    <t>IN Quantity</t>
  </si>
  <si>
    <t>IN Token</t>
  </si>
  <si>
    <t>OUT Token</t>
  </si>
  <si>
    <t>OUT Quantity</t>
  </si>
  <si>
    <t>OUT Book Price</t>
  </si>
  <si>
    <t>IN Total</t>
  </si>
  <si>
    <t>AOA</t>
  </si>
  <si>
    <t>Aurora</t>
  </si>
  <si>
    <t>OUT Total Before Sale</t>
  </si>
  <si>
    <t>OUT Total After Sale</t>
  </si>
  <si>
    <t>Market Value</t>
  </si>
  <si>
    <t>Current
Gain | Loss</t>
  </si>
  <si>
    <t>REGISTER</t>
  </si>
  <si>
    <t>PORTFOLIO SUMMARY</t>
  </si>
  <si>
    <t>Other</t>
  </si>
  <si>
    <t>Total</t>
  </si>
  <si>
    <t>Top 3 Tokens by Book Value</t>
  </si>
  <si>
    <t>Top 3 Tokens by Market Value</t>
  </si>
  <si>
    <t>Top 3 Tokens by Potential Profit</t>
  </si>
  <si>
    <t>Balance,
tokens</t>
  </si>
  <si>
    <t>Start</t>
  </si>
  <si>
    <t>End</t>
  </si>
  <si>
    <t>Quantity</t>
  </si>
  <si>
    <t>Book Price</t>
  </si>
  <si>
    <t>Sell Price</t>
  </si>
  <si>
    <t>Tax to Pay</t>
  </si>
  <si>
    <t>Tax
Period</t>
  </si>
  <si>
    <t>Capital Gain
Tax Rate</t>
  </si>
  <si>
    <t>Stock Before Sale</t>
  </si>
  <si>
    <t>VET</t>
  </si>
  <si>
    <t>HOT</t>
  </si>
  <si>
    <t>Holo</t>
  </si>
  <si>
    <t>TUSD</t>
  </si>
  <si>
    <t>TrueUSD</t>
  </si>
  <si>
    <t>Chainlink</t>
  </si>
  <si>
    <t>PAX</t>
  </si>
  <si>
    <t>Paxos Standard Token</t>
  </si>
  <si>
    <t>USDC</t>
  </si>
  <si>
    <t>USD Coin</t>
  </si>
  <si>
    <t>RVN</t>
  </si>
  <si>
    <t>Ravencoin</t>
  </si>
  <si>
    <t>HC</t>
  </si>
  <si>
    <t>HyperCash</t>
  </si>
  <si>
    <t>DAI</t>
  </si>
  <si>
    <t>Dai</t>
  </si>
  <si>
    <t>Crypto.com</t>
  </si>
  <si>
    <t>THETA</t>
  </si>
  <si>
    <t>BSV</t>
  </si>
  <si>
    <t>Bitcoin SV</t>
  </si>
  <si>
    <t>INB</t>
  </si>
  <si>
    <t>Insight Chain</t>
  </si>
  <si>
    <t>CRO</t>
  </si>
  <si>
    <t>Crypto.com Chain</t>
  </si>
  <si>
    <t>GXC</t>
  </si>
  <si>
    <t>PAI</t>
  </si>
  <si>
    <t>Project Pai</t>
  </si>
  <si>
    <t>ELA</t>
  </si>
  <si>
    <t>Elastos</t>
  </si>
  <si>
    <t>XZC</t>
  </si>
  <si>
    <t>Zcoin</t>
  </si>
  <si>
    <t>DENT</t>
  </si>
  <si>
    <t>Dent</t>
  </si>
  <si>
    <t>Not Taxable</t>
  </si>
  <si>
    <t>EUR</t>
  </si>
  <si>
    <t>United States Dollar</t>
  </si>
  <si>
    <t>Euro</t>
  </si>
  <si>
    <t>LEO</t>
  </si>
  <si>
    <t>UNUS SED LEO</t>
  </si>
  <si>
    <t>ATOM</t>
  </si>
  <si>
    <t>Cosmos</t>
  </si>
  <si>
    <t>VSYS</t>
  </si>
  <si>
    <t>V Systems</t>
  </si>
  <si>
    <t>BTT</t>
  </si>
  <si>
    <t>BitTorrent</t>
  </si>
  <si>
    <t>HEDG</t>
  </si>
  <si>
    <t>HedgeTrade</t>
  </si>
  <si>
    <t>QBIT</t>
  </si>
  <si>
    <t>Qubitica</t>
  </si>
  <si>
    <t>THR</t>
  </si>
  <si>
    <t>ThoreCoin</t>
  </si>
  <si>
    <t>ABBC</t>
  </si>
  <si>
    <t>ABBC Coin</t>
  </si>
  <si>
    <t>ETP</t>
  </si>
  <si>
    <t>Metaverse ETP</t>
  </si>
  <si>
    <t>EGT</t>
  </si>
  <si>
    <t>Egretia</t>
  </si>
  <si>
    <t>VEST</t>
  </si>
  <si>
    <t>VestChain</t>
  </si>
  <si>
    <t>NRG</t>
  </si>
  <si>
    <t>Energi</t>
  </si>
  <si>
    <t>NEX</t>
  </si>
  <si>
    <t>Nash Exchange</t>
  </si>
  <si>
    <t>LAMB</t>
  </si>
  <si>
    <t>Lambda</t>
  </si>
  <si>
    <t>ENJ</t>
  </si>
  <si>
    <t>Enjin Coin</t>
  </si>
  <si>
    <t>SOLVE</t>
  </si>
  <si>
    <t>EKT</t>
  </si>
  <si>
    <t>EDUCare</t>
  </si>
  <si>
    <t>NAS</t>
  </si>
  <si>
    <t>Nebulas</t>
  </si>
  <si>
    <t>GRIN</t>
  </si>
  <si>
    <t>Grin</t>
  </si>
  <si>
    <t>MXM</t>
  </si>
  <si>
    <t>Maximine Coin</t>
  </si>
  <si>
    <t>From</t>
  </si>
  <si>
    <t>To</t>
  </si>
  <si>
    <t>Rate</t>
  </si>
  <si>
    <t>GBP</t>
  </si>
  <si>
    <t>JPY</t>
  </si>
  <si>
    <t>CHF</t>
  </si>
  <si>
    <t>CAD</t>
  </si>
  <si>
    <t>AUD</t>
  </si>
  <si>
    <t>Default currency</t>
  </si>
  <si>
    <t>QNT</t>
  </si>
  <si>
    <t>Quant</t>
  </si>
  <si>
    <t>NEXO</t>
  </si>
  <si>
    <t>Nexo</t>
  </si>
  <si>
    <t>Price in DC</t>
  </si>
  <si>
    <t>ODE</t>
  </si>
  <si>
    <t>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</si>
</sst>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0"/>
    <numFmt numFmtId="165" formatCode="#,##0.0000"/>
    <numFmt numFmtId="166" formatCode="0.000000"/>
    <numFmt numFmtId="167" formatCode="#,##0.000000"/>
    <numFmt numFmtId="168" formatCode="_(* #,##0.0000_);_(* \(#,##0.0000\);_(* &quot;-&quot;????_);_(@_)"/>
    <numFmt numFmtId="169" formatCode="_(* #,##0.000_);_(* \(#,##0.000\);_(* &quot;-&quot;???_);_(@_)"/>
    <numFmt numFmtId="170" formatCode="_(* #,##0.000_);_(* \(#,##0.000\);_(* &quot;-&quot;??_);_(@_)"/>
    <numFmt numFmtId="171" formatCode="_(* #,##0.0000_);_(* \(#,##0.0000\);_(* &quot;-&quot;???_);_(@_)"/>
    <numFmt numFmtId="172" formatCode="0.000"/>
    <numFmt numFmtId="173" formatCode="0.0000"/>
    <numFmt numFmtId="17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0" fontId="2" fillId="3" borderId="0" xfId="0" applyFont="1" applyFill="1" applyBorder="1" applyAlignment="1">
      <alignment horizontal="center" vertical="top" wrapText="1"/>
    </xf>
    <xf numFmtId="164" fontId="0" fillId="0" borderId="2" xfId="0" applyNumberFormat="1" applyBorder="1"/>
    <xf numFmtId="43" fontId="0" fillId="0" borderId="2" xfId="0" applyNumberFormat="1" applyBorder="1"/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5" fillId="0" borderId="0" xfId="0" applyFont="1"/>
    <xf numFmtId="0" fontId="5" fillId="5" borderId="0" xfId="0" applyFont="1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/>
    </xf>
    <xf numFmtId="43" fontId="0" fillId="0" borderId="16" xfId="0" applyNumberFormat="1" applyBorder="1"/>
    <xf numFmtId="0" fontId="0" fillId="5" borderId="0" xfId="0" applyFill="1" applyBorder="1"/>
    <xf numFmtId="0" fontId="2" fillId="3" borderId="0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Border="1" applyAlignment="1" applyProtection="1">
      <alignment vertical="top" wrapText="1"/>
      <protection locked="0"/>
    </xf>
    <xf numFmtId="14" fontId="0" fillId="5" borderId="0" xfId="0" applyNumberFormat="1" applyFill="1"/>
    <xf numFmtId="43" fontId="0" fillId="0" borderId="0" xfId="0" applyNumberFormat="1"/>
    <xf numFmtId="0" fontId="0" fillId="0" borderId="0" xfId="0" applyAlignment="1">
      <alignment horizontal="center"/>
    </xf>
    <xf numFmtId="0" fontId="2" fillId="3" borderId="22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top" wrapText="1"/>
    </xf>
    <xf numFmtId="164" fontId="0" fillId="0" borderId="1" xfId="0" applyNumberFormat="1" applyBorder="1"/>
    <xf numFmtId="43" fontId="0" fillId="0" borderId="1" xfId="0" applyNumberFormat="1" applyBorder="1"/>
    <xf numFmtId="0" fontId="3" fillId="4" borderId="26" xfId="0" applyFont="1" applyFill="1" applyBorder="1" applyAlignment="1">
      <alignment horizontal="center"/>
    </xf>
    <xf numFmtId="164" fontId="0" fillId="0" borderId="27" xfId="0" applyNumberFormat="1" applyBorder="1"/>
    <xf numFmtId="43" fontId="0" fillId="0" borderId="27" xfId="0" applyNumberFormat="1" applyBorder="1"/>
    <xf numFmtId="0" fontId="3" fillId="4" borderId="28" xfId="0" applyFont="1" applyFill="1" applyBorder="1" applyAlignment="1">
      <alignment horizontal="center"/>
    </xf>
    <xf numFmtId="164" fontId="0" fillId="0" borderId="29" xfId="0" applyNumberFormat="1" applyBorder="1"/>
    <xf numFmtId="43" fontId="0" fillId="0" borderId="29" xfId="0" applyNumberFormat="1" applyBorder="1"/>
    <xf numFmtId="0" fontId="3" fillId="4" borderId="30" xfId="0" applyFont="1" applyFill="1" applyBorder="1" applyAlignment="1">
      <alignment horizontal="center"/>
    </xf>
    <xf numFmtId="164" fontId="0" fillId="0" borderId="31" xfId="0" applyNumberFormat="1" applyBorder="1"/>
    <xf numFmtId="43" fontId="0" fillId="0" borderId="31" xfId="0" applyNumberFormat="1" applyBorder="1"/>
    <xf numFmtId="0" fontId="0" fillId="0" borderId="14" xfId="0" applyFill="1" applyBorder="1" applyAlignment="1"/>
    <xf numFmtId="0" fontId="0" fillId="0" borderId="37" xfId="0" applyFill="1" applyBorder="1" applyAlignment="1" applyProtection="1">
      <alignment horizontal="center"/>
      <protection locked="0"/>
    </xf>
    <xf numFmtId="165" fontId="0" fillId="0" borderId="37" xfId="0" applyNumberFormat="1" applyFill="1" applyBorder="1" applyAlignment="1"/>
    <xf numFmtId="165" fontId="0" fillId="0" borderId="24" xfId="0" applyNumberFormat="1" applyFill="1" applyBorder="1" applyAlignment="1"/>
    <xf numFmtId="0" fontId="0" fillId="0" borderId="19" xfId="0" applyNumberFormat="1" applyFill="1" applyBorder="1" applyAlignment="1"/>
    <xf numFmtId="0" fontId="0" fillId="0" borderId="23" xfId="0" applyFill="1" applyBorder="1" applyAlignment="1" applyProtection="1">
      <alignment horizontal="center"/>
      <protection locked="0"/>
    </xf>
    <xf numFmtId="165" fontId="0" fillId="0" borderId="23" xfId="0" applyNumberFormat="1" applyFill="1" applyBorder="1"/>
    <xf numFmtId="165" fontId="0" fillId="0" borderId="17" xfId="0" applyNumberFormat="1" applyFill="1" applyBorder="1"/>
    <xf numFmtId="0" fontId="0" fillId="0" borderId="25" xfId="0" applyNumberFormat="1" applyFill="1" applyBorder="1" applyAlignment="1"/>
    <xf numFmtId="0" fontId="0" fillId="0" borderId="38" xfId="0" applyFill="1" applyBorder="1" applyAlignment="1" applyProtection="1">
      <alignment horizontal="center"/>
      <protection locked="0"/>
    </xf>
    <xf numFmtId="165" fontId="0" fillId="0" borderId="38" xfId="0" applyNumberFormat="1" applyFill="1" applyBorder="1"/>
    <xf numFmtId="165" fontId="0" fillId="0" borderId="20" xfId="0" applyNumberFormat="1" applyFill="1" applyBorder="1"/>
    <xf numFmtId="0" fontId="0" fillId="6" borderId="37" xfId="0" applyFill="1" applyBorder="1" applyAlignment="1">
      <alignment horizontal="right" indent="1"/>
    </xf>
    <xf numFmtId="0" fontId="0" fillId="6" borderId="23" xfId="0" applyFill="1" applyBorder="1" applyAlignment="1">
      <alignment horizontal="right" indent="1"/>
    </xf>
    <xf numFmtId="0" fontId="0" fillId="6" borderId="23" xfId="0" applyNumberFormat="1" applyFill="1" applyBorder="1" applyAlignment="1">
      <alignment horizontal="right" indent="1"/>
    </xf>
    <xf numFmtId="0" fontId="0" fillId="6" borderId="38" xfId="0" applyNumberFormat="1" applyFill="1" applyBorder="1" applyAlignment="1">
      <alignment horizontal="right" indent="1"/>
    </xf>
    <xf numFmtId="169" fontId="0" fillId="6" borderId="37" xfId="0" applyNumberFormat="1" applyFill="1" applyBorder="1" applyAlignment="1"/>
    <xf numFmtId="169" fontId="0" fillId="6" borderId="23" xfId="0" applyNumberFormat="1" applyFill="1" applyBorder="1"/>
    <xf numFmtId="171" fontId="0" fillId="6" borderId="23" xfId="0" applyNumberFormat="1" applyFill="1" applyBorder="1"/>
    <xf numFmtId="169" fontId="0" fillId="6" borderId="38" xfId="0" applyNumberFormat="1" applyFill="1" applyBorder="1"/>
    <xf numFmtId="0" fontId="0" fillId="7" borderId="0" xfId="0" applyFill="1" applyProtection="1">
      <protection locked="0"/>
    </xf>
    <xf numFmtId="168" fontId="0" fillId="7" borderId="0" xfId="0" applyNumberFormat="1" applyFill="1" applyProtection="1">
      <protection locked="0"/>
    </xf>
    <xf numFmtId="0" fontId="0" fillId="6" borderId="10" xfId="0" applyFill="1" applyBorder="1"/>
    <xf numFmtId="168" fontId="0" fillId="0" borderId="35" xfId="0" applyNumberFormat="1" applyBorder="1"/>
    <xf numFmtId="168" fontId="0" fillId="0" borderId="8" xfId="0" applyNumberFormat="1" applyBorder="1"/>
    <xf numFmtId="0" fontId="0" fillId="6" borderId="34" xfId="0" applyFill="1" applyBorder="1"/>
    <xf numFmtId="168" fontId="0" fillId="0" borderId="32" xfId="0" applyNumberFormat="1" applyBorder="1"/>
    <xf numFmtId="168" fontId="0" fillId="0" borderId="33" xfId="0" applyNumberFormat="1" applyBorder="1"/>
    <xf numFmtId="0" fontId="0" fillId="6" borderId="5" xfId="0" applyFill="1" applyBorder="1"/>
    <xf numFmtId="168" fontId="0" fillId="0" borderId="36" xfId="0" applyNumberFormat="1" applyBorder="1"/>
    <xf numFmtId="168" fontId="0" fillId="0" borderId="3" xfId="0" applyNumberFormat="1" applyBorder="1"/>
    <xf numFmtId="0" fontId="0" fillId="7" borderId="0" xfId="0" applyFill="1" applyAlignment="1">
      <alignment horizontal="center"/>
    </xf>
    <xf numFmtId="0" fontId="0" fillId="0" borderId="10" xfId="0" applyBorder="1"/>
    <xf numFmtId="0" fontId="0" fillId="0" borderId="35" xfId="0" applyBorder="1"/>
    <xf numFmtId="0" fontId="0" fillId="0" borderId="35" xfId="0" applyBorder="1" applyAlignment="1">
      <alignment horizontal="center"/>
    </xf>
    <xf numFmtId="172" fontId="0" fillId="0" borderId="35" xfId="0" applyNumberFormat="1" applyBorder="1"/>
    <xf numFmtId="170" fontId="0" fillId="0" borderId="35" xfId="0" applyNumberFormat="1" applyBorder="1"/>
    <xf numFmtId="43" fontId="0" fillId="0" borderId="35" xfId="0" applyNumberFormat="1" applyBorder="1"/>
    <xf numFmtId="43" fontId="0" fillId="0" borderId="8" xfId="0" applyNumberFormat="1" applyBorder="1"/>
    <xf numFmtId="0" fontId="0" fillId="0" borderId="34" xfId="0" applyBorder="1"/>
    <xf numFmtId="0" fontId="0" fillId="0" borderId="32" xfId="0" applyBorder="1"/>
    <xf numFmtId="0" fontId="0" fillId="0" borderId="32" xfId="0" applyBorder="1" applyAlignment="1">
      <alignment horizontal="center"/>
    </xf>
    <xf numFmtId="172" fontId="0" fillId="0" borderId="32" xfId="0" applyNumberFormat="1" applyBorder="1"/>
    <xf numFmtId="170" fontId="0" fillId="0" borderId="32" xfId="0" applyNumberFormat="1" applyBorder="1"/>
    <xf numFmtId="43" fontId="0" fillId="0" borderId="32" xfId="0" applyNumberFormat="1" applyBorder="1"/>
    <xf numFmtId="43" fontId="0" fillId="0" borderId="33" xfId="0" applyNumberFormat="1" applyBorder="1"/>
    <xf numFmtId="0" fontId="0" fillId="0" borderId="34" xfId="0" applyNumberFormat="1" applyBorder="1"/>
    <xf numFmtId="0" fontId="0" fillId="0" borderId="32" xfId="0" applyNumberFormat="1" applyBorder="1"/>
    <xf numFmtId="0" fontId="0" fillId="0" borderId="32" xfId="0" applyNumberFormat="1" applyBorder="1" applyAlignment="1">
      <alignment horizontal="center"/>
    </xf>
    <xf numFmtId="0" fontId="0" fillId="0" borderId="5" xfId="0" applyNumberFormat="1" applyBorder="1"/>
    <xf numFmtId="0" fontId="0" fillId="0" borderId="36" xfId="0" applyNumberFormat="1" applyBorder="1"/>
    <xf numFmtId="0" fontId="0" fillId="0" borderId="36" xfId="0" applyNumberFormat="1" applyBorder="1" applyAlignment="1">
      <alignment horizontal="center"/>
    </xf>
    <xf numFmtId="172" fontId="0" fillId="0" borderId="36" xfId="0" applyNumberFormat="1" applyBorder="1"/>
    <xf numFmtId="170" fontId="0" fillId="0" borderId="36" xfId="0" applyNumberFormat="1" applyBorder="1"/>
    <xf numFmtId="43" fontId="0" fillId="0" borderId="36" xfId="0" applyNumberFormat="1" applyBorder="1"/>
    <xf numFmtId="43" fontId="0" fillId="0" borderId="3" xfId="0" applyNumberFormat="1" applyBorder="1"/>
    <xf numFmtId="0" fontId="0" fillId="8" borderId="0" xfId="0" applyFill="1" applyProtection="1">
      <protection locked="0"/>
    </xf>
    <xf numFmtId="167" fontId="0" fillId="8" borderId="0" xfId="0" applyNumberFormat="1" applyFill="1" applyProtection="1">
      <protection locked="0"/>
    </xf>
    <xf numFmtId="2" fontId="0" fillId="8" borderId="0" xfId="0" applyNumberFormat="1" applyFill="1" applyProtection="1">
      <protection locked="0"/>
    </xf>
    <xf numFmtId="0" fontId="0" fillId="8" borderId="0" xfId="0" applyFill="1" applyAlignment="1" applyProtection="1">
      <alignment horizontal="center"/>
      <protection locked="0"/>
    </xf>
    <xf numFmtId="14" fontId="0" fillId="6" borderId="35" xfId="0" applyNumberFormat="1" applyFill="1" applyBorder="1" applyAlignment="1">
      <alignment horizontal="center"/>
    </xf>
    <xf numFmtId="14" fontId="0" fillId="6" borderId="32" xfId="0" applyNumberFormat="1" applyFill="1" applyBorder="1" applyAlignment="1">
      <alignment horizontal="center"/>
    </xf>
    <xf numFmtId="14" fontId="0" fillId="6" borderId="36" xfId="0" applyNumberFormat="1" applyFill="1" applyBorder="1" applyAlignment="1">
      <alignment horizontal="center"/>
    </xf>
    <xf numFmtId="0" fontId="1" fillId="5" borderId="0" xfId="0" applyFont="1" applyFill="1"/>
    <xf numFmtId="169" fontId="0" fillId="0" borderId="37" xfId="0" applyNumberFormat="1" applyFill="1" applyBorder="1" applyAlignment="1" applyProtection="1">
      <protection locked="0"/>
    </xf>
    <xf numFmtId="169" fontId="0" fillId="0" borderId="23" xfId="0" applyNumberFormat="1" applyFill="1" applyBorder="1" applyProtection="1">
      <protection locked="0"/>
    </xf>
    <xf numFmtId="169" fontId="0" fillId="0" borderId="38" xfId="0" applyNumberFormat="1" applyFill="1" applyBorder="1" applyProtection="1">
      <protection locked="0"/>
    </xf>
    <xf numFmtId="0" fontId="5" fillId="5" borderId="39" xfId="0" applyFont="1" applyFill="1" applyBorder="1" applyAlignment="1"/>
    <xf numFmtId="0" fontId="5" fillId="5" borderId="40" xfId="0" applyFont="1" applyFill="1" applyBorder="1" applyAlignment="1"/>
    <xf numFmtId="0" fontId="0" fillId="5" borderId="39" xfId="0" applyFill="1" applyBorder="1"/>
    <xf numFmtId="0" fontId="0" fillId="5" borderId="40" xfId="0" applyFill="1" applyBorder="1"/>
    <xf numFmtId="14" fontId="0" fillId="0" borderId="37" xfId="0" applyNumberFormat="1" applyFill="1" applyBorder="1" applyAlignment="1" applyProtection="1">
      <alignment horizontal="center"/>
      <protection locked="0"/>
    </xf>
    <xf numFmtId="14" fontId="0" fillId="0" borderId="23" xfId="0" applyNumberFormat="1" applyFill="1" applyBorder="1" applyAlignment="1" applyProtection="1">
      <alignment horizontal="center"/>
      <protection locked="0"/>
    </xf>
    <xf numFmtId="14" fontId="0" fillId="0" borderId="38" xfId="0" applyNumberFormat="1" applyFill="1" applyBorder="1" applyAlignment="1" applyProtection="1">
      <alignment horizontal="center"/>
      <protection locked="0"/>
    </xf>
    <xf numFmtId="173" fontId="0" fillId="0" borderId="0" xfId="0" applyNumberFormat="1"/>
    <xf numFmtId="14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4" fontId="0" fillId="8" borderId="0" xfId="0" applyNumberFormat="1" applyFill="1" applyProtection="1">
      <protection locked="0"/>
    </xf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20" xfId="0" applyFont="1" applyFill="1" applyBorder="1" applyAlignment="1">
      <alignment horizontal="center" vertical="top" wrapText="1"/>
    </xf>
    <xf numFmtId="0" fontId="2" fillId="3" borderId="24" xfId="0" applyFont="1" applyFill="1" applyBorder="1" applyAlignment="1">
      <alignment horizontal="center" vertical="top" wrapText="1"/>
    </xf>
    <xf numFmtId="14" fontId="0" fillId="0" borderId="2" xfId="0" applyNumberFormat="1" applyBorder="1" applyAlignment="1" applyProtection="1">
      <alignment horizontal="center"/>
      <protection locked="0"/>
    </xf>
    <xf numFmtId="14" fontId="0" fillId="0" borderId="14" xfId="0" applyNumberFormat="1" applyBorder="1" applyAlignment="1" applyProtection="1">
      <alignment horizontal="center"/>
      <protection locked="0"/>
    </xf>
    <xf numFmtId="10" fontId="0" fillId="0" borderId="25" xfId="0" applyNumberFormat="1" applyBorder="1" applyAlignment="1" applyProtection="1">
      <alignment horizontal="center" vertical="center"/>
      <protection locked="0"/>
    </xf>
    <xf numFmtId="10" fontId="0" fillId="0" borderId="14" xfId="0" applyNumberFormat="1" applyBorder="1" applyAlignment="1" applyProtection="1">
      <alignment horizontal="center" vertical="center"/>
      <protection locked="0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5" borderId="43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69">
    <dxf>
      <numFmt numFmtId="174" formatCode="[$-F400]h:mm:ss\ AM/P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7" formatCode="#,##0.000000"/>
    </dxf>
    <dxf>
      <numFmt numFmtId="164" formatCode="#,##0.000"/>
    </dxf>
    <dxf>
      <numFmt numFmtId="164" formatCode="#,##0.000"/>
    </dxf>
    <dxf>
      <numFmt numFmtId="0" formatCode="General"/>
    </dxf>
    <dxf>
      <numFmt numFmtId="0" formatCode="General"/>
    </dxf>
    <dxf>
      <numFmt numFmtId="4" formatCode="#,##0.0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  <protection locked="0" hidden="0"/>
    </dxf>
    <dxf>
      <font>
        <color rgb="FF9C0006"/>
      </font>
    </dxf>
    <dxf>
      <font>
        <color rgb="FF006100"/>
      </font>
    </dxf>
    <dxf>
      <numFmt numFmtId="168" formatCode="_(* #,##0.0000_);_(* \(#,##0.0000\);_(* &quot;-&quot;??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8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8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8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8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8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fill>
        <patternFill patternType="solid">
          <fgColor indexed="64"/>
          <bgColor rgb="FFF8F8F8"/>
        </patternFill>
      </fill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1" tint="0.249977111117893"/>
        </patternFill>
      </fill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2" formatCode="0.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75" formatCode="dd/mm/yy"/>
      <fill>
        <patternFill patternType="solid">
          <fgColor indexed="64"/>
          <bgColor rgb="FFF8F8F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5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5" formatCode="#,##0.0000"/>
      <fill>
        <patternFill patternType="none">
          <fgColor indexed="64"/>
          <bgColor indexed="65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5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9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9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9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9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numFmt numFmtId="169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175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0" formatCode="General"/>
      <fill>
        <patternFill patternType="solid">
          <fgColor indexed="64"/>
          <bgColor rgb="FFF8F8F8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C00000"/>
        </patternFill>
      </fill>
    </dxf>
    <dxf>
      <font>
        <color rgb="FF99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0000"/>
      <color rgb="FF006100"/>
      <color rgb="FFF8F8F8"/>
      <color rgb="FFF7F7F7"/>
      <color rgb="FFC6EFCE"/>
      <color rgb="FF99FF99"/>
      <color rgb="FF66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7873183805393"/>
          <c:y val="0.11647113868999451"/>
          <c:w val="0.83742946717679112"/>
          <c:h val="0.764953192174790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9D18E"/>
            </a:soli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1"/>
          <c:dPt>
            <c:idx val="4"/>
            <c:invertIfNegative val="1"/>
            <c:bubble3D val="0"/>
            <c:spPr>
              <a:solidFill>
                <a:srgbClr val="8FAADC">
                  <a:alpha val="74902"/>
                </a:srgb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C7-4E3A-A923-9BDEF25ECCEA}"/>
              </c:ext>
            </c:extLst>
          </c:dPt>
          <c:cat>
            <c:strRef>
              <c:f>Summary!$M$6:$M$10</c:f>
              <c:strCache>
                <c:ptCount val="5"/>
                <c:pt idx="0">
                  <c:v>LTC</c:v>
                </c:pt>
                <c:pt idx="1">
                  <c:v>THR</c:v>
                </c:pt>
                <c:pt idx="2">
                  <c:v>THR</c:v>
                </c:pt>
                <c:pt idx="3">
                  <c:v>Other</c:v>
                </c:pt>
                <c:pt idx="4">
                  <c:v>Total</c:v>
                </c:pt>
              </c:strCache>
            </c:strRef>
          </c:cat>
          <c:val>
            <c:numRef>
              <c:f>Summary!$Q$6:$Q$10</c:f>
              <c:numCache>
                <c:formatCode>_(* #,##0.00_);_(* \(#,##0.00\);_(* "-"??_);_(@_)</c:formatCode>
                <c:ptCount val="5"/>
                <c:pt idx="0">
                  <c:v>33163.676295970581</c:v>
                </c:pt>
                <c:pt idx="1">
                  <c:v>0</c:v>
                </c:pt>
                <c:pt idx="2">
                  <c:v>0</c:v>
                </c:pt>
                <c:pt idx="3">
                  <c:v>-99999.807816787739</c:v>
                </c:pt>
                <c:pt idx="4">
                  <c:v>-66836.131520817158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F6C7-4E3A-A923-9BDEF25E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04434576"/>
        <c:axId val="904435888"/>
      </c:barChart>
      <c:catAx>
        <c:axId val="904434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5888"/>
        <c:crosses val="autoZero"/>
        <c:auto val="1"/>
        <c:lblAlgn val="ctr"/>
        <c:lblOffset val="100"/>
        <c:noMultiLvlLbl val="0"/>
      </c:catAx>
      <c:valAx>
        <c:axId val="904435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45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Summary!$C$4</c:f>
              <c:strCache>
                <c:ptCount val="1"/>
                <c:pt idx="0">
                  <c:v>Top 3 Tokens by Book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Summary!$C$6:$C$9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LTC</c:v>
                </c:pt>
                <c:pt idx="3">
                  <c:v>Other</c:v>
                </c:pt>
              </c:strCache>
            </c:strRef>
          </c:cat>
          <c:val>
            <c:numRef>
              <c:f>Summary!$E$6:$E$9</c:f>
              <c:numCache>
                <c:formatCode>_(* #,##0.00_);_(* \(#,##0.00\);_(* "-"??_);_(@_)</c:formatCode>
                <c:ptCount val="4"/>
                <c:pt idx="0">
                  <c:v>210916.66666666666</c:v>
                </c:pt>
                <c:pt idx="1">
                  <c:v>76762.820512820501</c:v>
                </c:pt>
                <c:pt idx="2">
                  <c:v>56000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30 days</a:t>
            </a:r>
          </a:p>
        </c:rich>
      </c:tx>
      <c:layout>
        <c:manualLayout>
          <c:xMode val="edge"/>
          <c:yMode val="edge"/>
          <c:x val="0.31379515535260749"/>
          <c:y val="3.92734352628444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9463744222364E-2"/>
          <c:y val="0.14566517138988996"/>
          <c:w val="0.87000675770676339"/>
          <c:h val="0.7632272620725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numRef>
              <c:f>Summary!$C$46:$C$75</c:f>
              <c:numCache>
                <c:formatCode>dd.mm.yyyy</c:formatCode>
                <c:ptCount val="30"/>
                <c:pt idx="0">
                  <c:v>43616</c:v>
                </c:pt>
                <c:pt idx="1">
                  <c:v>43617</c:v>
                </c:pt>
                <c:pt idx="2">
                  <c:v>43618</c:v>
                </c:pt>
                <c:pt idx="3">
                  <c:v>43619</c:v>
                </c:pt>
                <c:pt idx="4">
                  <c:v>43620</c:v>
                </c:pt>
                <c:pt idx="5">
                  <c:v>43621</c:v>
                </c:pt>
                <c:pt idx="6">
                  <c:v>43622</c:v>
                </c:pt>
                <c:pt idx="7">
                  <c:v>43623</c:v>
                </c:pt>
                <c:pt idx="8">
                  <c:v>43624</c:v>
                </c:pt>
                <c:pt idx="9">
                  <c:v>43625</c:v>
                </c:pt>
                <c:pt idx="10">
                  <c:v>43626</c:v>
                </c:pt>
                <c:pt idx="11">
                  <c:v>43627</c:v>
                </c:pt>
                <c:pt idx="12">
                  <c:v>43628</c:v>
                </c:pt>
                <c:pt idx="13">
                  <c:v>43629</c:v>
                </c:pt>
                <c:pt idx="14">
                  <c:v>43630</c:v>
                </c:pt>
                <c:pt idx="15">
                  <c:v>43631</c:v>
                </c:pt>
                <c:pt idx="16">
                  <c:v>43632</c:v>
                </c:pt>
                <c:pt idx="17">
                  <c:v>43633</c:v>
                </c:pt>
                <c:pt idx="18">
                  <c:v>43634</c:v>
                </c:pt>
                <c:pt idx="19">
                  <c:v>43635</c:v>
                </c:pt>
                <c:pt idx="20">
                  <c:v>43636</c:v>
                </c:pt>
                <c:pt idx="21">
                  <c:v>43637</c:v>
                </c:pt>
                <c:pt idx="22">
                  <c:v>43638</c:v>
                </c:pt>
                <c:pt idx="23">
                  <c:v>43639</c:v>
                </c:pt>
                <c:pt idx="24">
                  <c:v>43640</c:v>
                </c:pt>
                <c:pt idx="25">
                  <c:v>43641</c:v>
                </c:pt>
                <c:pt idx="26">
                  <c:v>43642</c:v>
                </c:pt>
                <c:pt idx="27">
                  <c:v>43643</c:v>
                </c:pt>
                <c:pt idx="28">
                  <c:v>43644</c:v>
                </c:pt>
                <c:pt idx="29">
                  <c:v>43645</c:v>
                </c:pt>
              </c:numCache>
            </c:numRef>
          </c:cat>
          <c:val>
            <c:numRef>
              <c:f>Summary!$D$46:$D$75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inorGridlines>
        <c:numFmt formatCode="dd.mm.yyyy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Unit val="5"/>
        <c:majorTimeUnit val="days"/>
        <c:minorUnit val="1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10 sells</a:t>
            </a:r>
          </a:p>
        </c:rich>
      </c:tx>
      <c:layout>
        <c:manualLayout>
          <c:xMode val="edge"/>
          <c:yMode val="edge"/>
          <c:x val="0.27230769230769231"/>
          <c:y val="3.92734352628444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4423581667676"/>
          <c:y val="0.15008601278259237"/>
          <c:w val="0.82764465980214008"/>
          <c:h val="0.76089019964078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strRef>
              <c:f>Summary!$M$46:$M$55</c:f>
              <c:strCache>
                <c:ptCount val="10"/>
                <c:pt idx="3">
                  <c:v>15.04.2018</c:v>
                </c:pt>
                <c:pt idx="4">
                  <c:v>24.05.2018</c:v>
                </c:pt>
                <c:pt idx="5">
                  <c:v>04.06.2018</c:v>
                </c:pt>
                <c:pt idx="6">
                  <c:v>04.07.2018</c:v>
                </c:pt>
                <c:pt idx="7">
                  <c:v>05.07.2018</c:v>
                </c:pt>
                <c:pt idx="8">
                  <c:v>18.07.2018</c:v>
                </c:pt>
                <c:pt idx="9">
                  <c:v>30.07.2018</c:v>
                </c:pt>
              </c:strCache>
            </c:strRef>
          </c:cat>
          <c:val>
            <c:numRef>
              <c:f>Summary!$J$46:$J$55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25785.714285714286</c:v>
                </c:pt>
                <c:pt idx="4">
                  <c:v>22022.285714285714</c:v>
                </c:pt>
                <c:pt idx="5">
                  <c:v>-1005.7142857142858</c:v>
                </c:pt>
                <c:pt idx="6">
                  <c:v>899.99999999999989</c:v>
                </c:pt>
                <c:pt idx="7">
                  <c:v>1877.7142857142856</c:v>
                </c:pt>
                <c:pt idx="8">
                  <c:v>-14067.999999999998</c:v>
                </c:pt>
                <c:pt idx="9">
                  <c:v>57179.48717948718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TimeUnit val="days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Summary!$H$4</c:f>
              <c:strCache>
                <c:ptCount val="1"/>
                <c:pt idx="0">
                  <c:v>Top 3 Tokens by Market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Summary!$H$6:$H$9</c:f>
              <c:strCache>
                <c:ptCount val="4"/>
                <c:pt idx="0">
                  <c:v>ETH</c:v>
                </c:pt>
                <c:pt idx="1">
                  <c:v>LTC</c:v>
                </c:pt>
                <c:pt idx="2">
                  <c:v>BTC</c:v>
                </c:pt>
                <c:pt idx="3">
                  <c:v>Other</c:v>
                </c:pt>
              </c:strCache>
            </c:strRef>
          </c:cat>
          <c:val>
            <c:numRef>
              <c:f>Summary!$J$6:$J$9</c:f>
              <c:numCache>
                <c:formatCode>_(* #,##0.00_);_(* \(#,##0.00\);_(* "-"??_);_(@_)</c:formatCode>
                <c:ptCount val="4"/>
                <c:pt idx="0">
                  <c:v>134793.97777802206</c:v>
                </c:pt>
                <c:pt idx="1">
                  <c:v>89163.676295970581</c:v>
                </c:pt>
                <c:pt idx="2">
                  <c:v>52885.701584677357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</xdr:colOff>
      <xdr:row>10</xdr:row>
      <xdr:rowOff>9525</xdr:rowOff>
    </xdr:from>
    <xdr:ext cx="4572000" cy="2085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02A4E-7204-408A-8CC3-2F548DEB3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 editAs="oneCell">
    <xdr:from>
      <xdr:col>2</xdr:col>
      <xdr:colOff>1</xdr:colOff>
      <xdr:row>10</xdr:row>
      <xdr:rowOff>9525</xdr:rowOff>
    </xdr:from>
    <xdr:to>
      <xdr:col>5</xdr:col>
      <xdr:colOff>1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5AAB0-5F9E-427E-A7A0-AC543FF12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3809</xdr:colOff>
      <xdr:row>22</xdr:row>
      <xdr:rowOff>1689</xdr:rowOff>
    </xdr:from>
    <xdr:to>
      <xdr:col>11</xdr:col>
      <xdr:colOff>3072</xdr:colOff>
      <xdr:row>38</xdr:row>
      <xdr:rowOff>187427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55A295-42F9-4C58-BAA7-F7C2385D5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3073</xdr:colOff>
      <xdr:row>22</xdr:row>
      <xdr:rowOff>1689</xdr:rowOff>
    </xdr:from>
    <xdr:to>
      <xdr:col>18</xdr:col>
      <xdr:colOff>3073</xdr:colOff>
      <xdr:row>38</xdr:row>
      <xdr:rowOff>187427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238CD8-3EE4-4151-A2E1-64F1FCCB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</xdr:colOff>
      <xdr:row>10</xdr:row>
      <xdr:rowOff>9525</xdr:rowOff>
    </xdr:from>
    <xdr:to>
      <xdr:col>10</xdr:col>
      <xdr:colOff>1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C35300-4BAC-4597-B796-B79D5688A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6A10002-6805-4120-920D-27E51E181FD8}" autoFormatId="16" applyNumberFormats="0" applyBorderFormats="0" applyFontFormats="0" applyPatternFormats="0" applyAlignmentFormats="0" applyWidthHeightFormats="0">
  <queryTableRefresh nextId="32">
    <queryTableFields count="10">
      <queryTableField id="28" name="Token" tableColumnId="1"/>
      <queryTableField id="20" name="Token Name" tableColumnId="2"/>
      <queryTableField id="30" name="Price in DC" tableColumnId="10"/>
      <queryTableField id="21" name="Price in USD" tableColumnId="3"/>
      <queryTableField id="22" name="Price in BTC" tableColumnId="4"/>
      <queryTableField id="23" name="Percent Change, 1h" tableColumnId="5"/>
      <queryTableField id="24" name="Percent Change, 24h" tableColumnId="6"/>
      <queryTableField id="25" name="Percent Change, 7d" tableColumnId="7"/>
      <queryTableField id="26" name="Update Date" tableColumnId="8"/>
      <queryTableField id="27" name="Update Ti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1B3275F-B79A-4F22-B5FF-307C0AA9B8A7}" autoFormatId="16" applyNumberFormats="0" applyBorderFormats="0" applyFontFormats="0" applyPatternFormats="0" applyAlignmentFormats="0" applyWidthHeightFormats="0">
  <queryTableRefresh nextId="4">
    <queryTableFields count="3">
      <queryTableField id="1" name="From" tableColumnId="1"/>
      <queryTableField id="2" name="To" tableColumnId="2"/>
      <queryTableField id="3" name="Rate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3B47B-D87E-431F-B51F-C90A1364EF56}" name="tblRegister" displayName="tblRegister" ref="B3:O124" totalsRowShown="0" headerRowDxfId="60" dataDxfId="59">
  <autoFilter ref="B3:O124" xr:uid="{3E4AAAD6-C53C-4B66-81A4-3A1D182F92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2" xr3:uid="{FC222BFA-C9D1-4CE9-B08C-7544F6DA3A64}" name="Ind" dataDxfId="58">
      <calculatedColumnFormula>ROW()-ROW(tblRegister[[#Headers],[Ind]])</calculatedColumnFormula>
    </tableColumn>
    <tableColumn id="1" xr3:uid="{B6092AF5-9FE0-45CD-B662-1D34310FE314}" name="Batch" dataDxfId="57">
      <calculatedColumnFormula>IF(ISBLANK(tblRegister[[#This Row],[IN Token]]),"",tblRegister[[#This Row],[Ind]])</calculatedColumnFormula>
    </tableColumn>
    <tableColumn id="11" xr3:uid="{449B3B0A-AA0F-4EA9-8B96-A3DF0B82DE08}" name="Date" dataDxfId="56"/>
    <tableColumn id="4" xr3:uid="{2E28DF36-E199-4107-817F-37F0CAB66D4C}" name="IN Token" dataDxfId="55"/>
    <tableColumn id="2" xr3:uid="{AA8F2FE6-A261-445C-949E-E75804AC69CF}" name="IN Quantity" dataDxfId="54"/>
    <tableColumn id="5" xr3:uid="{43B274C4-55AF-4461-B6D9-92E2CA49DE02}" name="OUT Token" dataDxfId="53"/>
    <tableColumn id="3" xr3:uid="{99B929D4-2B56-45DD-A120-38B587EA6243}" name="OUT Quantity" dataDxfId="52"/>
    <tableColumn id="7" xr3:uid="{A86FB75D-9D94-4BB8-A171-5E605343A8CA}" name="OUT Book Price" dataDxfId="51">
      <calculatedColumnFormula array="1">IFERROR(IF(tblRegister[[#This Row],[OUT Token]]=DefCurrency,tblRegister[[#This Row],[OUT Quantity]],
      SUMPRODUCT($J$3:J3,
      IF(IF($E$3:E3 = tblRegister[[#This Row],[OUT Token]],tblRegister[[#This Row],[OUT Quantity]]-$L$3:L3+tblRegister[[#This Row],[OUT Total Before Sale]]+$F$3:F3,0)  &gt; IF(ISERROR(IF($E$3:E3 = tblRegister[[#This Row],[OUT Token]],$L$3:L3,N/A)-tblRegister[[#This Row],[OUT Total Before Sale]]),0,
            IF(IF($E$3:E3 = tblRegister[[#This Row],[OUT Token]],$L$3:L3,N/A)-tblRegister[[#This Row],[OUT Total Before Sale]]&lt;0,0,
                  IF(IF($E$3:E3 = tblRegister[[#This Row],[OUT Token]],$L$3:L3,tblRegister[[#This Row],[OUT Total Before Sale]])-tblRegister[[#This Row],[OUT Total Before Sale]]&lt;IF($E$3:E3 = tblRegister[[#This Row],[OUT Token]],$F$3:F3,0),
                        IF($E$3:E3 = tblRegister[[#This Row],[OUT Token]],$L$3:L3 - tblRegister[[#This Row],[OUT Total Before Sale]],0),
                        IF($E$3:E3 = tblRegister[[#This Row],[OUT Token]],$F$3:F3,0)
                  )
            )
      ),
     IF(ISERROR(IF($E$3:E3 = tblRegister[[#This Row],[OUT Token]],$L$3:L3,N/A)-tblRegister[[#This Row],[OUT Total Before Sale]]),0,
            IF(IF($E$3:E3 = tblRegister[[#This Row],[OUT Token]],$L$3:L3,N/A)-tblRegister[[#This Row],[OUT Total Before Sale]]&lt;0,0,
                  IF(IF($E$3:E3 = tblRegister[[#This Row],[OUT Token]],$L$3:L3,tblRegister[[#This Row],[OUT Total Before Sale]])-tblRegister[[#This Row],[OUT Total Before Sale]]&lt;IF($E$3:E3 = tblRegister[[#This Row],[OUT Token]],$F$3:F3,0),
                        IF($E$3:E3 = tblRegister[[#This Row],[OUT Token]],$L$3:L3 - tblRegister[[#This Row],[OUT Total Before Sale]],0),
                        IF($E$3:E3 = tblRegister[[#This Row],[OUT Token]],$F$3:F3,0)
                  )
            )
      ),
      IF(IF($E$3:E3 = tblRegister[[#This Row],[OUT Token]],tblRegister[[#This Row],[OUT Quantity]]-$L$3:L3+tblRegister[[#This Row],[OUT Total Before Sale]]+$F$3:F3,1) &lt;0,0,
           IF($E$3:E3 = tblRegister[[#This Row],[OUT Token]],tblRegister[[#This Row],[OUT Quantity]]-$L$3:L3+tblRegister[[#This Row],[OUT Total Before Sale]]+$F$3:F3,0)))))/tblRegister[[#This Row],[OUT Quantity]],"")</calculatedColumnFormula>
    </tableColumn>
    <tableColumn id="8" xr3:uid="{C33FF5F3-676C-4DB2-8DA3-2F2FD65A0886}" name="IN Price" dataDxfId="50">
      <calculatedColumnFormula>IFERROR(tblRegister[[#This Row],[OUT Book Price]]*tblRegister[[#This Row],[OUT Quantity]]/tblRegister[[#This Row],[IN Quantity]],"")</calculatedColumnFormula>
    </tableColumn>
    <tableColumn id="9" xr3:uid="{D38BF315-5506-424D-B48F-00F5E9E9E194}" name="Gain|Loss" dataDxfId="49">
      <calculatedColumnFormula>IFERROR(IF(tblRegister[[#This Row],[IN Token]]=DefCurrency,tblRegister[[#This Row],[IN Quantity]]*(1-tblRegister[[#This Row],[IN Price]]),""),"")</calculatedColumnFormula>
    </tableColumn>
    <tableColumn id="6" xr3:uid="{C92592DB-46EF-4A82-AACB-2263BA1E2D04}" name="IN Total" dataDxfId="48">
      <calculatedColumnFormula array="1">IF(tblRegister[[#This Row],[Batch]]="","",SUM(IF(OFFSET(tblRegister[[#Headers],[IN Token]],1,0,tblRegister[[#This Row],[Ind]])=tblRegister[[#This Row],[IN Token]],OFFSET(tblRegister[[#Headers],[IN Quantity]],1,0,tblRegister[[#This Row],[Ind]]),0)))</calculatedColumnFormula>
    </tableColumn>
    <tableColumn id="13" xr3:uid="{27FBF59A-81DC-400D-B7B8-BB7CB28E1209}" name="Stock Before Sale" dataDxfId="47">
      <calculatedColumnFormula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calculatedColumnFormula>
    </tableColumn>
    <tableColumn id="14" xr3:uid="{0DAE755E-2DD5-42CF-8789-1A583A399CFB}" name="OUT Total Before Sale" dataDxfId="46">
      <calculatedColumnFormula array="1">IF(tblRegister[[#This Row],[Batch]]="","",tblRegister[[#This Row],[OUT Total After Sale]]-tblRegister[[#This Row],[OUT Quantity]])</calculatedColumnFormula>
    </tableColumn>
    <tableColumn id="10" xr3:uid="{0F3EBBD2-A468-47A3-B7A1-0CE597561610}" name="OUT Total After Sale" dataDxfId="45">
      <calculatedColumnFormula array="1">IF(tblRegister[[#This Row],[Batch]]="","",SUM(IF(OFFSET(tblRegister[[#Headers],[OUT Token]],1,0,tblRegister[[#This Row],[Ind]])=tblRegister[[#This Row],[OUT Token]],OFFSET(tblRegister[[#Headers],[OUT Quantity]],1,0,tblRegister[[#This Row],[Ind]]),0)))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B39BF-943C-439F-9BE4-1B84B2098177}" name="tblTaxes" displayName="tblTaxes" ref="B5:K38" totalsRowCount="1" headerRowDxfId="42">
  <autoFilter ref="B5:K37" xr:uid="{81D97846-34E8-4099-921F-6E7D5AAEDB1F}"/>
  <tableColumns count="10">
    <tableColumn id="1" xr3:uid="{35D77533-A53F-444A-A7CA-382F33940708}" name="Ind" totalsRowLabel="Total" dataDxfId="41">
      <calculatedColumnFormula>ROW()-ROW(tblTaxes[[#Headers],[Ind]])</calculatedColumnFormula>
    </tableColumn>
    <tableColumn id="9" xr3:uid="{4AD9C47C-376D-4BA8-80BC-9551E839C110}" name="Batch" dataDxfId="40">
      <calculatedColumnFormula array="1">IFERROR(SMALL(IFERROR(IF(tblRegister[Date]&gt;=P_Start,1,NA())*IF(tblRegister[Date]&lt;=P_End,1,NA())*IF(tblRegister[Gain|Loss]&lt;&gt;"",1,NA())*tblRegister[Batch],""),tblTaxes[[#This Row],[Ind]]),"")</calculatedColumnFormula>
    </tableColumn>
    <tableColumn id="2" xr3:uid="{A5DB478F-1CBA-47FE-A307-9A9411BAC8CD}" name="Date" dataDxfId="39">
      <calculatedColumnFormula>IF(tblTaxes[[#This Row],[Batch]]="","",INDEX(tblRegister[Date],MATCH(tblTaxes[[#This Row],[Batch]],tblRegister[Batch])))</calculatedColumnFormula>
    </tableColumn>
    <tableColumn id="3" xr3:uid="{6B3086AA-82CA-4476-9F82-2A191D9845E2}" name="Token" dataDxfId="38">
      <calculatedColumnFormula>IF(tblTaxes[[#This Row],[Batch]]="","",INDEX(tblRegister[OUT Token],MATCH(tblTaxes[[#This Row],[Batch]],tblRegister[Batch])))</calculatedColumnFormula>
    </tableColumn>
    <tableColumn id="4" xr3:uid="{2EEBF8E4-5096-468B-B039-2835AB890760}" name="Quantity" dataDxfId="37">
      <calculatedColumnFormula>IF(tblTaxes[[#This Row],[Batch]]="","",INDEX(tblRegister[OUT Quantity],MATCH(tblTaxes[[#This Row],[Batch]],tblRegister[Batch])))</calculatedColumnFormula>
    </tableColumn>
    <tableColumn id="5" xr3:uid="{5E64E7CC-3316-4143-881A-622967FD087E}" name="Book Price" dataDxfId="36">
      <calculatedColumnFormula>IF(tblTaxes[[#This Row],[Batch]]="","",INDEX(tblRegister[OUT Book Price],MATCH(tblTaxes[[#This Row],[Batch]],tblRegister[Batch])))</calculatedColumnFormula>
    </tableColumn>
    <tableColumn id="6" xr3:uid="{AD83C6E1-513E-4CE6-85F2-62D57F29C38A}" name="Sell Price" dataDxfId="35">
      <calculatedColumnFormula>IF(tblTaxes[[#This Row],[Batch]]="","",INDEX(tblRegister[IN Quantity],MATCH(tblTaxes[[#This Row],[Batch]],tblRegister[Batch]))/tblTaxes[[#This Row],[Quantity]])</calculatedColumnFormula>
    </tableColumn>
    <tableColumn id="7" xr3:uid="{ED08FEF9-D986-4C85-8096-E2410A42E90E}" name="Gain | Loss" totalsRowFunction="sum" dataDxfId="34" totalsRowDxfId="33">
      <calculatedColumnFormula>IF(tblTaxes[[#This Row],[Batch]]="","",INDEX(tblRegister[Gain|Loss],MATCH(tblTaxes[[#This Row],[Batch]],tblRegister[Batch])))</calculatedColumnFormula>
    </tableColumn>
    <tableColumn id="11" xr3:uid="{2AF33A0F-DFDC-4791-8F8F-3D9465BABAC6}" name="Not Taxable" dataDxfId="32" totalsRowDxfId="31"/>
    <tableColumn id="8" xr3:uid="{A9649121-5337-4FC7-803C-7D49616BD2D0}" name="Tax to Pay" totalsRowFunction="sum" dataDxfId="30" totalsRowDxfId="29">
      <calculatedColumnFormula>IF(OR(tblTaxes[[#This Row],[Batch]]="",NOT(ISBLANK(tblTaxes[[#This Row],[Not Taxable]]))),"",tblTaxes[[#This Row],[Gain | Loss]]*Tax_Rate)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A635ED-0796-4CFB-BC85-67C1FE5778BB}" name="tblBalance" displayName="tblBalance" ref="B2:H102" totalsRowShown="0" headerRowDxfId="26">
  <autoFilter ref="B2:H102" xr:uid="{0AE8E892-1ECC-4D0C-953B-EF0DD6C2BE9A}"/>
  <sortState xmlns:xlrd2="http://schemas.microsoft.com/office/spreadsheetml/2017/richdata2" ref="B3:H102">
    <sortCondition descending="1" ref="H2:H102"/>
  </sortState>
  <tableColumns count="7">
    <tableColumn id="1" xr3:uid="{25AA2175-B5C9-4E88-B6B4-175177F3BCF2}" name="Token" dataDxfId="25">
      <calculatedColumnFormula>tblRates[[#This Row],[Token]]</calculatedColumnFormula>
    </tableColumn>
    <tableColumn id="2" xr3:uid="{32347104-C3F9-4610-BAF2-626E3FF87BEF}" name="Balance" dataDxfId="24">
      <calculatedColumnFormula>SUMIF(tblRegister[IN Token],tblBalance[[#This Row],[Token]],tblRegister[IN Quantity])-SUMIF(tblRegister[OUT Token],tblBalance[[#This Row],[Token]],tblRegister[OUT Quantity])</calculatedColumnFormula>
    </tableColumn>
    <tableColumn id="3" xr3:uid="{030EC264-C80C-4E7A-8E02-0ACE09EEC763}" name="T_IN" dataDxfId="23">
      <calculatedColumnFormula>SUMIF(tblRegister[IN Token],tblBalance[[#This Row],[Token]],tblRegister[IN Quantity])</calculatedColumnFormula>
    </tableColumn>
    <tableColumn id="4" xr3:uid="{6A6CB994-92AA-44A4-B426-5390D2BEFBA9}" name="T_OUT" dataDxfId="22">
      <calculatedColumnFormula>SUMIF(tblRegister[OUT Token],tblBalance[[#This Row],[Token]],tblRegister[OUT Quantity])</calculatedColumnFormula>
    </tableColumn>
    <tableColumn id="5" xr3:uid="{C04B7D05-4252-40A7-B536-3A64FC363984}" name="Book Value" dataDxfId="21">
      <calculatedColumnFormula array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calculatedColumnFormula>
    </tableColumn>
    <tableColumn id="6" xr3:uid="{9CF93F77-3922-4158-9FA9-30231953DFAD}" name="Market Value" dataDxfId="20">
      <calculatedColumnFormula>INDEX(tblRates[],MATCH(tblBalance[[#This Row],[Token]],tblRates[Token],0),3)*tblBalance[[#This Row],[Balance]]</calculatedColumnFormula>
    </tableColumn>
    <tableColumn id="7" xr3:uid="{8707FBE0-44C9-4BB1-8ADB-DE517C9D7205}" name="Gain | Loss" dataDxfId="19">
      <calculatedColumnFormula>tblBalance[[#This Row],[Market Value]]-tblBalance[[#This Row],[Book Value]]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CE5D-C811-4ED9-9C30-CBC5DC601EE9}" name="tblRates" displayName="tblRates" ref="B2:K102" tableType="queryTable" totalsRowShown="0" headerRowDxfId="16">
  <autoFilter ref="B2:K102" xr:uid="{27C82D60-4284-4179-AB2E-7FA888E8CF02}"/>
  <sortState xmlns:xlrd2="http://schemas.microsoft.com/office/spreadsheetml/2017/richdata2" ref="B3:K102">
    <sortCondition descending="1" ref="E2:E102"/>
  </sortState>
  <tableColumns count="10">
    <tableColumn id="1" xr3:uid="{A3F51F5D-1E0C-4905-9B2B-AACC3825E087}" uniqueName="1" name="Token" queryTableFieldId="28" dataDxfId="9"/>
    <tableColumn id="2" xr3:uid="{07C9E191-C571-4199-BCC8-34A621BFA1FB}" uniqueName="2" name="Token Name" queryTableFieldId="20" dataDxfId="8"/>
    <tableColumn id="10" xr3:uid="{2C6C1E91-6160-4A90-92C0-3F236848C65E}" uniqueName="10" name="Price in DC" queryTableFieldId="30" dataDxfId="7"/>
    <tableColumn id="3" xr3:uid="{5E56FCA2-8E59-4544-8E49-667E99F363A6}" uniqueName="3" name="Price in USD" queryTableFieldId="21" dataDxfId="6"/>
    <tableColumn id="4" xr3:uid="{F542F28F-59E3-43E8-B400-5B45C004F2BF}" uniqueName="4" name="Price in BTC" queryTableFieldId="22" dataDxfId="5"/>
    <tableColumn id="5" xr3:uid="{DC9A0D14-6ED0-496D-B8B9-A6B178818891}" uniqueName="5" name="Percent Change, 1h" queryTableFieldId="23" dataDxfId="4"/>
    <tableColumn id="6" xr3:uid="{8D1C25E4-8B57-4913-9117-4F56D1CCD920}" uniqueName="6" name="Percent Change, 24h" queryTableFieldId="24" dataDxfId="3"/>
    <tableColumn id="7" xr3:uid="{52342D15-79F1-4230-819F-92A5E417F153}" uniqueName="7" name="Percent Change, 7d" queryTableFieldId="25" dataDxfId="2"/>
    <tableColumn id="8" xr3:uid="{67E7F862-478F-42B5-B343-7130A0D4FBB9}" uniqueName="8" name="Update Date" queryTableFieldId="26" dataDxfId="1"/>
    <tableColumn id="9" xr3:uid="{BC47E70E-941F-46DC-BFA4-1AF522327978}" uniqueName="9" name="Update Time" queryTableFieldId="2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B99D33-0A7C-4EF6-9DD0-1AA139E8812C}" name="Custom_Tokens" displayName="Custom_Tokens" ref="A1:I3" totalsRowShown="0">
  <autoFilter ref="A1:I3" xr:uid="{AF29636F-9903-45C0-8E77-F2ACD447C75A}"/>
  <tableColumns count="9">
    <tableColumn id="1" xr3:uid="{B1C41F6A-7AF0-437B-8218-B8C0F257BDDC}" name="Token" dataDxfId="15"/>
    <tableColumn id="2" xr3:uid="{D00DA94C-169D-4A95-BBB8-7A797A36FF12}" name="Token Name" dataDxfId="14"/>
    <tableColumn id="3" xr3:uid="{B3962754-EF40-47A3-942F-11686F1650F5}" name="Price in USD"/>
    <tableColumn id="4" xr3:uid="{4B7205DB-9395-41FE-95E3-19D40C856B31}" name="Price in BTC"/>
    <tableColumn id="5" xr3:uid="{640107CE-52AE-43E5-87FC-3EA65EEB7276}" name="Percent Change, 1h"/>
    <tableColumn id="6" xr3:uid="{E4F944C8-9AA3-4CF5-8429-EBCB7F683B80}" name="Percent Change, 24h"/>
    <tableColumn id="7" xr3:uid="{A61F326C-B48F-43B1-B9B5-A48E60DE094B}" name="Percent Change, 7d"/>
    <tableColumn id="8" xr3:uid="{62CDCC6E-E208-4D5A-98D6-6B92858A9DF0}" name="Update Date"/>
    <tableColumn id="9" xr3:uid="{14159753-76A8-4893-A78B-AC3ACB208E09}" name="Update Tim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9582A2-7E77-4CF8-8071-AA015D35D68B}" name="tblExchRates" displayName="tblExchRates" ref="B4:D10" tableType="queryTable" totalsRowShown="0" headerRowDxfId="13">
  <autoFilter ref="B4:D10" xr:uid="{8908FFD0-02EC-4431-8C6D-777C9A0997A9}">
    <filterColumn colId="0" hiddenButton="1"/>
    <filterColumn colId="1" hiddenButton="1"/>
    <filterColumn colId="2" hiddenButton="1"/>
  </autoFilter>
  <tableColumns count="3">
    <tableColumn id="1" xr3:uid="{8761801B-43DE-4144-8EEB-F1CFA11079B8}" uniqueName="1" name="From" queryTableFieldId="1" dataDxfId="12"/>
    <tableColumn id="2" xr3:uid="{D2B7D9D2-5D39-4F57-98D3-9743498E353F}" uniqueName="2" name="To" queryTableFieldId="2" dataDxfId="11"/>
    <tableColumn id="3" xr3:uid="{8B07CBE9-8C32-40AD-BDF3-31F4BB0D5403}" uniqueName="3" name="Rate" queryTableFieldId="3" dataDxfId="1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89A-9082-459D-AB1E-A57CA488D2D1}">
  <sheetPr>
    <tabColor rgb="FF002060"/>
  </sheetPr>
  <dimension ref="A1:S139"/>
  <sheetViews>
    <sheetView showGridLines="0" showRowColHeaders="0" tabSelected="1" workbookViewId="0">
      <selection activeCell="D7" sqref="D7"/>
    </sheetView>
  </sheetViews>
  <sheetFormatPr defaultColWidth="0" defaultRowHeight="15" zeroHeight="1" x14ac:dyDescent="0.25"/>
  <cols>
    <col min="1" max="2" width="2.85546875" style="9" customWidth="1"/>
    <col min="3" max="3" width="11.42578125" style="9" customWidth="1"/>
    <col min="4" max="5" width="14.28515625" style="9" customWidth="1"/>
    <col min="6" max="7" width="2.85546875" style="9" customWidth="1"/>
    <col min="8" max="8" width="11.42578125" style="9" customWidth="1"/>
    <col min="9" max="10" width="14.28515625" style="9" customWidth="1"/>
    <col min="11" max="12" width="2.85546875" style="9" customWidth="1"/>
    <col min="13" max="13" width="11.42578125" style="9" customWidth="1"/>
    <col min="14" max="17" width="14.28515625" style="9" customWidth="1"/>
    <col min="18" max="19" width="2.85546875" style="9" customWidth="1"/>
    <col min="20" max="16384" width="9.140625" hidden="1"/>
  </cols>
  <sheetData>
    <row r="1" spans="1:19" x14ac:dyDescent="0.25"/>
    <row r="2" spans="1:19" ht="18.75" x14ac:dyDescent="0.25">
      <c r="B2" s="130" t="s">
        <v>146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</row>
    <row r="3" spans="1:19" x14ac:dyDescent="0.25">
      <c r="B3" s="12"/>
      <c r="C3" s="13"/>
      <c r="D3" s="13"/>
      <c r="E3" s="13"/>
      <c r="F3" s="14"/>
      <c r="G3" s="12"/>
      <c r="H3" s="13"/>
      <c r="I3" s="13"/>
      <c r="J3" s="13"/>
      <c r="K3" s="14"/>
      <c r="L3" s="12"/>
      <c r="M3" s="13"/>
      <c r="N3" s="13"/>
      <c r="O3" s="13"/>
      <c r="P3" s="13"/>
      <c r="Q3" s="13"/>
      <c r="R3" s="14"/>
    </row>
    <row r="4" spans="1:19" s="10" customFormat="1" ht="18.75" customHeight="1" x14ac:dyDescent="0.25">
      <c r="A4" s="11"/>
      <c r="B4" s="15"/>
      <c r="C4" s="127" t="s">
        <v>149</v>
      </c>
      <c r="D4" s="128"/>
      <c r="E4" s="129"/>
      <c r="F4" s="113"/>
      <c r="G4" s="114"/>
      <c r="H4" s="127" t="s">
        <v>150</v>
      </c>
      <c r="I4" s="128"/>
      <c r="J4" s="129"/>
      <c r="K4" s="16"/>
      <c r="L4" s="15"/>
      <c r="M4" s="127" t="s">
        <v>151</v>
      </c>
      <c r="N4" s="128"/>
      <c r="O4" s="128"/>
      <c r="P4" s="128"/>
      <c r="Q4" s="129"/>
      <c r="R4" s="16"/>
      <c r="S4" s="11"/>
    </row>
    <row r="5" spans="1:19" ht="30" x14ac:dyDescent="0.25">
      <c r="B5" s="17"/>
      <c r="C5" s="22" t="s">
        <v>6</v>
      </c>
      <c r="D5" s="23" t="s">
        <v>152</v>
      </c>
      <c r="E5" s="24" t="str">
        <f>_xlfn.CONCAT("Book Value, ",DefCurrency)</f>
        <v>Book Value, EUR</v>
      </c>
      <c r="F5" s="115"/>
      <c r="G5" s="116"/>
      <c r="H5" s="22" t="s">
        <v>6</v>
      </c>
      <c r="I5" s="23" t="s">
        <v>152</v>
      </c>
      <c r="J5" s="24" t="str">
        <f>_xlfn.CONCAT("Book Value, ",DefCurrency)</f>
        <v>Book Value, EUR</v>
      </c>
      <c r="K5" s="18"/>
      <c r="L5" s="17"/>
      <c r="M5" s="22" t="s">
        <v>6</v>
      </c>
      <c r="N5" s="23" t="s">
        <v>152</v>
      </c>
      <c r="O5" s="23" t="str">
        <f>_xlfn.CONCAT("Book Value, ",DefCurrency)</f>
        <v>Book Value, EUR</v>
      </c>
      <c r="P5" s="23" t="str">
        <f>_xlfn.CONCAT("Market Value, ",DefCurrency)</f>
        <v>Market Value, EUR</v>
      </c>
      <c r="Q5" s="24" t="s">
        <v>144</v>
      </c>
      <c r="R5" s="18"/>
    </row>
    <row r="6" spans="1:19" x14ac:dyDescent="0.25">
      <c r="B6" s="17"/>
      <c r="C6" s="37" t="str">
        <f ca="1">INDEX(tblBalance[Token],MATCH(E6,tblBalance[Book Value],0))</f>
        <v>ETH</v>
      </c>
      <c r="D6" s="38">
        <f ca="1">IF(ISBLANK(C6),"",INDEX(tblBalance[],MATCH(Summary!C6,tblBalance[Token],0),2))</f>
        <v>500</v>
      </c>
      <c r="E6" s="39">
        <f ca="1">LARGE(tblBalance[Book Value],1)</f>
        <v>210916.66666666666</v>
      </c>
      <c r="F6" s="18"/>
      <c r="G6" s="17"/>
      <c r="H6" s="37" t="str">
        <f>INDEX(tblBalance[Token],MATCH(J6,tblBalance[Market Value],0))</f>
        <v>ETH</v>
      </c>
      <c r="I6" s="38">
        <f>IF(ISBLANK(H6),"",INDEX(tblBalance[],MATCH(Summary!H6,tblBalance[Token],0),2))</f>
        <v>500</v>
      </c>
      <c r="J6" s="39">
        <f>LARGE(tblBalance[Market Value],1)</f>
        <v>134793.97777802206</v>
      </c>
      <c r="K6" s="18"/>
      <c r="L6" s="17"/>
      <c r="M6" s="37" t="str">
        <f ca="1">INDEX(tblBalance[Token],MATCH(Q6,tblBalance[Gain | Loss],0))</f>
        <v>LTC</v>
      </c>
      <c r="N6" s="38">
        <f ca="1">IF(ISBLANK(M6),"",INDEX(tblBalance[],MATCH(Summary!M6,tblBalance[Token],0),2))</f>
        <v>800</v>
      </c>
      <c r="O6" s="39">
        <f ca="1">IF(ISBLANK(M6),"",INDEX(tblBalance[],MATCH(Summary!M6,tblBalance[Token],0),5))</f>
        <v>56000</v>
      </c>
      <c r="P6" s="39">
        <f ca="1">IF(ISBLANK(M6),"",INDEX(tblBalance[],MATCH(Summary!M6,tblBalance[Token],0),6))</f>
        <v>89163.676295970581</v>
      </c>
      <c r="Q6" s="39">
        <f ca="1">LARGE(tblBalance[Gain | Loss],1)</f>
        <v>33163.676295970581</v>
      </c>
      <c r="R6" s="18"/>
    </row>
    <row r="7" spans="1:19" x14ac:dyDescent="0.25">
      <c r="B7" s="17"/>
      <c r="C7" s="40" t="str">
        <f ca="1">INDEX(tblBalance[Token],MATCH(E7,tblBalance[Book Value],0))</f>
        <v>BTC</v>
      </c>
      <c r="D7" s="41">
        <f ca="1">IF(ISBLANK(C7),"",INDEX(tblBalance[],MATCH(Summary!C7,tblBalance[Token],0),2))</f>
        <v>5</v>
      </c>
      <c r="E7" s="42">
        <f ca="1">LARGE(tblBalance[Book Value],2)</f>
        <v>76762.820512820501</v>
      </c>
      <c r="F7" s="18"/>
      <c r="G7" s="17"/>
      <c r="H7" s="40" t="str">
        <f>INDEX(tblBalance[Token],MATCH(J7,tblBalance[Market Value],0))</f>
        <v>LTC</v>
      </c>
      <c r="I7" s="41">
        <f>IF(ISBLANK(H7),"",INDEX(tblBalance[],MATCH(Summary!H7,tblBalance[Token],0),2))</f>
        <v>800</v>
      </c>
      <c r="J7" s="42">
        <f>LARGE(tblBalance[Market Value],2)</f>
        <v>89163.676295970581</v>
      </c>
      <c r="K7" s="18"/>
      <c r="L7" s="17"/>
      <c r="M7" s="40" t="str">
        <f ca="1">INDEX(tblBalance[Token],MATCH(Q7,tblBalance[Gain | Loss],0))</f>
        <v>THR</v>
      </c>
      <c r="N7" s="41">
        <f ca="1">IF(ISBLANK(M7),"",INDEX(tblBalance[],MATCH(Summary!M7,tblBalance[Token],0),2))</f>
        <v>0</v>
      </c>
      <c r="O7" s="42">
        <f ca="1">IF(ISBLANK(M7),"",INDEX(tblBalance[],MATCH(Summary!M7,tblBalance[Token],0),5))</f>
        <v>0</v>
      </c>
      <c r="P7" s="42">
        <f ca="1">IF(ISBLANK(M7),"",INDEX(tblBalance[],MATCH(Summary!M7,tblBalance[Token],0),6))</f>
        <v>0</v>
      </c>
      <c r="Q7" s="42">
        <f ca="1">LARGE(tblBalance[Gain | Loss],2)</f>
        <v>0</v>
      </c>
      <c r="R7" s="18"/>
    </row>
    <row r="8" spans="1:19" x14ac:dyDescent="0.25">
      <c r="B8" s="17"/>
      <c r="C8" s="40" t="str">
        <f ca="1">INDEX(tblBalance[Token],MATCH(E8,tblBalance[Book Value],0))</f>
        <v>LTC</v>
      </c>
      <c r="D8" s="41">
        <f ca="1">IF(ISBLANK(C8),"",INDEX(tblBalance[],MATCH(Summary!C8,tblBalance[Token],0),2))</f>
        <v>800</v>
      </c>
      <c r="E8" s="42">
        <f ca="1">LARGE(tblBalance[Book Value],3)</f>
        <v>56000</v>
      </c>
      <c r="F8" s="18"/>
      <c r="G8" s="17"/>
      <c r="H8" s="40" t="str">
        <f>INDEX(tblBalance[Token],MATCH(J8,tblBalance[Market Value],0))</f>
        <v>BTC</v>
      </c>
      <c r="I8" s="41">
        <f>IF(ISBLANK(H8),"",INDEX(tblBalance[],MATCH(Summary!H8,tblBalance[Token],0),2))</f>
        <v>5</v>
      </c>
      <c r="J8" s="42">
        <f>LARGE(tblBalance[Market Value],3)</f>
        <v>52885.701584677357</v>
      </c>
      <c r="K8" s="18"/>
      <c r="L8" s="17"/>
      <c r="M8" s="40" t="str">
        <f ca="1">INDEX(tblBalance[Token],MATCH(Q8,tblBalance[Gain | Loss],0))</f>
        <v>THR</v>
      </c>
      <c r="N8" s="41">
        <f ca="1">IF(ISBLANK(M8),"",INDEX(tblBalance[],MATCH(Summary!M8,tblBalance[Token],0),2))</f>
        <v>0</v>
      </c>
      <c r="O8" s="42">
        <f ca="1">IF(ISBLANK(M8),"",INDEX(tblBalance[],MATCH(Summary!M8,tblBalance[Token],0),5))</f>
        <v>0</v>
      </c>
      <c r="P8" s="42">
        <f ca="1">IF(ISBLANK(M8),"",INDEX(tblBalance[],MATCH(Summary!M8,tblBalance[Token],0),6))</f>
        <v>0</v>
      </c>
      <c r="Q8" s="42">
        <f ca="1">LARGE(tblBalance[Gain | Loss],3)</f>
        <v>0</v>
      </c>
      <c r="R8" s="18"/>
    </row>
    <row r="9" spans="1:19" x14ac:dyDescent="0.25">
      <c r="B9" s="17"/>
      <c r="C9" s="43" t="s">
        <v>147</v>
      </c>
      <c r="D9" s="44">
        <f ca="1">SUM(tblBalance[Balance])-SUM(D6:D8)</f>
        <v>0</v>
      </c>
      <c r="E9" s="45">
        <f ca="1">SUM(tblBalance[Book Value])-SUM(E6:E8)</f>
        <v>0</v>
      </c>
      <c r="F9" s="18"/>
      <c r="G9" s="17"/>
      <c r="H9" s="43" t="s">
        <v>147</v>
      </c>
      <c r="I9" s="44">
        <f>SUM(tblBalance[Balance])-SUM(I6:I8)</f>
        <v>0</v>
      </c>
      <c r="J9" s="45">
        <f>SUM(tblBalance[Market Value])-SUM(J6:J8)</f>
        <v>0</v>
      </c>
      <c r="K9" s="18"/>
      <c r="L9" s="17"/>
      <c r="M9" s="43" t="s">
        <v>147</v>
      </c>
      <c r="N9" s="44">
        <f ca="1">SUM(tblBalance[Balance])-SUM(N6:N8)</f>
        <v>505</v>
      </c>
      <c r="O9" s="45">
        <f ca="1">SUM(tblBalance[Book Value])-SUM(O6:O8)</f>
        <v>287679.48717948713</v>
      </c>
      <c r="P9" s="45">
        <f ca="1">SUM(tblBalance[Market Value])-SUM(P6:P8)</f>
        <v>187679.67936269945</v>
      </c>
      <c r="Q9" s="45">
        <f ca="1">SUM(tblBalance[Gain | Loss])-SUM(Q6:Q8)</f>
        <v>-99999.807816787739</v>
      </c>
      <c r="R9" s="18"/>
    </row>
    <row r="10" spans="1:19" x14ac:dyDescent="0.25">
      <c r="B10" s="17"/>
      <c r="C10" s="8" t="s">
        <v>148</v>
      </c>
      <c r="D10" s="35">
        <f>SUM(tblBalance[Balance])</f>
        <v>1305</v>
      </c>
      <c r="E10" s="36">
        <f ca="1">SUM(tblBalance[Book Value])</f>
        <v>343679.48717948713</v>
      </c>
      <c r="F10" s="18"/>
      <c r="G10" s="17"/>
      <c r="H10" s="8" t="s">
        <v>148</v>
      </c>
      <c r="I10" s="35">
        <f>SUM(tblBalance[Balance])</f>
        <v>1305</v>
      </c>
      <c r="J10" s="36">
        <f>SUM(tblBalance[Market Value])</f>
        <v>276843.35565867001</v>
      </c>
      <c r="K10" s="18"/>
      <c r="L10" s="17"/>
      <c r="M10" s="25" t="s">
        <v>148</v>
      </c>
      <c r="N10" s="6">
        <f>SUM(tblBalance[Balance])</f>
        <v>1305</v>
      </c>
      <c r="O10" s="7">
        <f ca="1">SUM(tblBalance[Book Value])</f>
        <v>343679.48717948713</v>
      </c>
      <c r="P10" s="7">
        <f>SUM(tblBalance[Market Value])</f>
        <v>276843.35565867001</v>
      </c>
      <c r="Q10" s="26">
        <f ca="1">SUM(tblBalance[Gain | Loss])</f>
        <v>-66836.131520817158</v>
      </c>
      <c r="R10" s="18"/>
    </row>
    <row r="11" spans="1:19" x14ac:dyDescent="0.25">
      <c r="B11" s="17"/>
      <c r="C11" s="27"/>
      <c r="D11" s="27"/>
      <c r="E11" s="27"/>
      <c r="F11" s="18"/>
      <c r="G11" s="17"/>
      <c r="H11" s="27"/>
      <c r="I11" s="27"/>
      <c r="J11" s="27"/>
      <c r="K11" s="18"/>
      <c r="L11" s="17"/>
      <c r="M11" s="27"/>
      <c r="N11" s="27"/>
      <c r="O11" s="27"/>
      <c r="P11" s="27"/>
      <c r="Q11" s="27"/>
      <c r="R11" s="18"/>
    </row>
    <row r="12" spans="1:19" x14ac:dyDescent="0.25">
      <c r="B12" s="17"/>
      <c r="C12" s="27"/>
      <c r="D12" s="27"/>
      <c r="E12" s="27"/>
      <c r="F12" s="18"/>
      <c r="G12" s="17"/>
      <c r="H12" s="27"/>
      <c r="I12" s="27"/>
      <c r="J12" s="27"/>
      <c r="K12" s="18"/>
      <c r="L12" s="17"/>
      <c r="M12" s="27"/>
      <c r="N12" s="27"/>
      <c r="O12" s="27"/>
      <c r="P12" s="27"/>
      <c r="Q12" s="27"/>
      <c r="R12" s="18"/>
    </row>
    <row r="13" spans="1:19" x14ac:dyDescent="0.25">
      <c r="B13" s="17"/>
      <c r="C13" s="27"/>
      <c r="D13" s="27"/>
      <c r="E13" s="27"/>
      <c r="F13" s="18"/>
      <c r="G13" s="17"/>
      <c r="H13" s="27"/>
      <c r="I13" s="27"/>
      <c r="J13" s="27"/>
      <c r="K13" s="18"/>
      <c r="L13" s="17"/>
      <c r="M13" s="27"/>
      <c r="N13" s="27"/>
      <c r="O13" s="27"/>
      <c r="P13" s="27"/>
      <c r="Q13" s="27"/>
      <c r="R13" s="18"/>
    </row>
    <row r="14" spans="1:19" x14ac:dyDescent="0.25">
      <c r="B14" s="17"/>
      <c r="C14" s="27"/>
      <c r="D14" s="27"/>
      <c r="E14" s="27"/>
      <c r="F14" s="18"/>
      <c r="G14" s="17"/>
      <c r="H14" s="27"/>
      <c r="I14" s="27"/>
      <c r="J14" s="27"/>
      <c r="K14" s="18"/>
      <c r="L14" s="17"/>
      <c r="M14" s="27"/>
      <c r="N14" s="27"/>
      <c r="O14" s="27"/>
      <c r="P14" s="27"/>
      <c r="Q14" s="27"/>
      <c r="R14" s="18"/>
    </row>
    <row r="15" spans="1:19" x14ac:dyDescent="0.25">
      <c r="B15" s="17"/>
      <c r="C15" s="27"/>
      <c r="D15" s="27"/>
      <c r="E15" s="27"/>
      <c r="F15" s="18"/>
      <c r="G15" s="17"/>
      <c r="H15" s="27"/>
      <c r="I15" s="27"/>
      <c r="J15" s="27"/>
      <c r="K15" s="18"/>
      <c r="L15" s="17"/>
      <c r="M15" s="27"/>
      <c r="N15" s="27"/>
      <c r="O15" s="27"/>
      <c r="P15" s="27"/>
      <c r="Q15" s="27"/>
      <c r="R15" s="18"/>
    </row>
    <row r="16" spans="1:19" x14ac:dyDescent="0.25">
      <c r="B16" s="17"/>
      <c r="C16" s="27"/>
      <c r="D16" s="27"/>
      <c r="E16" s="27"/>
      <c r="F16" s="18"/>
      <c r="G16" s="17"/>
      <c r="H16" s="27"/>
      <c r="I16" s="27"/>
      <c r="J16" s="27"/>
      <c r="K16" s="18"/>
      <c r="L16" s="17"/>
      <c r="M16" s="27"/>
      <c r="N16" s="27"/>
      <c r="O16" s="27"/>
      <c r="P16" s="27"/>
      <c r="Q16" s="27"/>
      <c r="R16" s="18"/>
    </row>
    <row r="17" spans="2:18" x14ac:dyDescent="0.25">
      <c r="B17" s="17"/>
      <c r="C17" s="27"/>
      <c r="D17" s="27"/>
      <c r="E17" s="27"/>
      <c r="F17" s="18"/>
      <c r="G17" s="17"/>
      <c r="H17" s="27"/>
      <c r="I17" s="27"/>
      <c r="J17" s="27"/>
      <c r="K17" s="18"/>
      <c r="L17" s="17"/>
      <c r="M17" s="27"/>
      <c r="N17" s="27"/>
      <c r="O17" s="27"/>
      <c r="P17" s="27"/>
      <c r="Q17" s="27"/>
      <c r="R17" s="18"/>
    </row>
    <row r="18" spans="2:18" x14ac:dyDescent="0.25">
      <c r="B18" s="17"/>
      <c r="C18" s="27"/>
      <c r="D18" s="27"/>
      <c r="E18" s="27"/>
      <c r="F18" s="18"/>
      <c r="G18" s="17"/>
      <c r="H18" s="27"/>
      <c r="I18" s="27"/>
      <c r="J18" s="27"/>
      <c r="K18" s="18"/>
      <c r="L18" s="17"/>
      <c r="M18" s="27"/>
      <c r="N18" s="27"/>
      <c r="O18" s="27"/>
      <c r="P18" s="27"/>
      <c r="Q18" s="27"/>
      <c r="R18" s="18"/>
    </row>
    <row r="19" spans="2:18" x14ac:dyDescent="0.25">
      <c r="B19" s="17"/>
      <c r="C19" s="27"/>
      <c r="D19" s="27"/>
      <c r="E19" s="27"/>
      <c r="F19" s="18"/>
      <c r="G19" s="17"/>
      <c r="H19" s="27"/>
      <c r="I19" s="27"/>
      <c r="J19" s="27"/>
      <c r="K19" s="18"/>
      <c r="L19" s="17"/>
      <c r="M19" s="27"/>
      <c r="N19" s="27"/>
      <c r="O19" s="27"/>
      <c r="P19" s="27"/>
      <c r="Q19" s="27"/>
      <c r="R19" s="18"/>
    </row>
    <row r="20" spans="2:18" x14ac:dyDescent="0.25">
      <c r="B20" s="17"/>
      <c r="C20" s="27"/>
      <c r="D20" s="27"/>
      <c r="E20" s="27"/>
      <c r="F20" s="18"/>
      <c r="G20" s="17"/>
      <c r="H20" s="27"/>
      <c r="I20" s="27"/>
      <c r="J20" s="27"/>
      <c r="K20" s="18"/>
      <c r="L20" s="17"/>
      <c r="M20" s="27"/>
      <c r="N20" s="27"/>
      <c r="O20" s="27"/>
      <c r="P20" s="27"/>
      <c r="Q20" s="27"/>
      <c r="R20" s="18"/>
    </row>
    <row r="21" spans="2:18" x14ac:dyDescent="0.25">
      <c r="B21" s="17"/>
      <c r="C21" s="27"/>
      <c r="D21" s="27"/>
      <c r="E21" s="27"/>
      <c r="F21" s="18"/>
      <c r="G21" s="17"/>
      <c r="H21" s="27"/>
      <c r="I21" s="27"/>
      <c r="J21" s="27"/>
      <c r="K21" s="18"/>
      <c r="L21" s="17"/>
      <c r="M21" s="27"/>
      <c r="N21" s="27"/>
      <c r="O21" s="27"/>
      <c r="P21" s="27"/>
      <c r="Q21" s="27"/>
      <c r="R21" s="18"/>
    </row>
    <row r="22" spans="2:18" x14ac:dyDescent="0.25">
      <c r="B22" s="19"/>
      <c r="C22" s="20"/>
      <c r="D22" s="20"/>
      <c r="E22" s="20"/>
      <c r="F22" s="21"/>
      <c r="G22" s="19"/>
      <c r="H22" s="20"/>
      <c r="I22" s="20"/>
      <c r="J22" s="20"/>
      <c r="K22" s="21"/>
      <c r="L22" s="19"/>
      <c r="M22" s="20"/>
      <c r="N22" s="20"/>
      <c r="O22" s="20"/>
      <c r="P22" s="20"/>
      <c r="Q22" s="20"/>
      <c r="R22" s="21"/>
    </row>
    <row r="23" spans="2:18" x14ac:dyDescent="0.25"/>
    <row r="24" spans="2:18" x14ac:dyDescent="0.25"/>
    <row r="25" spans="2:18" x14ac:dyDescent="0.25"/>
    <row r="26" spans="2:18" x14ac:dyDescent="0.25"/>
    <row r="27" spans="2:18" x14ac:dyDescent="0.25"/>
    <row r="28" spans="2:18" x14ac:dyDescent="0.25"/>
    <row r="29" spans="2:18" x14ac:dyDescent="0.25"/>
    <row r="30" spans="2:18" x14ac:dyDescent="0.25"/>
    <row r="31" spans="2:18" x14ac:dyDescent="0.25"/>
    <row r="32" spans="2:18" x14ac:dyDescent="0.25"/>
    <row r="33" spans="2:13" x14ac:dyDescent="0.25"/>
    <row r="34" spans="2:13" x14ac:dyDescent="0.25"/>
    <row r="35" spans="2:13" x14ac:dyDescent="0.25"/>
    <row r="36" spans="2:13" x14ac:dyDescent="0.25"/>
    <row r="37" spans="2:13" x14ac:dyDescent="0.25"/>
    <row r="38" spans="2:13" x14ac:dyDescent="0.25"/>
    <row r="39" spans="2:13" x14ac:dyDescent="0.25"/>
    <row r="40" spans="2:13" x14ac:dyDescent="0.25"/>
    <row r="41" spans="2:13" hidden="1" x14ac:dyDescent="0.25"/>
    <row r="42" spans="2:13" hidden="1" x14ac:dyDescent="0.25"/>
    <row r="43" spans="2:13" hidden="1" x14ac:dyDescent="0.25"/>
    <row r="44" spans="2:13" hidden="1" x14ac:dyDescent="0.25"/>
    <row r="45" spans="2:13" hidden="1" x14ac:dyDescent="0.25">
      <c r="C45" s="9" t="s">
        <v>9</v>
      </c>
      <c r="D45" s="9" t="s">
        <v>8</v>
      </c>
      <c r="I45" s="9" t="s">
        <v>9</v>
      </c>
      <c r="J45" s="9" t="s">
        <v>8</v>
      </c>
    </row>
    <row r="46" spans="2:13" hidden="1" x14ac:dyDescent="0.25">
      <c r="B46" s="9">
        <v>1</v>
      </c>
      <c r="C46" s="30">
        <f t="shared" ref="C46:C74" ca="1" si="0">C47-1</f>
        <v>43616</v>
      </c>
      <c r="D46" s="9" t="str">
        <f ca="1">IFERROR(INDEX(tblRegister[],MATCH(C46,tblRegister[Date],0),10),"")</f>
        <v/>
      </c>
      <c r="H46" s="9">
        <v>10</v>
      </c>
      <c r="I46" s="30">
        <f t="array" aca="1" ref="I46" ca="1">LARGE(tblRegister[Date]*IF(tblRegister[Gain|Loss]="",0,1),H46)</f>
        <v>0</v>
      </c>
      <c r="J46" s="9" t="str">
        <f ca="1">IFERROR(INDEX(tblRegister[Gain|Loss],MATCH(I46,tblRegister[Date],0)),"")</f>
        <v/>
      </c>
      <c r="K46" s="9">
        <v>0</v>
      </c>
      <c r="M46" s="30" t="str">
        <f t="shared" ref="M46:M54" ca="1" si="1">IF(J46&lt;&gt;"",I46,"")</f>
        <v/>
      </c>
    </row>
    <row r="47" spans="2:13" hidden="1" x14ac:dyDescent="0.25">
      <c r="B47" s="9">
        <v>2</v>
      </c>
      <c r="C47" s="30">
        <f t="shared" ca="1" si="0"/>
        <v>43617</v>
      </c>
      <c r="D47" s="9" t="str">
        <f ca="1">IFERROR(INDEX(tblRegister[],MATCH(C47,tblRegister[Date],0),10),"")</f>
        <v/>
      </c>
      <c r="H47" s="9">
        <v>9</v>
      </c>
      <c r="I47" s="30">
        <f t="array" aca="1" ref="I47" ca="1">LARGE(tblRegister[Date]*IF(tblRegister[Gain|Loss]="",0,1),H47)</f>
        <v>0</v>
      </c>
      <c r="J47" s="9" t="str">
        <f ca="1">IFERROR(INDEX(tblRegister[Gain|Loss],MATCH(I47,tblRegister[Date],0)),"")</f>
        <v/>
      </c>
      <c r="K47" s="9">
        <v>0</v>
      </c>
      <c r="M47" s="30" t="str">
        <f t="shared" ca="1" si="1"/>
        <v/>
      </c>
    </row>
    <row r="48" spans="2:13" hidden="1" x14ac:dyDescent="0.25">
      <c r="B48" s="9">
        <v>3</v>
      </c>
      <c r="C48" s="30">
        <f t="shared" ca="1" si="0"/>
        <v>43618</v>
      </c>
      <c r="D48" s="9" t="str">
        <f ca="1">IFERROR(INDEX(tblRegister[],MATCH(C48,tblRegister[Date],0),10),"")</f>
        <v/>
      </c>
      <c r="H48" s="9">
        <v>8</v>
      </c>
      <c r="I48" s="30">
        <f t="array" aca="1" ref="I48" ca="1">LARGE(tblRegister[Date]*IF(tblRegister[Gain|Loss]="",0,1),H48)</f>
        <v>0</v>
      </c>
      <c r="J48" s="9" t="str">
        <f ca="1">IFERROR(INDEX(tblRegister[Gain|Loss],MATCH(I48,tblRegister[Date],0)),"")</f>
        <v/>
      </c>
      <c r="K48" s="9">
        <v>0</v>
      </c>
      <c r="M48" s="30" t="str">
        <f t="shared" ca="1" si="1"/>
        <v/>
      </c>
    </row>
    <row r="49" spans="2:13" hidden="1" x14ac:dyDescent="0.25">
      <c r="B49" s="9">
        <v>4</v>
      </c>
      <c r="C49" s="30">
        <f t="shared" ca="1" si="0"/>
        <v>43619</v>
      </c>
      <c r="D49" s="9" t="str">
        <f ca="1">IFERROR(INDEX(tblRegister[],MATCH(C49,tblRegister[Date],0),10),"")</f>
        <v/>
      </c>
      <c r="H49" s="9">
        <v>7</v>
      </c>
      <c r="I49" s="30">
        <f t="array" aca="1" ref="I49" ca="1">LARGE(tblRegister[Date]*IF(tblRegister[Gain|Loss]="",0,1),H49)</f>
        <v>43205</v>
      </c>
      <c r="J49" s="9">
        <f ca="1">IFERROR(INDEX(tblRegister[Gain|Loss],MATCH(I49,tblRegister[Date],0)),"")</f>
        <v>25785.714285714286</v>
      </c>
      <c r="K49" s="9">
        <v>0</v>
      </c>
      <c r="M49" s="30">
        <f t="shared" ca="1" si="1"/>
        <v>43205</v>
      </c>
    </row>
    <row r="50" spans="2:13" hidden="1" x14ac:dyDescent="0.25">
      <c r="B50" s="9">
        <v>5</v>
      </c>
      <c r="C50" s="30">
        <f t="shared" ca="1" si="0"/>
        <v>43620</v>
      </c>
      <c r="D50" s="9" t="str">
        <f ca="1">IFERROR(INDEX(tblRegister[],MATCH(C50,tblRegister[Date],0),10),"")</f>
        <v/>
      </c>
      <c r="H50" s="9">
        <v>6</v>
      </c>
      <c r="I50" s="30">
        <f t="array" aca="1" ref="I50" ca="1">LARGE(tblRegister[Date]*IF(tblRegister[Gain|Loss]="",0,1),H50)</f>
        <v>43244</v>
      </c>
      <c r="J50" s="9">
        <f ca="1">IFERROR(INDEX(tblRegister[Gain|Loss],MATCH(I50,tblRegister[Date],0)),"")</f>
        <v>22022.285714285714</v>
      </c>
      <c r="K50" s="9">
        <v>0</v>
      </c>
      <c r="M50" s="30">
        <f t="shared" ca="1" si="1"/>
        <v>43244</v>
      </c>
    </row>
    <row r="51" spans="2:13" hidden="1" x14ac:dyDescent="0.25">
      <c r="B51" s="9">
        <v>6</v>
      </c>
      <c r="C51" s="30">
        <f t="shared" ca="1" si="0"/>
        <v>43621</v>
      </c>
      <c r="D51" s="9" t="str">
        <f ca="1">IFERROR(INDEX(tblRegister[],MATCH(C51,tblRegister[Date],0),10),"")</f>
        <v/>
      </c>
      <c r="H51" s="9">
        <v>5</v>
      </c>
      <c r="I51" s="30">
        <f t="array" aca="1" ref="I51" ca="1">LARGE(tblRegister[Date]*IF(tblRegister[Gain|Loss]="",0,1),H51)</f>
        <v>43255</v>
      </c>
      <c r="J51" s="9">
        <f ca="1">IFERROR(INDEX(tblRegister[Gain|Loss],MATCH(I51,tblRegister[Date],0)),"")</f>
        <v>-1005.7142857142858</v>
      </c>
      <c r="K51" s="9">
        <v>0</v>
      </c>
      <c r="M51" s="30">
        <f t="shared" ca="1" si="1"/>
        <v>43255</v>
      </c>
    </row>
    <row r="52" spans="2:13" hidden="1" x14ac:dyDescent="0.25">
      <c r="B52" s="9">
        <v>7</v>
      </c>
      <c r="C52" s="30">
        <f t="shared" ca="1" si="0"/>
        <v>43622</v>
      </c>
      <c r="D52" s="9" t="str">
        <f ca="1">IFERROR(INDEX(tblRegister[],MATCH(C52,tblRegister[Date],0),10),"")</f>
        <v/>
      </c>
      <c r="H52" s="9">
        <v>4</v>
      </c>
      <c r="I52" s="30">
        <f t="array" aca="1" ref="I52" ca="1">LARGE(tblRegister[Date]*IF(tblRegister[Gain|Loss]="",0,1),H52)</f>
        <v>43285</v>
      </c>
      <c r="J52" s="9">
        <f ca="1">IFERROR(INDEX(tblRegister[Gain|Loss],MATCH(I52,tblRegister[Date],0)),"")</f>
        <v>899.99999999999989</v>
      </c>
      <c r="K52" s="9">
        <v>0</v>
      </c>
      <c r="M52" s="30">
        <f t="shared" ca="1" si="1"/>
        <v>43285</v>
      </c>
    </row>
    <row r="53" spans="2:13" hidden="1" x14ac:dyDescent="0.25">
      <c r="B53" s="9">
        <v>8</v>
      </c>
      <c r="C53" s="30">
        <f t="shared" ca="1" si="0"/>
        <v>43623</v>
      </c>
      <c r="D53" s="9" t="str">
        <f ca="1">IFERROR(INDEX(tblRegister[],MATCH(C53,tblRegister[Date],0),10),"")</f>
        <v/>
      </c>
      <c r="H53" s="9">
        <v>3</v>
      </c>
      <c r="I53" s="30">
        <f t="array" aca="1" ref="I53" ca="1">LARGE(tblRegister[Date]*IF(tblRegister[Gain|Loss]="",0,1),H53)</f>
        <v>43286</v>
      </c>
      <c r="J53" s="9">
        <f ca="1">IFERROR(INDEX(tblRegister[Gain|Loss],MATCH(I53,tblRegister[Date],0)),"")</f>
        <v>1877.7142857142856</v>
      </c>
      <c r="K53" s="9">
        <v>0</v>
      </c>
      <c r="M53" s="30">
        <f t="shared" ca="1" si="1"/>
        <v>43286</v>
      </c>
    </row>
    <row r="54" spans="2:13" hidden="1" x14ac:dyDescent="0.25">
      <c r="B54" s="9">
        <v>9</v>
      </c>
      <c r="C54" s="30">
        <f t="shared" ca="1" si="0"/>
        <v>43624</v>
      </c>
      <c r="D54" s="9" t="str">
        <f ca="1">IFERROR(INDEX(tblRegister[],MATCH(C54,tblRegister[Date],0),10),"")</f>
        <v/>
      </c>
      <c r="H54" s="9">
        <v>2</v>
      </c>
      <c r="I54" s="30">
        <f t="array" aca="1" ref="I54" ca="1">LARGE(tblRegister[Date]*IF(tblRegister[Gain|Loss]="",0,1),H54)</f>
        <v>43299</v>
      </c>
      <c r="J54" s="9">
        <f ca="1">IFERROR(INDEX(tblRegister[Gain|Loss],MATCH(I54,tblRegister[Date],0)),"")</f>
        <v>-14067.999999999998</v>
      </c>
      <c r="K54" s="9">
        <v>0</v>
      </c>
      <c r="M54" s="30">
        <f t="shared" ca="1" si="1"/>
        <v>43299</v>
      </c>
    </row>
    <row r="55" spans="2:13" hidden="1" x14ac:dyDescent="0.25">
      <c r="B55" s="9">
        <v>10</v>
      </c>
      <c r="C55" s="30">
        <f t="shared" ca="1" si="0"/>
        <v>43625</v>
      </c>
      <c r="D55" s="9" t="str">
        <f ca="1">IFERROR(INDEX(tblRegister[],MATCH(C55,tblRegister[Date],0),10),"")</f>
        <v/>
      </c>
      <c r="H55" s="9">
        <v>1</v>
      </c>
      <c r="I55" s="30">
        <f t="array" aca="1" ref="I55" ca="1">LARGE(tblRegister[Date]*IF(tblRegister[Gain|Loss]="",0,1),H55)</f>
        <v>43311</v>
      </c>
      <c r="J55" s="9">
        <f ca="1">IFERROR(INDEX(tblRegister[Gain|Loss],MATCH(I55,tblRegister[Date],0)),"")</f>
        <v>57179.48717948718</v>
      </c>
      <c r="K55" s="9">
        <v>0</v>
      </c>
      <c r="M55" s="30">
        <f ca="1">IF(J55&lt;&gt;"",I55,"")</f>
        <v>43311</v>
      </c>
    </row>
    <row r="56" spans="2:13" hidden="1" x14ac:dyDescent="0.25">
      <c r="B56" s="9">
        <v>11</v>
      </c>
      <c r="C56" s="30">
        <f t="shared" ca="1" si="0"/>
        <v>43626</v>
      </c>
      <c r="D56" s="9" t="str">
        <f ca="1">IFERROR(INDEX(tblRegister[],MATCH(C56,tblRegister[Date],0),10),"")</f>
        <v/>
      </c>
    </row>
    <row r="57" spans="2:13" hidden="1" x14ac:dyDescent="0.25">
      <c r="B57" s="9">
        <v>12</v>
      </c>
      <c r="C57" s="30">
        <f t="shared" ca="1" si="0"/>
        <v>43627</v>
      </c>
      <c r="D57" s="9" t="str">
        <f ca="1">IFERROR(INDEX(tblRegister[],MATCH(C57,tblRegister[Date],0),10),"")</f>
        <v/>
      </c>
    </row>
    <row r="58" spans="2:13" hidden="1" x14ac:dyDescent="0.25">
      <c r="B58" s="9">
        <v>13</v>
      </c>
      <c r="C58" s="30">
        <f t="shared" ca="1" si="0"/>
        <v>43628</v>
      </c>
      <c r="D58" s="9" t="str">
        <f ca="1">IFERROR(INDEX(tblRegister[],MATCH(C58,tblRegister[Date],0),10),"")</f>
        <v/>
      </c>
    </row>
    <row r="59" spans="2:13" hidden="1" x14ac:dyDescent="0.25">
      <c r="B59" s="9">
        <v>14</v>
      </c>
      <c r="C59" s="30">
        <f t="shared" ca="1" si="0"/>
        <v>43629</v>
      </c>
      <c r="D59" s="9" t="str">
        <f ca="1">IFERROR(INDEX(tblRegister[],MATCH(C59,tblRegister[Date],0),10),"")</f>
        <v/>
      </c>
    </row>
    <row r="60" spans="2:13" hidden="1" x14ac:dyDescent="0.25">
      <c r="B60" s="9">
        <v>15</v>
      </c>
      <c r="C60" s="30">
        <f t="shared" ca="1" si="0"/>
        <v>43630</v>
      </c>
      <c r="D60" s="9" t="str">
        <f ca="1">IFERROR(INDEX(tblRegister[],MATCH(C60,tblRegister[Date],0),10),"")</f>
        <v/>
      </c>
    </row>
    <row r="61" spans="2:13" hidden="1" x14ac:dyDescent="0.25">
      <c r="B61" s="9">
        <v>16</v>
      </c>
      <c r="C61" s="30">
        <f t="shared" ca="1" si="0"/>
        <v>43631</v>
      </c>
      <c r="D61" s="9" t="str">
        <f ca="1">IFERROR(INDEX(tblRegister[],MATCH(C61,tblRegister[Date],0),10),"")</f>
        <v/>
      </c>
    </row>
    <row r="62" spans="2:13" hidden="1" x14ac:dyDescent="0.25">
      <c r="B62" s="9">
        <v>17</v>
      </c>
      <c r="C62" s="30">
        <f t="shared" ca="1" si="0"/>
        <v>43632</v>
      </c>
      <c r="D62" s="9" t="str">
        <f ca="1">IFERROR(INDEX(tblRegister[],MATCH(C62,tblRegister[Date],0),10),"")</f>
        <v/>
      </c>
    </row>
    <row r="63" spans="2:13" hidden="1" x14ac:dyDescent="0.25">
      <c r="B63" s="9">
        <v>18</v>
      </c>
      <c r="C63" s="30">
        <f t="shared" ca="1" si="0"/>
        <v>43633</v>
      </c>
      <c r="D63" s="9" t="str">
        <f ca="1">IFERROR(INDEX(tblRegister[],MATCH(C63,tblRegister[Date],0),10),"")</f>
        <v/>
      </c>
    </row>
    <row r="64" spans="2:13" hidden="1" x14ac:dyDescent="0.25">
      <c r="B64" s="9">
        <v>19</v>
      </c>
      <c r="C64" s="30">
        <f t="shared" ca="1" si="0"/>
        <v>43634</v>
      </c>
      <c r="D64" s="9" t="str">
        <f ca="1">IFERROR(INDEX(tblRegister[],MATCH(C64,tblRegister[Date],0),10),"")</f>
        <v/>
      </c>
    </row>
    <row r="65" spans="2:4" hidden="1" x14ac:dyDescent="0.25">
      <c r="B65" s="9">
        <v>20</v>
      </c>
      <c r="C65" s="30">
        <f t="shared" ca="1" si="0"/>
        <v>43635</v>
      </c>
      <c r="D65" s="9" t="str">
        <f ca="1">IFERROR(INDEX(tblRegister[],MATCH(C65,tblRegister[Date],0),10),"")</f>
        <v/>
      </c>
    </row>
    <row r="66" spans="2:4" hidden="1" x14ac:dyDescent="0.25">
      <c r="B66" s="9">
        <v>21</v>
      </c>
      <c r="C66" s="30">
        <f t="shared" ca="1" si="0"/>
        <v>43636</v>
      </c>
      <c r="D66" s="9" t="str">
        <f ca="1">IFERROR(INDEX(tblRegister[],MATCH(C66,tblRegister[Date],0),10),"")</f>
        <v/>
      </c>
    </row>
    <row r="67" spans="2:4" hidden="1" x14ac:dyDescent="0.25">
      <c r="B67" s="9">
        <v>22</v>
      </c>
      <c r="C67" s="30">
        <f t="shared" ca="1" si="0"/>
        <v>43637</v>
      </c>
      <c r="D67" s="9" t="str">
        <f ca="1">IFERROR(INDEX(tblRegister[],MATCH(C67,tblRegister[Date],0),10),"")</f>
        <v/>
      </c>
    </row>
    <row r="68" spans="2:4" hidden="1" x14ac:dyDescent="0.25">
      <c r="B68" s="9">
        <v>23</v>
      </c>
      <c r="C68" s="30">
        <f t="shared" ca="1" si="0"/>
        <v>43638</v>
      </c>
      <c r="D68" s="9" t="str">
        <f ca="1">IFERROR(INDEX(tblRegister[],MATCH(C68,tblRegister[Date],0),10),"")</f>
        <v/>
      </c>
    </row>
    <row r="69" spans="2:4" hidden="1" x14ac:dyDescent="0.25">
      <c r="B69" s="9">
        <v>24</v>
      </c>
      <c r="C69" s="30">
        <f t="shared" ca="1" si="0"/>
        <v>43639</v>
      </c>
      <c r="D69" s="9" t="str">
        <f ca="1">IFERROR(INDEX(tblRegister[],MATCH(C69,tblRegister[Date],0),10),"")</f>
        <v/>
      </c>
    </row>
    <row r="70" spans="2:4" hidden="1" x14ac:dyDescent="0.25">
      <c r="B70" s="9">
        <v>25</v>
      </c>
      <c r="C70" s="30">
        <f t="shared" ca="1" si="0"/>
        <v>43640</v>
      </c>
      <c r="D70" s="9" t="str">
        <f ca="1">IFERROR(INDEX(tblRegister[],MATCH(C70,tblRegister[Date],0),10),"")</f>
        <v/>
      </c>
    </row>
    <row r="71" spans="2:4" hidden="1" x14ac:dyDescent="0.25">
      <c r="B71" s="9">
        <v>26</v>
      </c>
      <c r="C71" s="30">
        <f t="shared" ca="1" si="0"/>
        <v>43641</v>
      </c>
      <c r="D71" s="9" t="str">
        <f ca="1">IFERROR(INDEX(tblRegister[],MATCH(C71,tblRegister[Date],0),10),"")</f>
        <v/>
      </c>
    </row>
    <row r="72" spans="2:4" hidden="1" x14ac:dyDescent="0.25">
      <c r="B72" s="9">
        <v>27</v>
      </c>
      <c r="C72" s="30">
        <f t="shared" ca="1" si="0"/>
        <v>43642</v>
      </c>
      <c r="D72" s="9" t="str">
        <f ca="1">IFERROR(INDEX(tblRegister[],MATCH(C72,tblRegister[Date],0),10),"")</f>
        <v/>
      </c>
    </row>
    <row r="73" spans="2:4" hidden="1" x14ac:dyDescent="0.25">
      <c r="B73" s="9">
        <v>28</v>
      </c>
      <c r="C73" s="30">
        <f t="shared" ca="1" si="0"/>
        <v>43643</v>
      </c>
      <c r="D73" s="9" t="str">
        <f ca="1">IFERROR(INDEX(tblRegister[],MATCH(C73,tblRegister[Date],0),10),"")</f>
        <v/>
      </c>
    </row>
    <row r="74" spans="2:4" hidden="1" x14ac:dyDescent="0.25">
      <c r="B74" s="9">
        <v>29</v>
      </c>
      <c r="C74" s="30">
        <f t="shared" ca="1" si="0"/>
        <v>43644</v>
      </c>
      <c r="D74" s="9" t="str">
        <f ca="1">IFERROR(INDEX(tblRegister[],MATCH(C74,tblRegister[Date],0),10),"")</f>
        <v/>
      </c>
    </row>
    <row r="75" spans="2:4" hidden="1" x14ac:dyDescent="0.25">
      <c r="B75" s="9">
        <v>30</v>
      </c>
      <c r="C75" s="30">
        <f ca="1">TODAY()</f>
        <v>43645</v>
      </c>
      <c r="D75" s="9" t="str">
        <f ca="1">IFERROR(INDEX(tblRegister[],MATCH(C75,tblRegister[Date],0),10),"")</f>
        <v/>
      </c>
    </row>
    <row r="76" spans="2:4" hidden="1" x14ac:dyDescent="0.25">
      <c r="C76" s="30"/>
    </row>
    <row r="77" spans="2:4" hidden="1" x14ac:dyDescent="0.25">
      <c r="C77" s="30"/>
    </row>
    <row r="78" spans="2:4" hidden="1" x14ac:dyDescent="0.25">
      <c r="C78" s="30"/>
    </row>
    <row r="79" spans="2:4" hidden="1" x14ac:dyDescent="0.25">
      <c r="C79" s="30"/>
    </row>
    <row r="80" spans="2:4" hidden="1" x14ac:dyDescent="0.25">
      <c r="C80" s="30"/>
    </row>
    <row r="81" spans="3:3" hidden="1" x14ac:dyDescent="0.25">
      <c r="C81" s="30"/>
    </row>
    <row r="82" spans="3:3" hidden="1" x14ac:dyDescent="0.25">
      <c r="C82" s="30"/>
    </row>
    <row r="83" spans="3:3" hidden="1" x14ac:dyDescent="0.25">
      <c r="C83" s="30"/>
    </row>
    <row r="84" spans="3:3" hidden="1" x14ac:dyDescent="0.25">
      <c r="C84" s="30"/>
    </row>
    <row r="85" spans="3:3" hidden="1" x14ac:dyDescent="0.25">
      <c r="C85" s="30"/>
    </row>
    <row r="86" spans="3:3" hidden="1" x14ac:dyDescent="0.25">
      <c r="C86" s="30"/>
    </row>
    <row r="87" spans="3:3" hidden="1" x14ac:dyDescent="0.25">
      <c r="C87" s="30"/>
    </row>
    <row r="88" spans="3:3" hidden="1" x14ac:dyDescent="0.25">
      <c r="C88" s="30"/>
    </row>
    <row r="89" spans="3:3" hidden="1" x14ac:dyDescent="0.25">
      <c r="C89" s="30"/>
    </row>
    <row r="90" spans="3:3" hidden="1" x14ac:dyDescent="0.25">
      <c r="C90" s="30"/>
    </row>
    <row r="91" spans="3:3" hidden="1" x14ac:dyDescent="0.25">
      <c r="C91" s="30"/>
    </row>
    <row r="92" spans="3:3" hidden="1" x14ac:dyDescent="0.25">
      <c r="C92" s="30"/>
    </row>
    <row r="93" spans="3:3" hidden="1" x14ac:dyDescent="0.25">
      <c r="C93" s="30"/>
    </row>
    <row r="94" spans="3:3" hidden="1" x14ac:dyDescent="0.25">
      <c r="C94" s="30"/>
    </row>
    <row r="95" spans="3:3" hidden="1" x14ac:dyDescent="0.25">
      <c r="C95" s="30"/>
    </row>
    <row r="96" spans="3:3" hidden="1" x14ac:dyDescent="0.25">
      <c r="C96" s="30"/>
    </row>
    <row r="97" spans="3:3" hidden="1" x14ac:dyDescent="0.25">
      <c r="C97" s="30"/>
    </row>
    <row r="98" spans="3:3" hidden="1" x14ac:dyDescent="0.25">
      <c r="C98" s="30"/>
    </row>
    <row r="99" spans="3:3" hidden="1" x14ac:dyDescent="0.25">
      <c r="C99" s="30"/>
    </row>
    <row r="100" spans="3:3" hidden="1" x14ac:dyDescent="0.25">
      <c r="C100" s="30"/>
    </row>
    <row r="101" spans="3:3" hidden="1" x14ac:dyDescent="0.25">
      <c r="C101" s="30"/>
    </row>
    <row r="102" spans="3:3" hidden="1" x14ac:dyDescent="0.25">
      <c r="C102" s="30"/>
    </row>
    <row r="103" spans="3:3" hidden="1" x14ac:dyDescent="0.25">
      <c r="C103" s="30"/>
    </row>
    <row r="104" spans="3:3" hidden="1" x14ac:dyDescent="0.25">
      <c r="C104" s="30"/>
    </row>
    <row r="105" spans="3:3" hidden="1" x14ac:dyDescent="0.25">
      <c r="C105" s="30"/>
    </row>
    <row r="106" spans="3:3" hidden="1" x14ac:dyDescent="0.25">
      <c r="C106" s="30"/>
    </row>
    <row r="107" spans="3:3" hidden="1" x14ac:dyDescent="0.25">
      <c r="C107" s="30"/>
    </row>
    <row r="108" spans="3:3" hidden="1" x14ac:dyDescent="0.25">
      <c r="C108" s="30"/>
    </row>
    <row r="109" spans="3:3" hidden="1" x14ac:dyDescent="0.25">
      <c r="C109" s="30"/>
    </row>
    <row r="110" spans="3:3" hidden="1" x14ac:dyDescent="0.25">
      <c r="C110" s="30"/>
    </row>
    <row r="111" spans="3:3" hidden="1" x14ac:dyDescent="0.25">
      <c r="C111" s="30"/>
    </row>
    <row r="112" spans="3:3" hidden="1" x14ac:dyDescent="0.25">
      <c r="C112" s="30"/>
    </row>
    <row r="113" spans="3:3" hidden="1" x14ac:dyDescent="0.25">
      <c r="C113" s="30"/>
    </row>
    <row r="114" spans="3:3" hidden="1" x14ac:dyDescent="0.25">
      <c r="C114" s="30"/>
    </row>
    <row r="115" spans="3:3" hidden="1" x14ac:dyDescent="0.25">
      <c r="C115" s="30"/>
    </row>
    <row r="116" spans="3:3" hidden="1" x14ac:dyDescent="0.25">
      <c r="C116" s="30"/>
    </row>
    <row r="117" spans="3:3" hidden="1" x14ac:dyDescent="0.25">
      <c r="C117" s="30"/>
    </row>
    <row r="118" spans="3:3" hidden="1" x14ac:dyDescent="0.25">
      <c r="C118" s="30"/>
    </row>
    <row r="119" spans="3:3" hidden="1" x14ac:dyDescent="0.25">
      <c r="C119" s="30"/>
    </row>
    <row r="120" spans="3:3" hidden="1" x14ac:dyDescent="0.25">
      <c r="C120" s="30"/>
    </row>
    <row r="121" spans="3:3" hidden="1" x14ac:dyDescent="0.25">
      <c r="C121" s="30"/>
    </row>
    <row r="122" spans="3:3" hidden="1" x14ac:dyDescent="0.25">
      <c r="C122" s="30"/>
    </row>
    <row r="123" spans="3:3" hidden="1" x14ac:dyDescent="0.25">
      <c r="C123" s="30"/>
    </row>
    <row r="124" spans="3:3" hidden="1" x14ac:dyDescent="0.25">
      <c r="C124" s="30"/>
    </row>
    <row r="125" spans="3:3" hidden="1" x14ac:dyDescent="0.25">
      <c r="C125" s="30"/>
    </row>
    <row r="126" spans="3:3" hidden="1" x14ac:dyDescent="0.25">
      <c r="C126" s="30"/>
    </row>
    <row r="127" spans="3:3" hidden="1" x14ac:dyDescent="0.25">
      <c r="C127" s="30"/>
    </row>
    <row r="128" spans="3:3" hidden="1" x14ac:dyDescent="0.25">
      <c r="C128" s="30"/>
    </row>
    <row r="129" spans="3:3" hidden="1" x14ac:dyDescent="0.25">
      <c r="C129" s="30"/>
    </row>
    <row r="130" spans="3:3" hidden="1" x14ac:dyDescent="0.25">
      <c r="C130" s="30"/>
    </row>
    <row r="131" spans="3:3" hidden="1" x14ac:dyDescent="0.25">
      <c r="C131" s="30"/>
    </row>
    <row r="132" spans="3:3" hidden="1" x14ac:dyDescent="0.25">
      <c r="C132" s="30"/>
    </row>
    <row r="133" spans="3:3" hidden="1" x14ac:dyDescent="0.25">
      <c r="C133" s="30"/>
    </row>
    <row r="134" spans="3:3" hidden="1" x14ac:dyDescent="0.25">
      <c r="C134" s="30"/>
    </row>
    <row r="135" spans="3:3" hidden="1" x14ac:dyDescent="0.25">
      <c r="C135" s="30"/>
    </row>
    <row r="136" spans="3:3" hidden="1" x14ac:dyDescent="0.25">
      <c r="C136" s="30"/>
    </row>
    <row r="137" spans="3:3" hidden="1" x14ac:dyDescent="0.25"/>
    <row r="138" spans="3:3" hidden="1" x14ac:dyDescent="0.25"/>
    <row r="139" spans="3:3" hidden="1" x14ac:dyDescent="0.25"/>
  </sheetData>
  <sheetProtection sheet="1" objects="1" scenarios="1" selectLockedCells="1" selectUnlockedCells="1"/>
  <mergeCells count="4">
    <mergeCell ref="M4:Q4"/>
    <mergeCell ref="C4:E4"/>
    <mergeCell ref="H4:J4"/>
    <mergeCell ref="B2:R2"/>
  </mergeCells>
  <conditionalFormatting sqref="Q9:Q10">
    <cfRule type="cellIs" dxfId="68" priority="2" operator="lessThan">
      <formula>0</formula>
    </cfRule>
    <cfRule type="cellIs" dxfId="67" priority="3" operator="greaterThan">
      <formula>0</formula>
    </cfRule>
  </conditionalFormatting>
  <conditionalFormatting sqref="Q6:Q8">
    <cfRule type="cellIs" dxfId="66" priority="4" operator="lessThan">
      <formula>0</formula>
    </cfRule>
    <cfRule type="cellIs" dxfId="65" priority="5" operator="greaterThan">
      <formula>0</formula>
    </cfRule>
  </conditionalFormatting>
  <conditionalFormatting sqref="D6:D10 I6:I10 N6:N10">
    <cfRule type="cellIs" dxfId="64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2E25-B10E-4DE6-B4DE-CE675F3CFF32}">
  <sheetPr>
    <tabColor rgb="FF006100"/>
  </sheetPr>
  <dimension ref="A2:O124"/>
  <sheetViews>
    <sheetView showGridLines="0" showRowColHeaders="0" workbookViewId="0">
      <selection activeCell="E25" sqref="E25"/>
    </sheetView>
  </sheetViews>
  <sheetFormatPr defaultColWidth="0" defaultRowHeight="15" x14ac:dyDescent="0.25"/>
  <cols>
    <col min="1" max="1" width="2.85546875" customWidth="1"/>
    <col min="2" max="2" width="7.140625" hidden="1" customWidth="1"/>
    <col min="3" max="3" width="10" customWidth="1"/>
    <col min="4" max="4" width="12.28515625" customWidth="1"/>
    <col min="5" max="11" width="17.140625" customWidth="1"/>
    <col min="12" max="15" width="14.28515625" hidden="1" customWidth="1"/>
    <col min="16" max="16" width="2.85546875" customWidth="1"/>
    <col min="17" max="16384" width="9.140625" hidden="1"/>
  </cols>
  <sheetData>
    <row r="2" spans="2:15" ht="18.75" x14ac:dyDescent="0.25">
      <c r="C2" s="131" t="s">
        <v>145</v>
      </c>
      <c r="D2" s="131"/>
      <c r="E2" s="131"/>
      <c r="F2" s="131"/>
      <c r="G2" s="131"/>
      <c r="H2" s="131"/>
      <c r="I2" s="131"/>
      <c r="J2" s="131"/>
      <c r="K2" s="131"/>
    </row>
    <row r="3" spans="2:15" ht="15" customHeight="1" x14ac:dyDescent="0.25">
      <c r="B3" s="2" t="s">
        <v>4</v>
      </c>
      <c r="C3" s="5" t="s">
        <v>2</v>
      </c>
      <c r="D3" s="5" t="s">
        <v>9</v>
      </c>
      <c r="E3" s="28" t="s">
        <v>134</v>
      </c>
      <c r="F3" s="28" t="s">
        <v>133</v>
      </c>
      <c r="G3" s="28" t="s">
        <v>135</v>
      </c>
      <c r="H3" s="29" t="s">
        <v>136</v>
      </c>
      <c r="I3" s="29" t="s">
        <v>137</v>
      </c>
      <c r="J3" s="28" t="s">
        <v>7</v>
      </c>
      <c r="K3" s="28" t="s">
        <v>5</v>
      </c>
      <c r="L3" s="5" t="s">
        <v>138</v>
      </c>
      <c r="M3" s="5" t="s">
        <v>161</v>
      </c>
      <c r="N3" s="5" t="s">
        <v>141</v>
      </c>
      <c r="O3" s="5" t="s">
        <v>142</v>
      </c>
    </row>
    <row r="4" spans="2:15" x14ac:dyDescent="0.25">
      <c r="B4" s="46">
        <f>ROW()-ROW(tblRegister[[#Headers],[Ind]])</f>
        <v>1</v>
      </c>
      <c r="C4" s="58">
        <f>IF(ISBLANK(tblRegister[[#This Row],[IN Token]]),"",tblRegister[[#This Row],[Ind]])</f>
        <v>1</v>
      </c>
      <c r="D4" s="117">
        <v>43101</v>
      </c>
      <c r="E4" s="47" t="s">
        <v>0</v>
      </c>
      <c r="F4" s="110">
        <v>11</v>
      </c>
      <c r="G4" s="47" t="s">
        <v>196</v>
      </c>
      <c r="H4" s="110">
        <v>800</v>
      </c>
      <c r="I4" s="62">
        <f t="array" ref="I4">IFERROR(IF(tblRegister[[#This Row],[OUT Token]]=DefCurrency,tblRegister[[#This Row],[OUT Quantity]],
      SUMPRODUCT($J$3:J3,
      IF(IF($E$3:E3 = tblRegister[[#This Row],[OUT Token]],tblRegister[[#This Row],[OUT Quantity]]-$L$3:L3+tblRegister[[#This Row],[OUT Total Before Sale]]+$F$3:F3,0)  &gt; IF(ISERROR(IF($E$3:E3 = tblRegister[[#This Row],[OUT Token]],$L$3:L3,N/A)-tblRegister[[#This Row],[OUT Total Before Sale]]),0,
            IF(IF($E$3:E3 = tblRegister[[#This Row],[OUT Token]],$L$3:L3,N/A)-tblRegister[[#This Row],[OUT Total Before Sale]]&lt;0,0,
                  IF(IF($E$3:E3 = tblRegister[[#This Row],[OUT Token]],$L$3:L3,tblRegister[[#This Row],[OUT Total Before Sale]])-tblRegister[[#This Row],[OUT Total Before Sale]]&lt;IF($E$3:E3 = tblRegister[[#This Row],[OUT Token]],$F$3:F3,0),
                        IF($E$3:E3 = tblRegister[[#This Row],[OUT Token]],$L$3:L3 - tblRegister[[#This Row],[OUT Total Before Sale]],0),
                        IF($E$3:E3 = tblRegister[[#This Row],[OUT Token]],$F$3:F3,0)
                  )
            )
      ),
     IF(ISERROR(IF($E$3:E3 = tblRegister[[#This Row],[OUT Token]],$L$3:L3,N/A)-tblRegister[[#This Row],[OUT Total Before Sale]]),0,
            IF(IF($E$3:E3 = tblRegister[[#This Row],[OUT Token]],$L$3:L3,N/A)-tblRegister[[#This Row],[OUT Total Before Sale]]&lt;0,0,
                  IF(IF($E$3:E3 = tblRegister[[#This Row],[OUT Token]],$L$3:L3,tblRegister[[#This Row],[OUT Total Before Sale]])-tblRegister[[#This Row],[OUT Total Before Sale]]&lt;IF($E$3:E3 = tblRegister[[#This Row],[OUT Token]],$F$3:F3,0),
                        IF($E$3:E3 = tblRegister[[#This Row],[OUT Token]],$L$3:L3 - tblRegister[[#This Row],[OUT Total Before Sale]],0),
                        IF($E$3:E3 = tblRegister[[#This Row],[OUT Token]],$F$3:F3,0)
                  )
            )
      ),
      IF(IF($E$3:E3 = tblRegister[[#This Row],[OUT Token]],tblRegister[[#This Row],[OUT Quantity]]-$L$3:L3+tblRegister[[#This Row],[OUT Total Before Sale]]+$F$3:F3,1) &lt;0,0,
           IF($E$3:E3 = tblRegister[[#This Row],[OUT Token]],tblRegister[[#This Row],[OUT Quantity]]-$L$3:L3+tblRegister[[#This Row],[OUT Total Before Sale]]+$F$3:F3,0)))))/tblRegister[[#This Row],[OUT Quantity]],"")</f>
        <v>1</v>
      </c>
      <c r="J4" s="62">
        <f>IFERROR(tblRegister[[#This Row],[OUT Book Price]]*tblRegister[[#This Row],[OUT Quantity]]/tblRegister[[#This Row],[IN Quantity]],"")</f>
        <v>72.727272727272734</v>
      </c>
      <c r="K4" s="62" t="str">
        <f>IFERROR(IF(tblRegister[[#This Row],[IN Token]]=DefCurrency,tblRegister[[#This Row],[IN Quantity]]*(1-tblRegister[[#This Row],[IN Price]]),""),"")</f>
        <v/>
      </c>
      <c r="L4" s="48">
        <f t="array" aca="1" ref="L4" ca="1">IF(tblRegister[[#This Row],[Batch]]="","",SUM(IF(OFFSET(tblRegister[[#Headers],[IN Token]],1,0,tblRegister[[#This Row],[Ind]])=tblRegister[[#This Row],[IN Token]],OFFSET(tblRegister[[#Headers],[IN Quantity]],1,0,tblRegister[[#This Row],[Ind]]),0)))</f>
        <v>11</v>
      </c>
      <c r="M4" s="48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" s="48">
        <f t="array" aca="1" ref="N4" ca="1">IF(tblRegister[[#This Row],[Batch]]="","",tblRegister[[#This Row],[OUT Total After Sale]]-tblRegister[[#This Row],[OUT Quantity]])</f>
        <v>0</v>
      </c>
      <c r="O4" s="49">
        <f t="array" aca="1" ref="O4" ca="1">IF(tblRegister[[#This Row],[Batch]]="","",SUM(IF(OFFSET(tblRegister[[#Headers],[OUT Token]],1,0,tblRegister[[#This Row],[Ind]])=tblRegister[[#This Row],[OUT Token]],OFFSET(tblRegister[[#Headers],[OUT Quantity]],1,0,tblRegister[[#This Row],[Ind]]),0)))</f>
        <v>800</v>
      </c>
    </row>
    <row r="5" spans="2:15" x14ac:dyDescent="0.25">
      <c r="B5" s="50">
        <f>ROW()-ROW(tblRegister[[#Headers],[Ind]])</f>
        <v>2</v>
      </c>
      <c r="C5" s="59">
        <f>IF(ISBLANK(tblRegister[[#This Row],[IN Token]]),"",tblRegister[[#This Row],[Ind]])</f>
        <v>2</v>
      </c>
      <c r="D5" s="118">
        <v>43136</v>
      </c>
      <c r="E5" s="51" t="s">
        <v>3</v>
      </c>
      <c r="F5" s="111">
        <v>200</v>
      </c>
      <c r="G5" s="51" t="s">
        <v>196</v>
      </c>
      <c r="H5" s="111">
        <v>500</v>
      </c>
      <c r="I5" s="63">
        <f t="array" ref="I5">IFERROR(IF(tblRegister[[#This Row],[OUT Token]]=DefCurrency,tblRegister[[#This Row],[OUT Quantity]],
      SUMPRODUCT($J$3:J4,
      IF(IF($E$3:E4 = tblRegister[[#This Row],[OUT Token]],tblRegister[[#This Row],[OUT Quantity]]-$L$3:L4+tblRegister[[#This Row],[OUT Total Before Sale]]+$F$3:F4,0)  &gt; IF(ISERROR(IF($E$3:E4 = tblRegister[[#This Row],[OUT Token]],$L$3:L4,N/A)-tblRegister[[#This Row],[OUT Total Before Sale]]),0,
            IF(IF($E$3:E4 = tblRegister[[#This Row],[OUT Token]],$L$3:L4,N/A)-tblRegister[[#This Row],[OUT Total Before Sale]]&lt;0,0,
                  IF(IF($E$3:E4 = tblRegister[[#This Row],[OUT Token]],$L$3:L4,tblRegister[[#This Row],[OUT Total Before Sale]])-tblRegister[[#This Row],[OUT Total Before Sale]]&lt;IF($E$3:E4 = tblRegister[[#This Row],[OUT Token]],$F$3:F4,0),
                        IF($E$3:E4 = tblRegister[[#This Row],[OUT Token]],$L$3:L4 - tblRegister[[#This Row],[OUT Total Before Sale]],0),
                        IF($E$3:E4 = tblRegister[[#This Row],[OUT Token]],$F$3:F4,0)
                  )
            )
      ),
     IF(ISERROR(IF($E$3:E4 = tblRegister[[#This Row],[OUT Token]],$L$3:L4,N/A)-tblRegister[[#This Row],[OUT Total Before Sale]]),0,
            IF(IF($E$3:E4 = tblRegister[[#This Row],[OUT Token]],$L$3:L4,N/A)-tblRegister[[#This Row],[OUT Total Before Sale]]&lt;0,0,
                  IF(IF($E$3:E4 = tblRegister[[#This Row],[OUT Token]],$L$3:L4,tblRegister[[#This Row],[OUT Total Before Sale]])-tblRegister[[#This Row],[OUT Total Before Sale]]&lt;IF($E$3:E4 = tblRegister[[#This Row],[OUT Token]],$F$3:F4,0),
                        IF($E$3:E4 = tblRegister[[#This Row],[OUT Token]],$L$3:L4 - tblRegister[[#This Row],[OUT Total Before Sale]],0),
                        IF($E$3:E4 = tblRegister[[#This Row],[OUT Token]],$F$3:F4,0)
                  )
            )
      ),
      IF(IF($E$3:E4 = tblRegister[[#This Row],[OUT Token]],tblRegister[[#This Row],[OUT Quantity]]-$L$3:L4+tblRegister[[#This Row],[OUT Total Before Sale]]+$F$3:F4,1) &lt;0,0,
           IF($E$3:E4 = tblRegister[[#This Row],[OUT Token]],tblRegister[[#This Row],[OUT Quantity]]-$L$3:L4+tblRegister[[#This Row],[OUT Total Before Sale]]+$F$3:F4,0)))))/tblRegister[[#This Row],[OUT Quantity]],"")</f>
        <v>1</v>
      </c>
      <c r="J5" s="63">
        <f>IFERROR(tblRegister[[#This Row],[OUT Book Price]]*tblRegister[[#This Row],[OUT Quantity]]/tblRegister[[#This Row],[IN Quantity]],"")</f>
        <v>2.5</v>
      </c>
      <c r="K5" s="63" t="str">
        <f>IFERROR(IF(tblRegister[[#This Row],[IN Token]]=DefCurrency,tblRegister[[#This Row],[IN Quantity]]*(1-tblRegister[[#This Row],[IN Price]]),""),"")</f>
        <v/>
      </c>
      <c r="L5" s="52">
        <f t="array" aca="1" ref="L5" ca="1">IF(tblRegister[[#This Row],[Batch]]="","",SUM(IF(OFFSET(tblRegister[[#Headers],[IN Token]],1,0,tblRegister[[#This Row],[Ind]])=tblRegister[[#This Row],[IN Token]],OFFSET(tblRegister[[#Headers],[IN Quantity]],1,0,tblRegister[[#This Row],[Ind]]),0)))</f>
        <v>200</v>
      </c>
      <c r="M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" s="52">
        <f t="array" aca="1" ref="N5" ca="1">IF(tblRegister[[#This Row],[Batch]]="","",tblRegister[[#This Row],[OUT Total After Sale]]-tblRegister[[#This Row],[OUT Quantity]])</f>
        <v>800</v>
      </c>
      <c r="O5" s="53">
        <f t="array" aca="1" ref="O5" ca="1">IF(tblRegister[[#This Row],[Batch]]="","",SUM(IF(OFFSET(tblRegister[[#Headers],[OUT Token]],1,0,tblRegister[[#This Row],[Ind]])=tblRegister[[#This Row],[OUT Token]],OFFSET(tblRegister[[#Headers],[OUT Quantity]],1,0,tblRegister[[#This Row],[Ind]]),0)))</f>
        <v>1300</v>
      </c>
    </row>
    <row r="6" spans="2:15" x14ac:dyDescent="0.25">
      <c r="B6" s="50">
        <f>ROW()-ROW(tblRegister[[#Headers],[Ind]])</f>
        <v>3</v>
      </c>
      <c r="C6" s="59">
        <f>IF(ISBLANK(tblRegister[[#This Row],[IN Token]]),"",tblRegister[[#This Row],[Ind]])</f>
        <v>3</v>
      </c>
      <c r="D6" s="118">
        <v>43138</v>
      </c>
      <c r="E6" s="51" t="s">
        <v>11</v>
      </c>
      <c r="F6" s="111">
        <v>250</v>
      </c>
      <c r="G6" s="51" t="s">
        <v>196</v>
      </c>
      <c r="H6" s="111">
        <v>485</v>
      </c>
      <c r="I6" s="63">
        <f t="array" ref="I6">IFERROR(IF(tblRegister[[#This Row],[OUT Token]]=DefCurrency,tblRegister[[#This Row],[OUT Quantity]],
      SUMPRODUCT($J$3:J5,
      IF(IF($E$3:E5 = tblRegister[[#This Row],[OUT Token]],tblRegister[[#This Row],[OUT Quantity]]-$L$3:L5+tblRegister[[#This Row],[OUT Total Before Sale]]+$F$3:F5,0)  &gt; IF(ISERROR(IF($E$3:E5 = tblRegister[[#This Row],[OUT Token]],$L$3:L5,N/A)-tblRegister[[#This Row],[OUT Total Before Sale]]),0,
            IF(IF($E$3:E5 = tblRegister[[#This Row],[OUT Token]],$L$3:L5,N/A)-tblRegister[[#This Row],[OUT Total Before Sale]]&lt;0,0,
                  IF(IF($E$3:E5 = tblRegister[[#This Row],[OUT Token]],$L$3:L5,tblRegister[[#This Row],[OUT Total Before Sale]])-tblRegister[[#This Row],[OUT Total Before Sale]]&lt;IF($E$3:E5 = tblRegister[[#This Row],[OUT Token]],$F$3:F5,0),
                        IF($E$3:E5 = tblRegister[[#This Row],[OUT Token]],$L$3:L5 - tblRegister[[#This Row],[OUT Total Before Sale]],0),
                        IF($E$3:E5 = tblRegister[[#This Row],[OUT Token]],$F$3:F5,0)
                  )
            )
      ),
     IF(ISERROR(IF($E$3:E5 = tblRegister[[#This Row],[OUT Token]],$L$3:L5,N/A)-tblRegister[[#This Row],[OUT Total Before Sale]]),0,
            IF(IF($E$3:E5 = tblRegister[[#This Row],[OUT Token]],$L$3:L5,N/A)-tblRegister[[#This Row],[OUT Total Before Sale]]&lt;0,0,
                  IF(IF($E$3:E5 = tblRegister[[#This Row],[OUT Token]],$L$3:L5,tblRegister[[#This Row],[OUT Total Before Sale]])-tblRegister[[#This Row],[OUT Total Before Sale]]&lt;IF($E$3:E5 = tblRegister[[#This Row],[OUT Token]],$F$3:F5,0),
                        IF($E$3:E5 = tblRegister[[#This Row],[OUT Token]],$L$3:L5 - tblRegister[[#This Row],[OUT Total Before Sale]],0),
                        IF($E$3:E5 = tblRegister[[#This Row],[OUT Token]],$F$3:F5,0)
                  )
            )
      ),
      IF(IF($E$3:E5 = tblRegister[[#This Row],[OUT Token]],tblRegister[[#This Row],[OUT Quantity]]-$L$3:L5+tblRegister[[#This Row],[OUT Total Before Sale]]+$F$3:F5,1) &lt;0,0,
           IF($E$3:E5 = tblRegister[[#This Row],[OUT Token]],tblRegister[[#This Row],[OUT Quantity]]-$L$3:L5+tblRegister[[#This Row],[OUT Total Before Sale]]+$F$3:F5,0)))))/tblRegister[[#This Row],[OUT Quantity]],"")</f>
        <v>1</v>
      </c>
      <c r="J6" s="63">
        <f>IFERROR(tblRegister[[#This Row],[OUT Book Price]]*tblRegister[[#This Row],[OUT Quantity]]/tblRegister[[#This Row],[IN Quantity]],"")</f>
        <v>1.94</v>
      </c>
      <c r="K6" s="63" t="str">
        <f>IFERROR(IF(tblRegister[[#This Row],[IN Token]]=DefCurrency,tblRegister[[#This Row],[IN Quantity]]*(1-tblRegister[[#This Row],[IN Price]]),""),"")</f>
        <v/>
      </c>
      <c r="L6" s="52">
        <f t="array" aca="1" ref="L6" ca="1">IF(tblRegister[[#This Row],[Batch]]="","",SUM(IF(OFFSET(tblRegister[[#Headers],[IN Token]],1,0,tblRegister[[#This Row],[Ind]])=tblRegister[[#This Row],[IN Token]],OFFSET(tblRegister[[#Headers],[IN Quantity]],1,0,tblRegister[[#This Row],[Ind]]),0)))</f>
        <v>250</v>
      </c>
      <c r="M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" s="52">
        <f t="array" aca="1" ref="N6" ca="1">IF(tblRegister[[#This Row],[Batch]]="","",tblRegister[[#This Row],[OUT Total After Sale]]-tblRegister[[#This Row],[OUT Quantity]])</f>
        <v>1300</v>
      </c>
      <c r="O6" s="53">
        <f t="array" aca="1" ref="O6" ca="1">IF(tblRegister[[#This Row],[Batch]]="","",SUM(IF(OFFSET(tblRegister[[#Headers],[OUT Token]],1,0,tblRegister[[#This Row],[Ind]])=tblRegister[[#This Row],[OUT Token]],OFFSET(tblRegister[[#Headers],[OUT Quantity]],1,0,tblRegister[[#This Row],[Ind]]),0)))</f>
        <v>1785</v>
      </c>
    </row>
    <row r="7" spans="2:15" x14ac:dyDescent="0.25">
      <c r="B7" s="50">
        <f>ROW()-ROW(tblRegister[[#Headers],[Ind]])</f>
        <v>4</v>
      </c>
      <c r="C7" s="59">
        <f>IF(ISBLANK(tblRegister[[#This Row],[IN Token]]),"",tblRegister[[#This Row],[Ind]])</f>
        <v>4</v>
      </c>
      <c r="D7" s="118">
        <v>43146</v>
      </c>
      <c r="E7" s="51" t="s">
        <v>0</v>
      </c>
      <c r="F7" s="111">
        <v>14</v>
      </c>
      <c r="G7" s="51" t="s">
        <v>196</v>
      </c>
      <c r="H7" s="111">
        <v>2200</v>
      </c>
      <c r="I7" s="63">
        <f t="array" ref="I7">IFERROR(IF(tblRegister[[#This Row],[OUT Token]]=DefCurrency,tblRegister[[#This Row],[OUT Quantity]],
      SUMPRODUCT($J$3:J6,
      IF(IF($E$3:E6 = tblRegister[[#This Row],[OUT Token]],tblRegister[[#This Row],[OUT Quantity]]-$L$3:L6+tblRegister[[#This Row],[OUT Total Before Sale]]+$F$3:F6,0)  &gt; IF(ISERROR(IF($E$3:E6 = tblRegister[[#This Row],[OUT Token]],$L$3:L6,N/A)-tblRegister[[#This Row],[OUT Total Before Sale]]),0,
            IF(IF($E$3:E6 = tblRegister[[#This Row],[OUT Token]],$L$3:L6,N/A)-tblRegister[[#This Row],[OUT Total Before Sale]]&lt;0,0,
                  IF(IF($E$3:E6 = tblRegister[[#This Row],[OUT Token]],$L$3:L6,tblRegister[[#This Row],[OUT Total Before Sale]])-tblRegister[[#This Row],[OUT Total Before Sale]]&lt;IF($E$3:E6 = tblRegister[[#This Row],[OUT Token]],$F$3:F6,0),
                        IF($E$3:E6 = tblRegister[[#This Row],[OUT Token]],$L$3:L6 - tblRegister[[#This Row],[OUT Total Before Sale]],0),
                        IF($E$3:E6 = tblRegister[[#This Row],[OUT Token]],$F$3:F6,0)
                  )
            )
      ),
     IF(ISERROR(IF($E$3:E6 = tblRegister[[#This Row],[OUT Token]],$L$3:L6,N/A)-tblRegister[[#This Row],[OUT Total Before Sale]]),0,
            IF(IF($E$3:E6 = tblRegister[[#This Row],[OUT Token]],$L$3:L6,N/A)-tblRegister[[#This Row],[OUT Total Before Sale]]&lt;0,0,
                  IF(IF($E$3:E6 = tblRegister[[#This Row],[OUT Token]],$L$3:L6,tblRegister[[#This Row],[OUT Total Before Sale]])-tblRegister[[#This Row],[OUT Total Before Sale]]&lt;IF($E$3:E6 = tblRegister[[#This Row],[OUT Token]],$F$3:F6,0),
                        IF($E$3:E6 = tblRegister[[#This Row],[OUT Token]],$L$3:L6 - tblRegister[[#This Row],[OUT Total Before Sale]],0),
                        IF($E$3:E6 = tblRegister[[#This Row],[OUT Token]],$F$3:F6,0)
                  )
            )
      ),
      IF(IF($E$3:E6 = tblRegister[[#This Row],[OUT Token]],tblRegister[[#This Row],[OUT Quantity]]-$L$3:L6+tblRegister[[#This Row],[OUT Total Before Sale]]+$F$3:F6,1) &lt;0,0,
           IF($E$3:E6 = tblRegister[[#This Row],[OUT Token]],tblRegister[[#This Row],[OUT Quantity]]-$L$3:L6+tblRegister[[#This Row],[OUT Total Before Sale]]+$F$3:F6,0)))))/tblRegister[[#This Row],[OUT Quantity]],"")</f>
        <v>1</v>
      </c>
      <c r="J7" s="63">
        <f>IFERROR(tblRegister[[#This Row],[OUT Book Price]]*tblRegister[[#This Row],[OUT Quantity]]/tblRegister[[#This Row],[IN Quantity]],"")</f>
        <v>157.14285714285714</v>
      </c>
      <c r="K7" s="63" t="str">
        <f>IFERROR(IF(tblRegister[[#This Row],[IN Token]]=DefCurrency,tblRegister[[#This Row],[IN Quantity]]*(1-tblRegister[[#This Row],[IN Price]]),""),"")</f>
        <v/>
      </c>
      <c r="L7" s="52">
        <f t="array" aca="1" ref="L7" ca="1">IF(tblRegister[[#This Row],[Batch]]="","",SUM(IF(OFFSET(tblRegister[[#Headers],[IN Token]],1,0,tblRegister[[#This Row],[Ind]])=tblRegister[[#This Row],[IN Token]],OFFSET(tblRegister[[#Headers],[IN Quantity]],1,0,tblRegister[[#This Row],[Ind]]),0)))</f>
        <v>25</v>
      </c>
      <c r="M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" s="52">
        <f t="array" aca="1" ref="N7" ca="1">IF(tblRegister[[#This Row],[Batch]]="","",tblRegister[[#This Row],[OUT Total After Sale]]-tblRegister[[#This Row],[OUT Quantity]])</f>
        <v>1785</v>
      </c>
      <c r="O7" s="53">
        <f t="array" aca="1" ref="O7" ca="1">IF(tblRegister[[#This Row],[Batch]]="","",SUM(IF(OFFSET(tblRegister[[#Headers],[OUT Token]],1,0,tblRegister[[#This Row],[Ind]])=tblRegister[[#This Row],[OUT Token]],OFFSET(tblRegister[[#Headers],[OUT Quantity]],1,0,tblRegister[[#This Row],[Ind]]),0)))</f>
        <v>3985</v>
      </c>
    </row>
    <row r="8" spans="2:15" x14ac:dyDescent="0.25">
      <c r="B8" s="50">
        <f>ROW()-ROW(tblRegister[[#Headers],[Ind]])</f>
        <v>5</v>
      </c>
      <c r="C8" s="59">
        <f>IF(ISBLANK(tblRegister[[#This Row],[IN Token]]),"",tblRegister[[#This Row],[Ind]])</f>
        <v>5</v>
      </c>
      <c r="D8" s="118">
        <v>43154</v>
      </c>
      <c r="E8" s="51" t="s">
        <v>11</v>
      </c>
      <c r="F8" s="111">
        <v>400</v>
      </c>
      <c r="G8" s="51" t="s">
        <v>196</v>
      </c>
      <c r="H8" s="111">
        <v>1407</v>
      </c>
      <c r="I8" s="63">
        <f t="array" ref="I8">IFERROR(IF(tblRegister[[#This Row],[OUT Token]]=DefCurrency,tblRegister[[#This Row],[OUT Quantity]],
      SUMPRODUCT($J$3:J7,
      IF(IF($E$3:E7 = tblRegister[[#This Row],[OUT Token]],tblRegister[[#This Row],[OUT Quantity]]-$L$3:L7+tblRegister[[#This Row],[OUT Total Before Sale]]+$F$3:F7,0)  &gt; IF(ISERROR(IF($E$3:E7 = tblRegister[[#This Row],[OUT Token]],$L$3:L7,N/A)-tblRegister[[#This Row],[OUT Total Before Sale]]),0,
            IF(IF($E$3:E7 = tblRegister[[#This Row],[OUT Token]],$L$3:L7,N/A)-tblRegister[[#This Row],[OUT Total Before Sale]]&lt;0,0,
                  IF(IF($E$3:E7 = tblRegister[[#This Row],[OUT Token]],$L$3:L7,tblRegister[[#This Row],[OUT Total Before Sale]])-tblRegister[[#This Row],[OUT Total Before Sale]]&lt;IF($E$3:E7 = tblRegister[[#This Row],[OUT Token]],$F$3:F7,0),
                        IF($E$3:E7 = tblRegister[[#This Row],[OUT Token]],$L$3:L7 - tblRegister[[#This Row],[OUT Total Before Sale]],0),
                        IF($E$3:E7 = tblRegister[[#This Row],[OUT Token]],$F$3:F7,0)
                  )
            )
      ),
     IF(ISERROR(IF($E$3:E7 = tblRegister[[#This Row],[OUT Token]],$L$3:L7,N/A)-tblRegister[[#This Row],[OUT Total Before Sale]]),0,
            IF(IF($E$3:E7 = tblRegister[[#This Row],[OUT Token]],$L$3:L7,N/A)-tblRegister[[#This Row],[OUT Total Before Sale]]&lt;0,0,
                  IF(IF($E$3:E7 = tblRegister[[#This Row],[OUT Token]],$L$3:L7,tblRegister[[#This Row],[OUT Total Before Sale]])-tblRegister[[#This Row],[OUT Total Before Sale]]&lt;IF($E$3:E7 = tblRegister[[#This Row],[OUT Token]],$F$3:F7,0),
                        IF($E$3:E7 = tblRegister[[#This Row],[OUT Token]],$L$3:L7 - tblRegister[[#This Row],[OUT Total Before Sale]],0),
                        IF($E$3:E7 = tblRegister[[#This Row],[OUT Token]],$F$3:F7,0)
                  )
            )
      ),
      IF(IF($E$3:E7 = tblRegister[[#This Row],[OUT Token]],tblRegister[[#This Row],[OUT Quantity]]-$L$3:L7+tblRegister[[#This Row],[OUT Total Before Sale]]+$F$3:F7,1) &lt;0,0,
           IF($E$3:E7 = tblRegister[[#This Row],[OUT Token]],tblRegister[[#This Row],[OUT Quantity]]-$L$3:L7+tblRegister[[#This Row],[OUT Total Before Sale]]+$F$3:F7,0)))))/tblRegister[[#This Row],[OUT Quantity]],"")</f>
        <v>1</v>
      </c>
      <c r="J8" s="63">
        <f>IFERROR(tblRegister[[#This Row],[OUT Book Price]]*tblRegister[[#This Row],[OUT Quantity]]/tblRegister[[#This Row],[IN Quantity]],"")</f>
        <v>3.5175000000000001</v>
      </c>
      <c r="K8" s="63" t="str">
        <f>IFERROR(IF(tblRegister[[#This Row],[IN Token]]=DefCurrency,tblRegister[[#This Row],[IN Quantity]]*(1-tblRegister[[#This Row],[IN Price]]),""),"")</f>
        <v/>
      </c>
      <c r="L8" s="52">
        <f t="array" aca="1" ref="L8" ca="1">IF(tblRegister[[#This Row],[Batch]]="","",SUM(IF(OFFSET(tblRegister[[#Headers],[IN Token]],1,0,tblRegister[[#This Row],[Ind]])=tblRegister[[#This Row],[IN Token]],OFFSET(tblRegister[[#Headers],[IN Quantity]],1,0,tblRegister[[#This Row],[Ind]]),0)))</f>
        <v>650</v>
      </c>
      <c r="M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" s="52">
        <f t="array" aca="1" ref="N8" ca="1">IF(tblRegister[[#This Row],[Batch]]="","",tblRegister[[#This Row],[OUT Total After Sale]]-tblRegister[[#This Row],[OUT Quantity]])</f>
        <v>3985</v>
      </c>
      <c r="O8" s="53">
        <f t="array" aca="1" ref="O8" ca="1">IF(tblRegister[[#This Row],[Batch]]="","",SUM(IF(OFFSET(tblRegister[[#Headers],[OUT Token]],1,0,tblRegister[[#This Row],[Ind]])=tblRegister[[#This Row],[OUT Token]],OFFSET(tblRegister[[#Headers],[OUT Quantity]],1,0,tblRegister[[#This Row],[Ind]]),0)))</f>
        <v>5392</v>
      </c>
    </row>
    <row r="9" spans="2:15" x14ac:dyDescent="0.25">
      <c r="B9" s="50">
        <f>ROW()-ROW(tblRegister[[#Headers],[Ind]])</f>
        <v>6</v>
      </c>
      <c r="C9" s="59">
        <f>IF(ISBLANK(tblRegister[[#This Row],[IN Token]]),"",tblRegister[[#This Row],[Ind]])</f>
        <v>6</v>
      </c>
      <c r="D9" s="118">
        <v>43161</v>
      </c>
      <c r="E9" s="51" t="s">
        <v>11</v>
      </c>
      <c r="F9" s="111">
        <v>350</v>
      </c>
      <c r="G9" s="51" t="s">
        <v>196</v>
      </c>
      <c r="H9" s="111">
        <v>2108</v>
      </c>
      <c r="I9" s="63">
        <f t="array" ref="I9">IFERROR(IF(tblRegister[[#This Row],[OUT Token]]=DefCurrency,tblRegister[[#This Row],[OUT Quantity]],
      SUMPRODUCT($J$3:J8,
      IF(IF($E$3:E8 = tblRegister[[#This Row],[OUT Token]],tblRegister[[#This Row],[OUT Quantity]]-$L$3:L8+tblRegister[[#This Row],[OUT Total Before Sale]]+$F$3:F8,0)  &gt; IF(ISERROR(IF($E$3:E8 = tblRegister[[#This Row],[OUT Token]],$L$3:L8,N/A)-tblRegister[[#This Row],[OUT Total Before Sale]]),0,
            IF(IF($E$3:E8 = tblRegister[[#This Row],[OUT Token]],$L$3:L8,N/A)-tblRegister[[#This Row],[OUT Total Before Sale]]&lt;0,0,
                  IF(IF($E$3:E8 = tblRegister[[#This Row],[OUT Token]],$L$3:L8,tblRegister[[#This Row],[OUT Total Before Sale]])-tblRegister[[#This Row],[OUT Total Before Sale]]&lt;IF($E$3:E8 = tblRegister[[#This Row],[OUT Token]],$F$3:F8,0),
                        IF($E$3:E8 = tblRegister[[#This Row],[OUT Token]],$L$3:L8 - tblRegister[[#This Row],[OUT Total Before Sale]],0),
                        IF($E$3:E8 = tblRegister[[#This Row],[OUT Token]],$F$3:F8,0)
                  )
            )
      ),
     IF(ISERROR(IF($E$3:E8 = tblRegister[[#This Row],[OUT Token]],$L$3:L8,N/A)-tblRegister[[#This Row],[OUT Total Before Sale]]),0,
            IF(IF($E$3:E8 = tblRegister[[#This Row],[OUT Token]],$L$3:L8,N/A)-tblRegister[[#This Row],[OUT Total Before Sale]]&lt;0,0,
                  IF(IF($E$3:E8 = tblRegister[[#This Row],[OUT Token]],$L$3:L8,tblRegister[[#This Row],[OUT Total Before Sale]])-tblRegister[[#This Row],[OUT Total Before Sale]]&lt;IF($E$3:E8 = tblRegister[[#This Row],[OUT Token]],$F$3:F8,0),
                        IF($E$3:E8 = tblRegister[[#This Row],[OUT Token]],$L$3:L8 - tblRegister[[#This Row],[OUT Total Before Sale]],0),
                        IF($E$3:E8 = tblRegister[[#This Row],[OUT Token]],$F$3:F8,0)
                  )
            )
      ),
      IF(IF($E$3:E8 = tblRegister[[#This Row],[OUT Token]],tblRegister[[#This Row],[OUT Quantity]]-$L$3:L8+tblRegister[[#This Row],[OUT Total Before Sale]]+$F$3:F8,1) &lt;0,0,
           IF($E$3:E8 = tblRegister[[#This Row],[OUT Token]],tblRegister[[#This Row],[OUT Quantity]]-$L$3:L8+tblRegister[[#This Row],[OUT Total Before Sale]]+$F$3:F8,0)))))/tblRegister[[#This Row],[OUT Quantity]],"")</f>
        <v>1</v>
      </c>
      <c r="J9" s="63">
        <f>IFERROR(tblRegister[[#This Row],[OUT Book Price]]*tblRegister[[#This Row],[OUT Quantity]]/tblRegister[[#This Row],[IN Quantity]],"")</f>
        <v>6.0228571428571431</v>
      </c>
      <c r="K9" s="63" t="str">
        <f>IFERROR(IF(tblRegister[[#This Row],[IN Token]]=DefCurrency,tblRegister[[#This Row],[IN Quantity]]*(1-tblRegister[[#This Row],[IN Price]]),""),"")</f>
        <v/>
      </c>
      <c r="L9" s="52">
        <f t="array" aca="1" ref="L9" ca="1">IF(tblRegister[[#This Row],[Batch]]="","",SUM(IF(OFFSET(tblRegister[[#Headers],[IN Token]],1,0,tblRegister[[#This Row],[Ind]])=tblRegister[[#This Row],[IN Token]],OFFSET(tblRegister[[#Headers],[IN Quantity]],1,0,tblRegister[[#This Row],[Ind]]),0)))</f>
        <v>1000</v>
      </c>
      <c r="M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" s="52">
        <f t="array" aca="1" ref="N9" ca="1">IF(tblRegister[[#This Row],[Batch]]="","",tblRegister[[#This Row],[OUT Total After Sale]]-tblRegister[[#This Row],[OUT Quantity]])</f>
        <v>5392</v>
      </c>
      <c r="O9" s="53">
        <f t="array" aca="1" ref="O9" ca="1">IF(tblRegister[[#This Row],[Batch]]="","",SUM(IF(OFFSET(tblRegister[[#Headers],[OUT Token]],1,0,tblRegister[[#This Row],[Ind]])=tblRegister[[#This Row],[OUT Token]],OFFSET(tblRegister[[#Headers],[OUT Quantity]],1,0,tblRegister[[#This Row],[Ind]]),0)))</f>
        <v>7500</v>
      </c>
    </row>
    <row r="10" spans="2:15" x14ac:dyDescent="0.25">
      <c r="B10" s="50">
        <f>ROW()-ROW(tblRegister[[#Headers],[Ind]])</f>
        <v>7</v>
      </c>
      <c r="C10" s="59">
        <f>IF(ISBLANK(tblRegister[[#This Row],[IN Token]]),"",tblRegister[[#This Row],[Ind]])</f>
        <v>7</v>
      </c>
      <c r="D10" s="118">
        <v>43164</v>
      </c>
      <c r="E10" s="51" t="s">
        <v>0</v>
      </c>
      <c r="F10" s="111">
        <v>5</v>
      </c>
      <c r="G10" s="51" t="s">
        <v>11</v>
      </c>
      <c r="H10" s="111">
        <v>500</v>
      </c>
      <c r="I10" s="63">
        <f t="array" aca="1" ref="I10" ca="1">IFERROR(IF(tblRegister[[#This Row],[OUT Token]]=DefCurrency,tblRegister[[#This Row],[OUT Quantity]],
      SUMPRODUCT($J$3:J9,
      IF(IF($E$3:E9 = tblRegister[[#This Row],[OUT Token]],tblRegister[[#This Row],[OUT Quantity]]-$L$3:L9+tblRegister[[#This Row],[OUT Total Before Sale]]+$F$3:F9,0)  &gt; IF(ISERROR(IF($E$3:E9 = tblRegister[[#This Row],[OUT Token]],$L$3:L9,N/A)-tblRegister[[#This Row],[OUT Total Before Sale]]),0,
            IF(IF($E$3:E9 = tblRegister[[#This Row],[OUT Token]],$L$3:L9,N/A)-tblRegister[[#This Row],[OUT Total Before Sale]]&lt;0,0,
                  IF(IF($E$3:E9 = tblRegister[[#This Row],[OUT Token]],$L$3:L9,tblRegister[[#This Row],[OUT Total Before Sale]])-tblRegister[[#This Row],[OUT Total Before Sale]]&lt;IF($E$3:E9 = tblRegister[[#This Row],[OUT Token]],$F$3:F9,0),
                        IF($E$3:E9 = tblRegister[[#This Row],[OUT Token]],$L$3:L9 - tblRegister[[#This Row],[OUT Total Before Sale]],0),
                        IF($E$3:E9 = tblRegister[[#This Row],[OUT Token]],$F$3:F9,0)
                  )
            )
      ),
     IF(ISERROR(IF($E$3:E9 = tblRegister[[#This Row],[OUT Token]],$L$3:L9,N/A)-tblRegister[[#This Row],[OUT Total Before Sale]]),0,
            IF(IF($E$3:E9 = tblRegister[[#This Row],[OUT Token]],$L$3:L9,N/A)-tblRegister[[#This Row],[OUT Total Before Sale]]&lt;0,0,
                  IF(IF($E$3:E9 = tblRegister[[#This Row],[OUT Token]],$L$3:L9,tblRegister[[#This Row],[OUT Total Before Sale]])-tblRegister[[#This Row],[OUT Total Before Sale]]&lt;IF($E$3:E9 = tblRegister[[#This Row],[OUT Token]],$F$3:F9,0),
                        IF($E$3:E9 = tblRegister[[#This Row],[OUT Token]],$L$3:L9 - tblRegister[[#This Row],[OUT Total Before Sale]],0),
                        IF($E$3:E9 = tblRegister[[#This Row],[OUT Token]],$F$3:F9,0)
                  )
            )
      ),
      IF(IF($E$3:E9 = tblRegister[[#This Row],[OUT Token]],tblRegister[[#This Row],[OUT Quantity]]-$L$3:L9+tblRegister[[#This Row],[OUT Total Before Sale]]+$F$3:F9,1) &lt;0,0,
           IF($E$3:E9 = tblRegister[[#This Row],[OUT Token]],tblRegister[[#This Row],[OUT Quantity]]-$L$3:L9+tblRegister[[#This Row],[OUT Total Before Sale]]+$F$3:F9,0)))))/tblRegister[[#This Row],[OUT Quantity]],"")</f>
        <v>2.7287499999999998</v>
      </c>
      <c r="J10" s="63">
        <f ca="1">IFERROR(tblRegister[[#This Row],[OUT Book Price]]*tblRegister[[#This Row],[OUT Quantity]]/tblRegister[[#This Row],[IN Quantity]],"")</f>
        <v>272.875</v>
      </c>
      <c r="K10" s="63" t="str">
        <f>IFERROR(IF(tblRegister[[#This Row],[IN Token]]=DefCurrency,tblRegister[[#This Row],[IN Quantity]]*(1-tblRegister[[#This Row],[IN Price]]),""),"")</f>
        <v/>
      </c>
      <c r="L10" s="52">
        <f t="array" aca="1" ref="L10" ca="1">IF(tblRegister[[#This Row],[Batch]]="","",SUM(IF(OFFSET(tblRegister[[#Headers],[IN Token]],1,0,tblRegister[[#This Row],[Ind]])=tblRegister[[#This Row],[IN Token]],OFFSET(tblRegister[[#Headers],[IN Quantity]],1,0,tblRegister[[#This Row],[Ind]]),0)))</f>
        <v>30</v>
      </c>
      <c r="M10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1000</v>
      </c>
      <c r="N10" s="52">
        <f t="array" aca="1" ref="N10" ca="1">IF(tblRegister[[#This Row],[Batch]]="","",tblRegister[[#This Row],[OUT Total After Sale]]-tblRegister[[#This Row],[OUT Quantity]])</f>
        <v>0</v>
      </c>
      <c r="O10" s="53">
        <f t="array" aca="1" ref="O10" ca="1">IF(tblRegister[[#This Row],[Batch]]="","",SUM(IF(OFFSET(tblRegister[[#Headers],[OUT Token]],1,0,tblRegister[[#This Row],[Ind]])=tblRegister[[#This Row],[OUT Token]],OFFSET(tblRegister[[#Headers],[OUT Quantity]],1,0,tblRegister[[#This Row],[Ind]]),0)))</f>
        <v>500</v>
      </c>
    </row>
    <row r="11" spans="2:15" x14ac:dyDescent="0.25">
      <c r="B11" s="50">
        <f>ROW()-ROW(tblRegister[[#Headers],[Ind]])</f>
        <v>8</v>
      </c>
      <c r="C11" s="59">
        <f>IF(ISBLANK(tblRegister[[#This Row],[IN Token]]),"",tblRegister[[#This Row],[Ind]])</f>
        <v>8</v>
      </c>
      <c r="D11" s="118">
        <v>43201</v>
      </c>
      <c r="E11" s="51" t="s">
        <v>0</v>
      </c>
      <c r="F11" s="111">
        <v>5</v>
      </c>
      <c r="G11" s="51" t="s">
        <v>11</v>
      </c>
      <c r="H11" s="111">
        <v>150</v>
      </c>
      <c r="I11" s="63">
        <f t="array" aca="1" ref="I11" ca="1">IFERROR(IF(tblRegister[[#This Row],[OUT Token]]=DefCurrency,tblRegister[[#This Row],[OUT Quantity]],
      SUMPRODUCT($J$3:J10,
      IF(IF($E$3:E10 = tblRegister[[#This Row],[OUT Token]],tblRegister[[#This Row],[OUT Quantity]]-$L$3:L10+tblRegister[[#This Row],[OUT Total Before Sale]]+$F$3:F10,0)  &gt; IF(ISERROR(IF($E$3:E10 = tblRegister[[#This Row],[OUT Token]],$L$3:L10,N/A)-tblRegister[[#This Row],[OUT Total Before Sale]]),0,
            IF(IF($E$3:E10 = tblRegister[[#This Row],[OUT Token]],$L$3:L10,N/A)-tblRegister[[#This Row],[OUT Total Before Sale]]&lt;0,0,
                  IF(IF($E$3:E10 = tblRegister[[#This Row],[OUT Token]],$L$3:L10,tblRegister[[#This Row],[OUT Total Before Sale]])-tblRegister[[#This Row],[OUT Total Before Sale]]&lt;IF($E$3:E10 = tblRegister[[#This Row],[OUT Token]],$F$3:F10,0),
                        IF($E$3:E10 = tblRegister[[#This Row],[OUT Token]],$L$3:L10 - tblRegister[[#This Row],[OUT Total Before Sale]],0),
                        IF($E$3:E10 = tblRegister[[#This Row],[OUT Token]],$F$3:F10,0)
                  )
            )
      ),
     IF(ISERROR(IF($E$3:E10 = tblRegister[[#This Row],[OUT Token]],$L$3:L10,N/A)-tblRegister[[#This Row],[OUT Total Before Sale]]),0,
            IF(IF($E$3:E10 = tblRegister[[#This Row],[OUT Token]],$L$3:L10,N/A)-tblRegister[[#This Row],[OUT Total Before Sale]]&lt;0,0,
                  IF(IF($E$3:E10 = tblRegister[[#This Row],[OUT Token]],$L$3:L10,tblRegister[[#This Row],[OUT Total Before Sale]])-tblRegister[[#This Row],[OUT Total Before Sale]]&lt;IF($E$3:E10 = tblRegister[[#This Row],[OUT Token]],$F$3:F10,0),
                        IF($E$3:E10 = tblRegister[[#This Row],[OUT Token]],$L$3:L10 - tblRegister[[#This Row],[OUT Total Before Sale]],0),
                        IF($E$3:E10 = tblRegister[[#This Row],[OUT Token]],$F$3:F10,0)
                  )
            )
      ),
      IF(IF($E$3:E10 = tblRegister[[#This Row],[OUT Token]],tblRegister[[#This Row],[OUT Quantity]]-$L$3:L10+tblRegister[[#This Row],[OUT Total Before Sale]]+$F$3:F10,1) &lt;0,0,
           IF($E$3:E10 = tblRegister[[#This Row],[OUT Token]],tblRegister[[#This Row],[OUT Quantity]]-$L$3:L10+tblRegister[[#This Row],[OUT Total Before Sale]]+$F$3:F10,0)))))/tblRegister[[#This Row],[OUT Quantity]],"")</f>
        <v>3.5175000000000001</v>
      </c>
      <c r="J11" s="63">
        <f ca="1">IFERROR(tblRegister[[#This Row],[OUT Book Price]]*tblRegister[[#This Row],[OUT Quantity]]/tblRegister[[#This Row],[IN Quantity]],"")</f>
        <v>105.52500000000001</v>
      </c>
      <c r="K11" s="63" t="str">
        <f>IFERROR(IF(tblRegister[[#This Row],[IN Token]]=DefCurrency,tblRegister[[#This Row],[IN Quantity]]*(1-tblRegister[[#This Row],[IN Price]]),""),"")</f>
        <v/>
      </c>
      <c r="L11" s="52">
        <f t="array" aca="1" ref="L11" ca="1">IF(tblRegister[[#This Row],[Batch]]="","",SUM(IF(OFFSET(tblRegister[[#Headers],[IN Token]],1,0,tblRegister[[#This Row],[Ind]])=tblRegister[[#This Row],[IN Token]],OFFSET(tblRegister[[#Headers],[IN Quantity]],1,0,tblRegister[[#This Row],[Ind]]),0)))</f>
        <v>35</v>
      </c>
      <c r="M11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650</v>
      </c>
      <c r="N11" s="52">
        <f t="array" aca="1" ref="N11" ca="1">IF(tblRegister[[#This Row],[Batch]]="","",tblRegister[[#This Row],[OUT Total After Sale]]-tblRegister[[#This Row],[OUT Quantity]])</f>
        <v>500</v>
      </c>
      <c r="O11" s="53">
        <f t="array" aca="1" ref="O11" ca="1">IF(tblRegister[[#This Row],[Batch]]="","",SUM(IF(OFFSET(tblRegister[[#Headers],[OUT Token]],1,0,tblRegister[[#This Row],[Ind]])=tblRegister[[#This Row],[OUT Token]],OFFSET(tblRegister[[#Headers],[OUT Quantity]],1,0,tblRegister[[#This Row],[Ind]]),0)))</f>
        <v>650</v>
      </c>
    </row>
    <row r="12" spans="2:15" x14ac:dyDescent="0.25">
      <c r="B12" s="50">
        <f>ROW()-ROW(tblRegister[[#Headers],[Ind]])</f>
        <v>9</v>
      </c>
      <c r="C12" s="59">
        <f>IF(ISBLANK(tblRegister[[#This Row],[IN Token]]),"",tblRegister[[#This Row],[Ind]])</f>
        <v>9</v>
      </c>
      <c r="D12" s="118">
        <v>43205</v>
      </c>
      <c r="E12" s="51" t="s">
        <v>196</v>
      </c>
      <c r="F12" s="111">
        <v>28000</v>
      </c>
      <c r="G12" s="51" t="s">
        <v>0</v>
      </c>
      <c r="H12" s="111">
        <v>20</v>
      </c>
      <c r="I12" s="63">
        <f t="array" aca="1" ref="I12" ca="1">IFERROR(IF(tblRegister[[#This Row],[OUT Token]]=DefCurrency,tblRegister[[#This Row],[OUT Quantity]],
      SUMPRODUCT($J$3:J11,
      IF(IF($E$3:E11 = tblRegister[[#This Row],[OUT Token]],tblRegister[[#This Row],[OUT Quantity]]-$L$3:L11+tblRegister[[#This Row],[OUT Total Before Sale]]+$F$3:F11,0)  &gt; IF(ISERROR(IF($E$3:E11 = tblRegister[[#This Row],[OUT Token]],$L$3:L11,N/A)-tblRegister[[#This Row],[OUT Total Before Sale]]),0,
            IF(IF($E$3:E11 = tblRegister[[#This Row],[OUT Token]],$L$3:L11,N/A)-tblRegister[[#This Row],[OUT Total Before Sale]]&lt;0,0,
                  IF(IF($E$3:E11 = tblRegister[[#This Row],[OUT Token]],$L$3:L11,tblRegister[[#This Row],[OUT Total Before Sale]])-tblRegister[[#This Row],[OUT Total Before Sale]]&lt;IF($E$3:E11 = tblRegister[[#This Row],[OUT Token]],$F$3:F11,0),
                        IF($E$3:E11 = tblRegister[[#This Row],[OUT Token]],$L$3:L11 - tblRegister[[#This Row],[OUT Total Before Sale]],0),
                        IF($E$3:E11 = tblRegister[[#This Row],[OUT Token]],$F$3:F11,0)
                  )
            )
      ),
     IF(ISERROR(IF($E$3:E11 = tblRegister[[#This Row],[OUT Token]],$L$3:L11,N/A)-tblRegister[[#This Row],[OUT Total Before Sale]]),0,
            IF(IF($E$3:E11 = tblRegister[[#This Row],[OUT Token]],$L$3:L11,N/A)-tblRegister[[#This Row],[OUT Total Before Sale]]&lt;0,0,
                  IF(IF($E$3:E11 = tblRegister[[#This Row],[OUT Token]],$L$3:L11,tblRegister[[#This Row],[OUT Total Before Sale]])-tblRegister[[#This Row],[OUT Total Before Sale]]&lt;IF($E$3:E11 = tblRegister[[#This Row],[OUT Token]],$F$3:F11,0),
                        IF($E$3:E11 = tblRegister[[#This Row],[OUT Token]],$L$3:L11 - tblRegister[[#This Row],[OUT Total Before Sale]],0),
                        IF($E$3:E11 = tblRegister[[#This Row],[OUT Token]],$F$3:F11,0)
                  )
            )
      ),
      IF(IF($E$3:E11 = tblRegister[[#This Row],[OUT Token]],tblRegister[[#This Row],[OUT Quantity]]-$L$3:L11+tblRegister[[#This Row],[OUT Total Before Sale]]+$F$3:F11,1) &lt;0,0,
           IF($E$3:E11 = tblRegister[[#This Row],[OUT Token]],tblRegister[[#This Row],[OUT Quantity]]-$L$3:L11+tblRegister[[#This Row],[OUT Total Before Sale]]+$F$3:F11,0)))))/tblRegister[[#This Row],[OUT Quantity]],"")</f>
        <v>110.71428571428571</v>
      </c>
      <c r="J12" s="64">
        <f ca="1">IFERROR(tblRegister[[#This Row],[OUT Book Price]]*tblRegister[[#This Row],[OUT Quantity]]/tblRegister[[#This Row],[IN Quantity]],"")</f>
        <v>7.9081632653061229E-2</v>
      </c>
      <c r="K12" s="63">
        <f ca="1">IFERROR(IF(tblRegister[[#This Row],[IN Token]]=DefCurrency,tblRegister[[#This Row],[IN Quantity]]*(1-tblRegister[[#This Row],[IN Price]]),""),"")</f>
        <v>25785.714285714286</v>
      </c>
      <c r="L12" s="52">
        <f t="array" aca="1" ref="L12" ca="1">IF(tblRegister[[#This Row],[Batch]]="","",SUM(IF(OFFSET(tblRegister[[#Headers],[IN Token]],1,0,tblRegister[[#This Row],[Ind]])=tblRegister[[#This Row],[IN Token]],OFFSET(tblRegister[[#Headers],[IN Quantity]],1,0,tblRegister[[#This Row],[Ind]]),0)))</f>
        <v>28000</v>
      </c>
      <c r="M12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25</v>
      </c>
      <c r="N12" s="52">
        <f t="array" aca="1" ref="N12" ca="1">IF(tblRegister[[#This Row],[Batch]]="","",tblRegister[[#This Row],[OUT Total After Sale]]-tblRegister[[#This Row],[OUT Quantity]])</f>
        <v>0</v>
      </c>
      <c r="O12" s="53">
        <f t="array" aca="1" ref="O12" ca="1">IF(tblRegister[[#This Row],[Batch]]="","",SUM(IF(OFFSET(tblRegister[[#Headers],[OUT Token]],1,0,tblRegister[[#This Row],[Ind]])=tblRegister[[#This Row],[OUT Token]],OFFSET(tblRegister[[#Headers],[OUT Quantity]],1,0,tblRegister[[#This Row],[Ind]]),0)))</f>
        <v>20</v>
      </c>
    </row>
    <row r="13" spans="2:15" x14ac:dyDescent="0.25">
      <c r="B13" s="50">
        <f>ROW()-ROW(tblRegister[[#Headers],[Ind]])</f>
        <v>10</v>
      </c>
      <c r="C13" s="59">
        <f>IF(ISBLANK(tblRegister[[#This Row],[IN Token]]),"",tblRegister[[#This Row],[Ind]])</f>
        <v>10</v>
      </c>
      <c r="D13" s="118">
        <v>43244</v>
      </c>
      <c r="E13" s="51" t="s">
        <v>196</v>
      </c>
      <c r="F13" s="111">
        <v>24700</v>
      </c>
      <c r="G13" s="51" t="s">
        <v>0</v>
      </c>
      <c r="H13" s="111">
        <v>15</v>
      </c>
      <c r="I13" s="63">
        <f t="array" aca="1" ref="I13" ca="1">IFERROR(IF(tblRegister[[#This Row],[OUT Token]]=DefCurrency,tblRegister[[#This Row],[OUT Quantity]],
      SUMPRODUCT($J$3:J12,
      IF(IF($E$3:E12 = tblRegister[[#This Row],[OUT Token]],tblRegister[[#This Row],[OUT Quantity]]-$L$3:L12+tblRegister[[#This Row],[OUT Total Before Sale]]+$F$3:F12,0)  &gt; IF(ISERROR(IF($E$3:E12 = tblRegister[[#This Row],[OUT Token]],$L$3:L12,N/A)-tblRegister[[#This Row],[OUT Total Before Sale]]),0,
            IF(IF($E$3:E12 = tblRegister[[#This Row],[OUT Token]],$L$3:L12,N/A)-tblRegister[[#This Row],[OUT Total Before Sale]]&lt;0,0,
                  IF(IF($E$3:E12 = tblRegister[[#This Row],[OUT Token]],$L$3:L12,tblRegister[[#This Row],[OUT Total Before Sale]])-tblRegister[[#This Row],[OUT Total Before Sale]]&lt;IF($E$3:E12 = tblRegister[[#This Row],[OUT Token]],$F$3:F12,0),
                        IF($E$3:E12 = tblRegister[[#This Row],[OUT Token]],$L$3:L12 - tblRegister[[#This Row],[OUT Total Before Sale]],0),
                        IF($E$3:E12 = tblRegister[[#This Row],[OUT Token]],$F$3:F12,0)
                  )
            )
      ),
     IF(ISERROR(IF($E$3:E12 = tblRegister[[#This Row],[OUT Token]],$L$3:L12,N/A)-tblRegister[[#This Row],[OUT Total Before Sale]]),0,
            IF(IF($E$3:E12 = tblRegister[[#This Row],[OUT Token]],$L$3:L12,N/A)-tblRegister[[#This Row],[OUT Total Before Sale]]&lt;0,0,
                  IF(IF($E$3:E12 = tblRegister[[#This Row],[OUT Token]],$L$3:L12,tblRegister[[#This Row],[OUT Total Before Sale]])-tblRegister[[#This Row],[OUT Total Before Sale]]&lt;IF($E$3:E12 = tblRegister[[#This Row],[OUT Token]],$F$3:F12,0),
                        IF($E$3:E12 = tblRegister[[#This Row],[OUT Token]],$L$3:L12 - tblRegister[[#This Row],[OUT Total Before Sale]],0),
                        IF($E$3:E12 = tblRegister[[#This Row],[OUT Token]],$F$3:F12,0)
                  )
            )
      ),
      IF(IF($E$3:E12 = tblRegister[[#This Row],[OUT Token]],tblRegister[[#This Row],[OUT Quantity]]-$L$3:L12+tblRegister[[#This Row],[OUT Total Before Sale]]+$F$3:F12,1) &lt;0,0,
           IF($E$3:E12 = tblRegister[[#This Row],[OUT Token]],tblRegister[[#This Row],[OUT Quantity]]-$L$3:L12+tblRegister[[#This Row],[OUT Total Before Sale]]+$F$3:F12,0)))))/tblRegister[[#This Row],[OUT Quantity]],"")</f>
        <v>178.51428571428571</v>
      </c>
      <c r="J13" s="63">
        <f ca="1">IFERROR(tblRegister[[#This Row],[OUT Book Price]]*tblRegister[[#This Row],[OUT Quantity]]/tblRegister[[#This Row],[IN Quantity]],"")</f>
        <v>0.10840948525159051</v>
      </c>
      <c r="K13" s="63">
        <f ca="1">IFERROR(IF(tblRegister[[#This Row],[IN Token]]=DefCurrency,tblRegister[[#This Row],[IN Quantity]]*(1-tblRegister[[#This Row],[IN Price]]),""),"")</f>
        <v>22022.285714285714</v>
      </c>
      <c r="L13" s="52">
        <f t="array" aca="1" ref="L13" ca="1">IF(tblRegister[[#This Row],[Batch]]="","",SUM(IF(OFFSET(tblRegister[[#Headers],[IN Token]],1,0,tblRegister[[#This Row],[Ind]])=tblRegister[[#This Row],[IN Token]],OFFSET(tblRegister[[#Headers],[IN Quantity]],1,0,tblRegister[[#This Row],[Ind]]),0)))</f>
        <v>52700</v>
      </c>
      <c r="M13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20</v>
      </c>
      <c r="N13" s="52">
        <f t="array" aca="1" ref="N13" ca="1">IF(tblRegister[[#This Row],[Batch]]="","",tblRegister[[#This Row],[OUT Total After Sale]]-tblRegister[[#This Row],[OUT Quantity]])</f>
        <v>20</v>
      </c>
      <c r="O13" s="53">
        <f t="array" aca="1" ref="O13" ca="1">IF(tblRegister[[#This Row],[Batch]]="","",SUM(IF(OFFSET(tblRegister[[#Headers],[OUT Token]],1,0,tblRegister[[#This Row],[Ind]])=tblRegister[[#This Row],[OUT Token]],OFFSET(tblRegister[[#Headers],[OUT Quantity]],1,0,tblRegister[[#This Row],[Ind]]),0)))</f>
        <v>35</v>
      </c>
    </row>
    <row r="14" spans="2:15" x14ac:dyDescent="0.25">
      <c r="B14" s="50">
        <f>ROW()-ROW(tblRegister[[#Headers],[Ind]])</f>
        <v>11</v>
      </c>
      <c r="C14" s="59">
        <f>IF(ISBLANK(tblRegister[[#This Row],[IN Token]]),"",tblRegister[[#This Row],[Ind]])</f>
        <v>11</v>
      </c>
      <c r="D14" s="118">
        <v>43255</v>
      </c>
      <c r="E14" s="51" t="s">
        <v>196</v>
      </c>
      <c r="F14" s="111">
        <v>500</v>
      </c>
      <c r="G14" s="51" t="s">
        <v>11</v>
      </c>
      <c r="H14" s="111">
        <v>250</v>
      </c>
      <c r="I14" s="63">
        <f t="array" aca="1" ref="I14" ca="1">IFERROR(IF(tblRegister[[#This Row],[OUT Token]]=DefCurrency,tblRegister[[#This Row],[OUT Quantity]],
      SUMPRODUCT($J$3:J13,
      IF(IF($E$3:E13 = tblRegister[[#This Row],[OUT Token]],tblRegister[[#This Row],[OUT Quantity]]-$L$3:L13+tblRegister[[#This Row],[OUT Total Before Sale]]+$F$3:F13,0)  &gt; IF(ISERROR(IF($E$3:E13 = tblRegister[[#This Row],[OUT Token]],$L$3:L13,N/A)-tblRegister[[#This Row],[OUT Total Before Sale]]),0,
            IF(IF($E$3:E13 = tblRegister[[#This Row],[OUT Token]],$L$3:L13,N/A)-tblRegister[[#This Row],[OUT Total Before Sale]]&lt;0,0,
                  IF(IF($E$3:E13 = tblRegister[[#This Row],[OUT Token]],$L$3:L13,tblRegister[[#This Row],[OUT Total Before Sale]])-tblRegister[[#This Row],[OUT Total Before Sale]]&lt;IF($E$3:E13 = tblRegister[[#This Row],[OUT Token]],$F$3:F13,0),
                        IF($E$3:E13 = tblRegister[[#This Row],[OUT Token]],$L$3:L13 - tblRegister[[#This Row],[OUT Total Before Sale]],0),
                        IF($E$3:E13 = tblRegister[[#This Row],[OUT Token]],$F$3:F13,0)
                  )
            )
      ),
     IF(ISERROR(IF($E$3:E13 = tblRegister[[#This Row],[OUT Token]],$L$3:L13,N/A)-tblRegister[[#This Row],[OUT Total Before Sale]]),0,
            IF(IF($E$3:E13 = tblRegister[[#This Row],[OUT Token]],$L$3:L13,N/A)-tblRegister[[#This Row],[OUT Total Before Sale]]&lt;0,0,
                  IF(IF($E$3:E13 = tblRegister[[#This Row],[OUT Token]],$L$3:L13,tblRegister[[#This Row],[OUT Total Before Sale]])-tblRegister[[#This Row],[OUT Total Before Sale]]&lt;IF($E$3:E13 = tblRegister[[#This Row],[OUT Token]],$F$3:F13,0),
                        IF($E$3:E13 = tblRegister[[#This Row],[OUT Token]],$L$3:L13 - tblRegister[[#This Row],[OUT Total Before Sale]],0),
                        IF($E$3:E13 = tblRegister[[#This Row],[OUT Token]],$F$3:F13,0)
                  )
            )
      ),
      IF(IF($E$3:E13 = tblRegister[[#This Row],[OUT Token]],tblRegister[[#This Row],[OUT Quantity]]-$L$3:L13+tblRegister[[#This Row],[OUT Total Before Sale]]+$F$3:F13,1) &lt;0,0,
           IF($E$3:E13 = tblRegister[[#This Row],[OUT Token]],tblRegister[[#This Row],[OUT Quantity]]-$L$3:L13+tblRegister[[#This Row],[OUT Total Before Sale]]+$F$3:F13,0)))))/tblRegister[[#This Row],[OUT Quantity]],"")</f>
        <v>6.0228571428571431</v>
      </c>
      <c r="J14" s="63">
        <f ca="1">IFERROR(tblRegister[[#This Row],[OUT Book Price]]*tblRegister[[#This Row],[OUT Quantity]]/tblRegister[[#This Row],[IN Quantity]],"")</f>
        <v>3.0114285714285716</v>
      </c>
      <c r="K14" s="63">
        <f ca="1">IFERROR(IF(tblRegister[[#This Row],[IN Token]]=DefCurrency,tblRegister[[#This Row],[IN Quantity]]*(1-tblRegister[[#This Row],[IN Price]]),""),"")</f>
        <v>-1005.7142857142858</v>
      </c>
      <c r="L14" s="52">
        <f t="array" aca="1" ref="L14" ca="1">IF(tblRegister[[#This Row],[Batch]]="","",SUM(IF(OFFSET(tblRegister[[#Headers],[IN Token]],1,0,tblRegister[[#This Row],[Ind]])=tblRegister[[#This Row],[IN Token]],OFFSET(tblRegister[[#Headers],[IN Quantity]],1,0,tblRegister[[#This Row],[Ind]]),0)))</f>
        <v>53200</v>
      </c>
      <c r="M14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750</v>
      </c>
      <c r="N14" s="52">
        <f t="array" aca="1" ref="N14" ca="1">IF(tblRegister[[#This Row],[Batch]]="","",tblRegister[[#This Row],[OUT Total After Sale]]-tblRegister[[#This Row],[OUT Quantity]])</f>
        <v>650</v>
      </c>
      <c r="O14" s="53">
        <f t="array" aca="1" ref="O14" ca="1">IF(tblRegister[[#This Row],[Batch]]="","",SUM(IF(OFFSET(tblRegister[[#Headers],[OUT Token]],1,0,tblRegister[[#This Row],[Ind]])=tblRegister[[#This Row],[OUT Token]],OFFSET(tblRegister[[#Headers],[OUT Quantity]],1,0,tblRegister[[#This Row],[Ind]]),0)))</f>
        <v>900</v>
      </c>
    </row>
    <row r="15" spans="2:15" x14ac:dyDescent="0.25">
      <c r="B15" s="50">
        <f>ROW()-ROW(tblRegister[[#Headers],[Ind]])</f>
        <v>12</v>
      </c>
      <c r="C15" s="59">
        <f>IF(ISBLANK(tblRegister[[#This Row],[IN Token]]),"",tblRegister[[#This Row],[Ind]])</f>
        <v>12</v>
      </c>
      <c r="D15" s="118">
        <v>43285</v>
      </c>
      <c r="E15" s="51" t="s">
        <v>196</v>
      </c>
      <c r="F15" s="111">
        <v>1400</v>
      </c>
      <c r="G15" s="51" t="s">
        <v>3</v>
      </c>
      <c r="H15" s="111">
        <v>200</v>
      </c>
      <c r="I15" s="63">
        <f t="array" aca="1" ref="I15" ca="1">IFERROR(IF(tblRegister[[#This Row],[OUT Token]]=DefCurrency,tblRegister[[#This Row],[OUT Quantity]],
      SUMPRODUCT($J$3:J14,
      IF(IF($E$3:E14 = tblRegister[[#This Row],[OUT Token]],tblRegister[[#This Row],[OUT Quantity]]-$L$3:L14+tblRegister[[#This Row],[OUT Total Before Sale]]+$F$3:F14,0)  &gt; IF(ISERROR(IF($E$3:E14 = tblRegister[[#This Row],[OUT Token]],$L$3:L14,N/A)-tblRegister[[#This Row],[OUT Total Before Sale]]),0,
            IF(IF($E$3:E14 = tblRegister[[#This Row],[OUT Token]],$L$3:L14,N/A)-tblRegister[[#This Row],[OUT Total Before Sale]]&lt;0,0,
                  IF(IF($E$3:E14 = tblRegister[[#This Row],[OUT Token]],$L$3:L14,tblRegister[[#This Row],[OUT Total Before Sale]])-tblRegister[[#This Row],[OUT Total Before Sale]]&lt;IF($E$3:E14 = tblRegister[[#This Row],[OUT Token]],$F$3:F14,0),
                        IF($E$3:E14 = tblRegister[[#This Row],[OUT Token]],$L$3:L14 - tblRegister[[#This Row],[OUT Total Before Sale]],0),
                        IF($E$3:E14 = tblRegister[[#This Row],[OUT Token]],$F$3:F14,0)
                  )
            )
      ),
     IF(ISERROR(IF($E$3:E14 = tblRegister[[#This Row],[OUT Token]],$L$3:L14,N/A)-tblRegister[[#This Row],[OUT Total Before Sale]]),0,
            IF(IF($E$3:E14 = tblRegister[[#This Row],[OUT Token]],$L$3:L14,N/A)-tblRegister[[#This Row],[OUT Total Before Sale]]&lt;0,0,
                  IF(IF($E$3:E14 = tblRegister[[#This Row],[OUT Token]],$L$3:L14,tblRegister[[#This Row],[OUT Total Before Sale]])-tblRegister[[#This Row],[OUT Total Before Sale]]&lt;IF($E$3:E14 = tblRegister[[#This Row],[OUT Token]],$F$3:F14,0),
                        IF($E$3:E14 = tblRegister[[#This Row],[OUT Token]],$L$3:L14 - tblRegister[[#This Row],[OUT Total Before Sale]],0),
                        IF($E$3:E14 = tblRegister[[#This Row],[OUT Token]],$F$3:F14,0)
                  )
            )
      ),
      IF(IF($E$3:E14 = tblRegister[[#This Row],[OUT Token]],tblRegister[[#This Row],[OUT Quantity]]-$L$3:L14+tblRegister[[#This Row],[OUT Total Before Sale]]+$F$3:F14,1) &lt;0,0,
           IF($E$3:E14 = tblRegister[[#This Row],[OUT Token]],tblRegister[[#This Row],[OUT Quantity]]-$L$3:L14+tblRegister[[#This Row],[OUT Total Before Sale]]+$F$3:F14,0)))))/tblRegister[[#This Row],[OUT Quantity]],"")</f>
        <v>2.5</v>
      </c>
      <c r="J15" s="63">
        <f ca="1">IFERROR(tblRegister[[#This Row],[OUT Book Price]]*tblRegister[[#This Row],[OUT Quantity]]/tblRegister[[#This Row],[IN Quantity]],"")</f>
        <v>0.35714285714285715</v>
      </c>
      <c r="K15" s="63">
        <f ca="1">IFERROR(IF(tblRegister[[#This Row],[IN Token]]=DefCurrency,tblRegister[[#This Row],[IN Quantity]]*(1-tblRegister[[#This Row],[IN Price]]),""),"")</f>
        <v>899.99999999999989</v>
      </c>
      <c r="L15" s="52">
        <f t="array" aca="1" ref="L15" ca="1">IF(tblRegister[[#This Row],[Batch]]="","",SUM(IF(OFFSET(tblRegister[[#Headers],[IN Token]],1,0,tblRegister[[#This Row],[Ind]])=tblRegister[[#This Row],[IN Token]],OFFSET(tblRegister[[#Headers],[IN Quantity]],1,0,tblRegister[[#This Row],[Ind]]),0)))</f>
        <v>54600</v>
      </c>
      <c r="M15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1000</v>
      </c>
      <c r="N15" s="52">
        <f t="array" aca="1" ref="N15" ca="1">IF(tblRegister[[#This Row],[Batch]]="","",tblRegister[[#This Row],[OUT Total After Sale]]-tblRegister[[#This Row],[OUT Quantity]])</f>
        <v>0</v>
      </c>
      <c r="O15" s="53">
        <f t="array" aca="1" ref="O15" ca="1">IF(tblRegister[[#This Row],[Batch]]="","",SUM(IF(OFFSET(tblRegister[[#Headers],[OUT Token]],1,0,tblRegister[[#This Row],[Ind]])=tblRegister[[#This Row],[OUT Token]],OFFSET(tblRegister[[#Headers],[OUT Quantity]],1,0,tblRegister[[#This Row],[Ind]]),0)))</f>
        <v>200</v>
      </c>
    </row>
    <row r="16" spans="2:15" x14ac:dyDescent="0.25">
      <c r="B16" s="50">
        <f>ROW()-ROW(tblRegister[[#Headers],[Ind]])</f>
        <v>13</v>
      </c>
      <c r="C16" s="59">
        <f>IF(ISBLANK(tblRegister[[#This Row],[IN Token]]),"",tblRegister[[#This Row],[Ind]])</f>
        <v>13</v>
      </c>
      <c r="D16" s="118">
        <v>43286</v>
      </c>
      <c r="E16" s="51" t="s">
        <v>196</v>
      </c>
      <c r="F16" s="111">
        <v>2480</v>
      </c>
      <c r="G16" s="51" t="s">
        <v>11</v>
      </c>
      <c r="H16" s="111">
        <v>100</v>
      </c>
      <c r="I16" s="63">
        <f t="array" aca="1" ref="I16" ca="1">IFERROR(IF(tblRegister[[#This Row],[OUT Token]]=DefCurrency,tblRegister[[#This Row],[OUT Quantity]],
      SUMPRODUCT($J$3:J15,
      IF(IF($E$3:E15 = tblRegister[[#This Row],[OUT Token]],tblRegister[[#This Row],[OUT Quantity]]-$L$3:L15+tblRegister[[#This Row],[OUT Total Before Sale]]+$F$3:F15,0)  &gt; IF(ISERROR(IF($E$3:E15 = tblRegister[[#This Row],[OUT Token]],$L$3:L15,N/A)-tblRegister[[#This Row],[OUT Total Before Sale]]),0,
            IF(IF($E$3:E15 = tblRegister[[#This Row],[OUT Token]],$L$3:L15,N/A)-tblRegister[[#This Row],[OUT Total Before Sale]]&lt;0,0,
                  IF(IF($E$3:E15 = tblRegister[[#This Row],[OUT Token]],$L$3:L15,tblRegister[[#This Row],[OUT Total Before Sale]])-tblRegister[[#This Row],[OUT Total Before Sale]]&lt;IF($E$3:E15 = tblRegister[[#This Row],[OUT Token]],$F$3:F15,0),
                        IF($E$3:E15 = tblRegister[[#This Row],[OUT Token]],$L$3:L15 - tblRegister[[#This Row],[OUT Total Before Sale]],0),
                        IF($E$3:E15 = tblRegister[[#This Row],[OUT Token]],$F$3:F15,0)
                  )
            )
      ),
     IF(ISERROR(IF($E$3:E15 = tblRegister[[#This Row],[OUT Token]],$L$3:L15,N/A)-tblRegister[[#This Row],[OUT Total Before Sale]]),0,
            IF(IF($E$3:E15 = tblRegister[[#This Row],[OUT Token]],$L$3:L15,N/A)-tblRegister[[#This Row],[OUT Total Before Sale]]&lt;0,0,
                  IF(IF($E$3:E15 = tblRegister[[#This Row],[OUT Token]],$L$3:L15,tblRegister[[#This Row],[OUT Total Before Sale]])-tblRegister[[#This Row],[OUT Total Before Sale]]&lt;IF($E$3:E15 = tblRegister[[#This Row],[OUT Token]],$F$3:F15,0),
                        IF($E$3:E15 = tblRegister[[#This Row],[OUT Token]],$L$3:L15 - tblRegister[[#This Row],[OUT Total Before Sale]],0),
                        IF($E$3:E15 = tblRegister[[#This Row],[OUT Token]],$F$3:F15,0)
                  )
            )
      ),
      IF(IF($E$3:E15 = tblRegister[[#This Row],[OUT Token]],tblRegister[[#This Row],[OUT Quantity]]-$L$3:L15+tblRegister[[#This Row],[OUT Total Before Sale]]+$F$3:F15,1) &lt;0,0,
           IF($E$3:E15 = tblRegister[[#This Row],[OUT Token]],tblRegister[[#This Row],[OUT Quantity]]-$L$3:L15+tblRegister[[#This Row],[OUT Total Before Sale]]+$F$3:F15,0)))))/tblRegister[[#This Row],[OUT Quantity]],"")</f>
        <v>6.0228571428571431</v>
      </c>
      <c r="J16" s="63">
        <f ca="1">IFERROR(tblRegister[[#This Row],[OUT Book Price]]*tblRegister[[#This Row],[OUT Quantity]]/tblRegister[[#This Row],[IN Quantity]],"")</f>
        <v>0.24285714285714288</v>
      </c>
      <c r="K16" s="63">
        <f ca="1">IFERROR(IF(tblRegister[[#This Row],[IN Token]]=DefCurrency,tblRegister[[#This Row],[IN Quantity]]*(1-tblRegister[[#This Row],[IN Price]]),""),"")</f>
        <v>1877.7142857142856</v>
      </c>
      <c r="L16" s="52">
        <f t="array" aca="1" ref="L16" ca="1">IF(tblRegister[[#This Row],[Batch]]="","",SUM(IF(OFFSET(tblRegister[[#Headers],[IN Token]],1,0,tblRegister[[#This Row],[Ind]])=tblRegister[[#This Row],[IN Token]],OFFSET(tblRegister[[#Headers],[IN Quantity]],1,0,tblRegister[[#This Row],[Ind]]),0)))</f>
        <v>57080</v>
      </c>
      <c r="M16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600</v>
      </c>
      <c r="N16" s="52">
        <f t="array" aca="1" ref="N16" ca="1">IF(tblRegister[[#This Row],[Batch]]="","",tblRegister[[#This Row],[OUT Total After Sale]]-tblRegister[[#This Row],[OUT Quantity]])</f>
        <v>900</v>
      </c>
      <c r="O16" s="53">
        <f t="array" aca="1" ref="O16" ca="1">IF(tblRegister[[#This Row],[Batch]]="","",SUM(IF(OFFSET(tblRegister[[#Headers],[OUT Token]],1,0,tblRegister[[#This Row],[Ind]])=tblRegister[[#This Row],[OUT Token]],OFFSET(tblRegister[[#Headers],[OUT Quantity]],1,0,tblRegister[[#This Row],[Ind]]),0)))</f>
        <v>1000</v>
      </c>
    </row>
    <row r="17" spans="2:15" x14ac:dyDescent="0.25">
      <c r="B17" s="50">
        <f>ROW()-ROW(tblRegister[[#Headers],[Ind]])</f>
        <v>14</v>
      </c>
      <c r="C17" s="59">
        <f>IF(ISBLANK(tblRegister[[#This Row],[IN Token]]),"",tblRegister[[#This Row],[Ind]])</f>
        <v>14</v>
      </c>
      <c r="D17" s="118">
        <v>43292</v>
      </c>
      <c r="E17" s="51" t="s">
        <v>0</v>
      </c>
      <c r="F17" s="111">
        <v>5</v>
      </c>
      <c r="G17" s="51" t="s">
        <v>196</v>
      </c>
      <c r="H17" s="111">
        <v>38148</v>
      </c>
      <c r="I17" s="63">
        <f t="array" ref="I17">IFERROR(IF(tblRegister[[#This Row],[OUT Token]]=DefCurrency,tblRegister[[#This Row],[OUT Quantity]],
      SUMPRODUCT($J$3:J16,
      IF(IF($E$3:E16 = tblRegister[[#This Row],[OUT Token]],tblRegister[[#This Row],[OUT Quantity]]-$L$3:L16+tblRegister[[#This Row],[OUT Total Before Sale]]+$F$3:F16,0)  &gt; IF(ISERROR(IF($E$3:E16 = tblRegister[[#This Row],[OUT Token]],$L$3:L16,N/A)-tblRegister[[#This Row],[OUT Total Before Sale]]),0,
            IF(IF($E$3:E16 = tblRegister[[#This Row],[OUT Token]],$L$3:L16,N/A)-tblRegister[[#This Row],[OUT Total Before Sale]]&lt;0,0,
                  IF(IF($E$3:E16 = tblRegister[[#This Row],[OUT Token]],$L$3:L16,tblRegister[[#This Row],[OUT Total Before Sale]])-tblRegister[[#This Row],[OUT Total Before Sale]]&lt;IF($E$3:E16 = tblRegister[[#This Row],[OUT Token]],$F$3:F16,0),
                        IF($E$3:E16 = tblRegister[[#This Row],[OUT Token]],$L$3:L16 - tblRegister[[#This Row],[OUT Total Before Sale]],0),
                        IF($E$3:E16 = tblRegister[[#This Row],[OUT Token]],$F$3:F16,0)
                  )
            )
      ),
     IF(ISERROR(IF($E$3:E16 = tblRegister[[#This Row],[OUT Token]],$L$3:L16,N/A)-tblRegister[[#This Row],[OUT Total Before Sale]]),0,
            IF(IF($E$3:E16 = tblRegister[[#This Row],[OUT Token]],$L$3:L16,N/A)-tblRegister[[#This Row],[OUT Total Before Sale]]&lt;0,0,
                  IF(IF($E$3:E16 = tblRegister[[#This Row],[OUT Token]],$L$3:L16,tblRegister[[#This Row],[OUT Total Before Sale]])-tblRegister[[#This Row],[OUT Total Before Sale]]&lt;IF($E$3:E16 = tblRegister[[#This Row],[OUT Token]],$F$3:F16,0),
                        IF($E$3:E16 = tblRegister[[#This Row],[OUT Token]],$L$3:L16 - tblRegister[[#This Row],[OUT Total Before Sale]],0),
                        IF($E$3:E16 = tblRegister[[#This Row],[OUT Token]],$F$3:F16,0)
                  )
            )
      ),
      IF(IF($E$3:E16 = tblRegister[[#This Row],[OUT Token]],tblRegister[[#This Row],[OUT Quantity]]-$L$3:L16+tblRegister[[#This Row],[OUT Total Before Sale]]+$F$3:F16,1) &lt;0,0,
           IF($E$3:E16 = tblRegister[[#This Row],[OUT Token]],tblRegister[[#This Row],[OUT Quantity]]-$L$3:L16+tblRegister[[#This Row],[OUT Total Before Sale]]+$F$3:F16,0)))))/tblRegister[[#This Row],[OUT Quantity]],"")</f>
        <v>1</v>
      </c>
      <c r="J17" s="63">
        <f>IFERROR(tblRegister[[#This Row],[OUT Book Price]]*tblRegister[[#This Row],[OUT Quantity]]/tblRegister[[#This Row],[IN Quantity]],"")</f>
        <v>7629.6</v>
      </c>
      <c r="K17" s="63" t="str">
        <f>IFERROR(IF(tblRegister[[#This Row],[IN Token]]=DefCurrency,tblRegister[[#This Row],[IN Quantity]]*(1-tblRegister[[#This Row],[IN Price]]),""),"")</f>
        <v/>
      </c>
      <c r="L17" s="52">
        <f t="array" aca="1" ref="L17" ca="1">IF(tblRegister[[#This Row],[Batch]]="","",SUM(IF(OFFSET(tblRegister[[#Headers],[IN Token]],1,0,tblRegister[[#This Row],[Ind]])=tblRegister[[#This Row],[IN Token]],OFFSET(tblRegister[[#Headers],[IN Quantity]],1,0,tblRegister[[#This Row],[Ind]]),0)))</f>
        <v>40</v>
      </c>
      <c r="M1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7" s="52">
        <f t="array" aca="1" ref="N17" ca="1">IF(tblRegister[[#This Row],[Batch]]="","",tblRegister[[#This Row],[OUT Total After Sale]]-tblRegister[[#This Row],[OUT Quantity]])</f>
        <v>7500</v>
      </c>
      <c r="O17" s="53">
        <f t="array" aca="1" ref="O17" ca="1">IF(tblRegister[[#This Row],[Batch]]="","",SUM(IF(OFFSET(tblRegister[[#Headers],[OUT Token]],1,0,tblRegister[[#This Row],[Ind]])=tblRegister[[#This Row],[OUT Token]],OFFSET(tblRegister[[#Headers],[OUT Quantity]],1,0,tblRegister[[#This Row],[Ind]]),0)))</f>
        <v>45648</v>
      </c>
    </row>
    <row r="18" spans="2:15" x14ac:dyDescent="0.25">
      <c r="B18" s="50">
        <f>ROW()-ROW(tblRegister[[#Headers],[Ind]])</f>
        <v>15</v>
      </c>
      <c r="C18" s="60">
        <f>IF(ISBLANK(tblRegister[[#This Row],[IN Token]]),"",tblRegister[[#This Row],[Ind]])</f>
        <v>15</v>
      </c>
      <c r="D18" s="118">
        <v>43299</v>
      </c>
      <c r="E18" s="51" t="s">
        <v>196</v>
      </c>
      <c r="F18" s="111">
        <v>24080</v>
      </c>
      <c r="G18" s="51" t="s">
        <v>0</v>
      </c>
      <c r="H18" s="111">
        <v>5</v>
      </c>
      <c r="I18" s="63">
        <f t="array" aca="1" ref="I18" ca="1">IFERROR(IF(tblRegister[[#This Row],[OUT Token]]=DefCurrency,tblRegister[[#This Row],[OUT Quantity]],
      SUMPRODUCT($J$3:J17,
      IF(IF($E$3:E17 = tblRegister[[#This Row],[OUT Token]],tblRegister[[#This Row],[OUT Quantity]]-$L$3:L17+tblRegister[[#This Row],[OUT Total Before Sale]]+$F$3:F17,0)  &gt; IF(ISERROR(IF($E$3:E17 = tblRegister[[#This Row],[OUT Token]],$L$3:L17,N/A)-tblRegister[[#This Row],[OUT Total Before Sale]]),0,
            IF(IF($E$3:E17 = tblRegister[[#This Row],[OUT Token]],$L$3:L17,N/A)-tblRegister[[#This Row],[OUT Total Before Sale]]&lt;0,0,
                  IF(IF($E$3:E17 = tblRegister[[#This Row],[OUT Token]],$L$3:L17,tblRegister[[#This Row],[OUT Total Before Sale]])-tblRegister[[#This Row],[OUT Total Before Sale]]&lt;IF($E$3:E17 = tblRegister[[#This Row],[OUT Token]],$F$3:F17,0),
                        IF($E$3:E17 = tblRegister[[#This Row],[OUT Token]],$L$3:L17 - tblRegister[[#This Row],[OUT Total Before Sale]],0),
                        IF($E$3:E17 = tblRegister[[#This Row],[OUT Token]],$F$3:F17,0)
                  )
            )
      ),
     IF(ISERROR(IF($E$3:E17 = tblRegister[[#This Row],[OUT Token]],$L$3:L17,N/A)-tblRegister[[#This Row],[OUT Total Before Sale]]),0,
            IF(IF($E$3:E17 = tblRegister[[#This Row],[OUT Token]],$L$3:L17,N/A)-tblRegister[[#This Row],[OUT Total Before Sale]]&lt;0,0,
                  IF(IF($E$3:E17 = tblRegister[[#This Row],[OUT Token]],$L$3:L17,tblRegister[[#This Row],[OUT Total Before Sale]])-tblRegister[[#This Row],[OUT Total Before Sale]]&lt;IF($E$3:E17 = tblRegister[[#This Row],[OUT Token]],$F$3:F17,0),
                        IF($E$3:E17 = tblRegister[[#This Row],[OUT Token]],$L$3:L17 - tblRegister[[#This Row],[OUT Total Before Sale]],0),
                        IF($E$3:E17 = tblRegister[[#This Row],[OUT Token]],$F$3:F17,0)
                  )
            )
      ),
      IF(IF($E$3:E17 = tblRegister[[#This Row],[OUT Token]],tblRegister[[#This Row],[OUT Quantity]]-$L$3:L17+tblRegister[[#This Row],[OUT Total Before Sale]]+$F$3:F17,1) &lt;0,0,
           IF($E$3:E17 = tblRegister[[#This Row],[OUT Token]],tblRegister[[#This Row],[OUT Quantity]]-$L$3:L17+tblRegister[[#This Row],[OUT Total Before Sale]]+$F$3:F17,0)))))/tblRegister[[#This Row],[OUT Quantity]],"")</f>
        <v>7629.6</v>
      </c>
      <c r="J18" s="63">
        <f ca="1">IFERROR(tblRegister[[#This Row],[OUT Book Price]]*tblRegister[[#This Row],[OUT Quantity]]/tblRegister[[#This Row],[IN Quantity]],"")</f>
        <v>1.5842192691029899</v>
      </c>
      <c r="K18" s="63">
        <f ca="1">IFERROR(IF(tblRegister[[#This Row],[IN Token]]=DefCurrency,tblRegister[[#This Row],[IN Quantity]]*(1-tblRegister[[#This Row],[IN Price]]),""),"")</f>
        <v>-14067.999999999998</v>
      </c>
      <c r="L18" s="52">
        <f t="array" aca="1" ref="L18" ca="1">IF(tblRegister[[#This Row],[Batch]]="","",SUM(IF(OFFSET(tblRegister[[#Headers],[IN Token]],1,0,tblRegister[[#This Row],[Ind]])=tblRegister[[#This Row],[IN Token]],OFFSET(tblRegister[[#Headers],[IN Quantity]],1,0,tblRegister[[#This Row],[Ind]]),0)))</f>
        <v>81160</v>
      </c>
      <c r="M18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10</v>
      </c>
      <c r="N18" s="52">
        <f t="array" aca="1" ref="N18" ca="1">IF(tblRegister[[#This Row],[Batch]]="","",tblRegister[[#This Row],[OUT Total After Sale]]-tblRegister[[#This Row],[OUT Quantity]])</f>
        <v>35</v>
      </c>
      <c r="O18" s="53">
        <f t="array" aca="1" ref="O18" ca="1">IF(tblRegister[[#This Row],[Batch]]="","",SUM(IF(OFFSET(tblRegister[[#Headers],[OUT Token]],1,0,tblRegister[[#This Row],[Ind]])=tblRegister[[#This Row],[OUT Token]],OFFSET(tblRegister[[#Headers],[OUT Quantity]],1,0,tblRegister[[#This Row],[Ind]]),0)))</f>
        <v>40</v>
      </c>
    </row>
    <row r="19" spans="2:15" x14ac:dyDescent="0.25">
      <c r="B19" s="50">
        <f>ROW()-ROW(tblRegister[[#Headers],[Ind]])</f>
        <v>16</v>
      </c>
      <c r="C19" s="60">
        <f>IF(ISBLANK(tblRegister[[#This Row],[IN Token]]),"",tblRegister[[#This Row],[Ind]])</f>
        <v>16</v>
      </c>
      <c r="D19" s="118">
        <v>43302</v>
      </c>
      <c r="E19" s="51" t="s">
        <v>0</v>
      </c>
      <c r="F19" s="111">
        <v>12</v>
      </c>
      <c r="G19" s="51" t="s">
        <v>196</v>
      </c>
      <c r="H19" s="111">
        <v>80000</v>
      </c>
      <c r="I19" s="63">
        <f t="array" ref="I19">IFERROR(IF(tblRegister[[#This Row],[OUT Token]]=DefCurrency,tblRegister[[#This Row],[OUT Quantity]],
      SUMPRODUCT($J$3:J18,
      IF(IF($E$3:E18 = tblRegister[[#This Row],[OUT Token]],tblRegister[[#This Row],[OUT Quantity]]-$L$3:L18+tblRegister[[#This Row],[OUT Total Before Sale]]+$F$3:F18,0)  &gt; IF(ISERROR(IF($E$3:E18 = tblRegister[[#This Row],[OUT Token]],$L$3:L18,N/A)-tblRegister[[#This Row],[OUT Total Before Sale]]),0,
            IF(IF($E$3:E18 = tblRegister[[#This Row],[OUT Token]],$L$3:L18,N/A)-tblRegister[[#This Row],[OUT Total Before Sale]]&lt;0,0,
                  IF(IF($E$3:E18 = tblRegister[[#This Row],[OUT Token]],$L$3:L18,tblRegister[[#This Row],[OUT Total Before Sale]])-tblRegister[[#This Row],[OUT Total Before Sale]]&lt;IF($E$3:E18 = tblRegister[[#This Row],[OUT Token]],$F$3:F18,0),
                        IF($E$3:E18 = tblRegister[[#This Row],[OUT Token]],$L$3:L18 - tblRegister[[#This Row],[OUT Total Before Sale]],0),
                        IF($E$3:E18 = tblRegister[[#This Row],[OUT Token]],$F$3:F18,0)
                  )
            )
      ),
     IF(ISERROR(IF($E$3:E18 = tblRegister[[#This Row],[OUT Token]],$L$3:L18,N/A)-tblRegister[[#This Row],[OUT Total Before Sale]]),0,
            IF(IF($E$3:E18 = tblRegister[[#This Row],[OUT Token]],$L$3:L18,N/A)-tblRegister[[#This Row],[OUT Total Before Sale]]&lt;0,0,
                  IF(IF($E$3:E18 = tblRegister[[#This Row],[OUT Token]],$L$3:L18,tblRegister[[#This Row],[OUT Total Before Sale]])-tblRegister[[#This Row],[OUT Total Before Sale]]&lt;IF($E$3:E18 = tblRegister[[#This Row],[OUT Token]],$F$3:F18,0),
                        IF($E$3:E18 = tblRegister[[#This Row],[OUT Token]],$L$3:L18 - tblRegister[[#This Row],[OUT Total Before Sale]],0),
                        IF($E$3:E18 = tblRegister[[#This Row],[OUT Token]],$F$3:F18,0)
                  )
            )
      ),
      IF(IF($E$3:E18 = tblRegister[[#This Row],[OUT Token]],tblRegister[[#This Row],[OUT Quantity]]-$L$3:L18+tblRegister[[#This Row],[OUT Total Before Sale]]+$F$3:F18,1) &lt;0,0,
           IF($E$3:E18 = tblRegister[[#This Row],[OUT Token]],tblRegister[[#This Row],[OUT Quantity]]-$L$3:L18+tblRegister[[#This Row],[OUT Total Before Sale]]+$F$3:F18,0)))))/tblRegister[[#This Row],[OUT Quantity]],"")</f>
        <v>1</v>
      </c>
      <c r="J19" s="63">
        <f>IFERROR(tblRegister[[#This Row],[OUT Book Price]]*tblRegister[[#This Row],[OUT Quantity]]/tblRegister[[#This Row],[IN Quantity]],"")</f>
        <v>6666.666666666667</v>
      </c>
      <c r="K19" s="63" t="str">
        <f>IFERROR(IF(tblRegister[[#This Row],[IN Token]]=DefCurrency,tblRegister[[#This Row],[IN Quantity]]*(1-tblRegister[[#This Row],[IN Price]]),""),"")</f>
        <v/>
      </c>
      <c r="L19" s="52">
        <f t="array" aca="1" ref="L19" ca="1">IF(tblRegister[[#This Row],[Batch]]="","",SUM(IF(OFFSET(tblRegister[[#Headers],[IN Token]],1,0,tblRegister[[#This Row],[Ind]])=tblRegister[[#This Row],[IN Token]],OFFSET(tblRegister[[#Headers],[IN Quantity]],1,0,tblRegister[[#This Row],[Ind]]),0)))</f>
        <v>52</v>
      </c>
      <c r="M1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9" s="52">
        <f t="array" aca="1" ref="N19" ca="1">IF(tblRegister[[#This Row],[Batch]]="","",tblRegister[[#This Row],[OUT Total After Sale]]-tblRegister[[#This Row],[OUT Quantity]])</f>
        <v>45648</v>
      </c>
      <c r="O19" s="53">
        <f t="array" aca="1" ref="O19" ca="1">IF(tblRegister[[#This Row],[Batch]]="","",SUM(IF(OFFSET(tblRegister[[#Headers],[OUT Token]],1,0,tblRegister[[#This Row],[Ind]])=tblRegister[[#This Row],[OUT Token]],OFFSET(tblRegister[[#Headers],[OUT Quantity]],1,0,tblRegister[[#This Row],[Ind]]),0)))</f>
        <v>125648</v>
      </c>
    </row>
    <row r="20" spans="2:15" x14ac:dyDescent="0.25">
      <c r="B20" s="50">
        <f>ROW()-ROW(tblRegister[[#Headers],[Ind]])</f>
        <v>17</v>
      </c>
      <c r="C20" s="60">
        <f>IF(ISBLANK(tblRegister[[#This Row],[IN Token]]),"",tblRegister[[#This Row],[Ind]])</f>
        <v>17</v>
      </c>
      <c r="D20" s="118">
        <v>43304</v>
      </c>
      <c r="E20" s="51" t="s">
        <v>11</v>
      </c>
      <c r="F20" s="111">
        <v>200</v>
      </c>
      <c r="G20" s="51" t="s">
        <v>196</v>
      </c>
      <c r="H20" s="111">
        <v>157400</v>
      </c>
      <c r="I20" s="63">
        <f t="array" ref="I20">IFERROR(IF(tblRegister[[#This Row],[OUT Token]]=DefCurrency,tblRegister[[#This Row],[OUT Quantity]],
      SUMPRODUCT($J$3:J19,
      IF(IF($E$3:E19 = tblRegister[[#This Row],[OUT Token]],tblRegister[[#This Row],[OUT Quantity]]-$L$3:L19+tblRegister[[#This Row],[OUT Total Before Sale]]+$F$3:F19,0)  &gt; IF(ISERROR(IF($E$3:E19 = tblRegister[[#This Row],[OUT Token]],$L$3:L19,N/A)-tblRegister[[#This Row],[OUT Total Before Sale]]),0,
            IF(IF($E$3:E19 = tblRegister[[#This Row],[OUT Token]],$L$3:L19,N/A)-tblRegister[[#This Row],[OUT Total Before Sale]]&lt;0,0,
                  IF(IF($E$3:E19 = tblRegister[[#This Row],[OUT Token]],$L$3:L19,tblRegister[[#This Row],[OUT Total Before Sale]])-tblRegister[[#This Row],[OUT Total Before Sale]]&lt;IF($E$3:E19 = tblRegister[[#This Row],[OUT Token]],$F$3:F19,0),
                        IF($E$3:E19 = tblRegister[[#This Row],[OUT Token]],$L$3:L19 - tblRegister[[#This Row],[OUT Total Before Sale]],0),
                        IF($E$3:E19 = tblRegister[[#This Row],[OUT Token]],$F$3:F19,0)
                  )
            )
      ),
     IF(ISERROR(IF($E$3:E19 = tblRegister[[#This Row],[OUT Token]],$L$3:L19,N/A)-tblRegister[[#This Row],[OUT Total Before Sale]]),0,
            IF(IF($E$3:E19 = tblRegister[[#This Row],[OUT Token]],$L$3:L19,N/A)-tblRegister[[#This Row],[OUT Total Before Sale]]&lt;0,0,
                  IF(IF($E$3:E19 = tblRegister[[#This Row],[OUT Token]],$L$3:L19,tblRegister[[#This Row],[OUT Total Before Sale]])-tblRegister[[#This Row],[OUT Total Before Sale]]&lt;IF($E$3:E19 = tblRegister[[#This Row],[OUT Token]],$F$3:F19,0),
                        IF($E$3:E19 = tblRegister[[#This Row],[OUT Token]],$L$3:L19 - tblRegister[[#This Row],[OUT Total Before Sale]],0),
                        IF($E$3:E19 = tblRegister[[#This Row],[OUT Token]],$F$3:F19,0)
                  )
            )
      ),
      IF(IF($E$3:E19 = tblRegister[[#This Row],[OUT Token]],tblRegister[[#This Row],[OUT Quantity]]-$L$3:L19+tblRegister[[#This Row],[OUT Total Before Sale]]+$F$3:F19,1) &lt;0,0,
           IF($E$3:E19 = tblRegister[[#This Row],[OUT Token]],tblRegister[[#This Row],[OUT Quantity]]-$L$3:L19+tblRegister[[#This Row],[OUT Total Before Sale]]+$F$3:F19,0)))))/tblRegister[[#This Row],[OUT Quantity]],"")</f>
        <v>1</v>
      </c>
      <c r="J20" s="63">
        <f>IFERROR(tblRegister[[#This Row],[OUT Book Price]]*tblRegister[[#This Row],[OUT Quantity]]/tblRegister[[#This Row],[IN Quantity]],"")</f>
        <v>787</v>
      </c>
      <c r="K20" s="63" t="str">
        <f>IFERROR(IF(tblRegister[[#This Row],[IN Token]]=DefCurrency,tblRegister[[#This Row],[IN Quantity]]*(1-tblRegister[[#This Row],[IN Price]]),""),"")</f>
        <v/>
      </c>
      <c r="L20" s="52">
        <f t="array" aca="1" ref="L20" ca="1">IF(tblRegister[[#This Row],[Batch]]="","",SUM(IF(OFFSET(tblRegister[[#Headers],[IN Token]],1,0,tblRegister[[#This Row],[Ind]])=tblRegister[[#This Row],[IN Token]],OFFSET(tblRegister[[#Headers],[IN Quantity]],1,0,tblRegister[[#This Row],[Ind]]),0)))</f>
        <v>1200</v>
      </c>
      <c r="M2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0" s="52">
        <f t="array" aca="1" ref="N20" ca="1">IF(tblRegister[[#This Row],[Batch]]="","",tblRegister[[#This Row],[OUT Total After Sale]]-tblRegister[[#This Row],[OUT Quantity]])</f>
        <v>125648</v>
      </c>
      <c r="O20" s="53">
        <f t="array" aca="1" ref="O20" ca="1">IF(tblRegister[[#This Row],[Batch]]="","",SUM(IF(OFFSET(tblRegister[[#Headers],[OUT Token]],1,0,tblRegister[[#This Row],[Ind]])=tblRegister[[#This Row],[OUT Token]],OFFSET(tblRegister[[#Headers],[OUT Quantity]],1,0,tblRegister[[#This Row],[Ind]]),0)))</f>
        <v>283048</v>
      </c>
    </row>
    <row r="21" spans="2:15" x14ac:dyDescent="0.25">
      <c r="B21" s="50">
        <f>ROW()-ROW(tblRegister[[#Headers],[Ind]])</f>
        <v>18</v>
      </c>
      <c r="C21" s="60">
        <f>IF(ISBLANK(tblRegister[[#This Row],[IN Token]]),"",tblRegister[[#This Row],[Ind]])</f>
        <v>18</v>
      </c>
      <c r="D21" s="118">
        <v>43306</v>
      </c>
      <c r="E21" s="51" t="s">
        <v>11</v>
      </c>
      <c r="F21" s="111">
        <v>600</v>
      </c>
      <c r="G21" s="51" t="s">
        <v>196</v>
      </c>
      <c r="H21" s="111">
        <v>253100</v>
      </c>
      <c r="I21" s="63">
        <f t="array" ref="I21">IFERROR(IF(tblRegister[[#This Row],[OUT Token]]=DefCurrency,tblRegister[[#This Row],[OUT Quantity]],
      SUMPRODUCT($J$3:J20,
      IF(IF($E$3:E20 = tblRegister[[#This Row],[OUT Token]],tblRegister[[#This Row],[OUT Quantity]]-$L$3:L20+tblRegister[[#This Row],[OUT Total Before Sale]]+$F$3:F20,0)  &gt; IF(ISERROR(IF($E$3:E20 = tblRegister[[#This Row],[OUT Token]],$L$3:L20,N/A)-tblRegister[[#This Row],[OUT Total Before Sale]]),0,
            IF(IF($E$3:E20 = tblRegister[[#This Row],[OUT Token]],$L$3:L20,N/A)-tblRegister[[#This Row],[OUT Total Before Sale]]&lt;0,0,
                  IF(IF($E$3:E20 = tblRegister[[#This Row],[OUT Token]],$L$3:L20,tblRegister[[#This Row],[OUT Total Before Sale]])-tblRegister[[#This Row],[OUT Total Before Sale]]&lt;IF($E$3:E20 = tblRegister[[#This Row],[OUT Token]],$F$3:F20,0),
                        IF($E$3:E20 = tblRegister[[#This Row],[OUT Token]],$L$3:L20 - tblRegister[[#This Row],[OUT Total Before Sale]],0),
                        IF($E$3:E20 = tblRegister[[#This Row],[OUT Token]],$F$3:F20,0)
                  )
            )
      ),
     IF(ISERROR(IF($E$3:E20 = tblRegister[[#This Row],[OUT Token]],$L$3:L20,N/A)-tblRegister[[#This Row],[OUT Total Before Sale]]),0,
            IF(IF($E$3:E20 = tblRegister[[#This Row],[OUT Token]],$L$3:L20,N/A)-tblRegister[[#This Row],[OUT Total Before Sale]]&lt;0,0,
                  IF(IF($E$3:E20 = tblRegister[[#This Row],[OUT Token]],$L$3:L20,tblRegister[[#This Row],[OUT Total Before Sale]])-tblRegister[[#This Row],[OUT Total Before Sale]]&lt;IF($E$3:E20 = tblRegister[[#This Row],[OUT Token]],$F$3:F20,0),
                        IF($E$3:E20 = tblRegister[[#This Row],[OUT Token]],$L$3:L20 - tblRegister[[#This Row],[OUT Total Before Sale]],0),
                        IF($E$3:E20 = tblRegister[[#This Row],[OUT Token]],$F$3:F20,0)
                  )
            )
      ),
      IF(IF($E$3:E20 = tblRegister[[#This Row],[OUT Token]],tblRegister[[#This Row],[OUT Quantity]]-$L$3:L20+tblRegister[[#This Row],[OUT Total Before Sale]]+$F$3:F20,1) &lt;0,0,
           IF($E$3:E20 = tblRegister[[#This Row],[OUT Token]],tblRegister[[#This Row],[OUT Quantity]]-$L$3:L20+tblRegister[[#This Row],[OUT Total Before Sale]]+$F$3:F20,0)))))/tblRegister[[#This Row],[OUT Quantity]],"")</f>
        <v>1</v>
      </c>
      <c r="J21" s="63">
        <f>IFERROR(tblRegister[[#This Row],[OUT Book Price]]*tblRegister[[#This Row],[OUT Quantity]]/tblRegister[[#This Row],[IN Quantity]],"")</f>
        <v>421.83333333333331</v>
      </c>
      <c r="K21" s="63" t="str">
        <f>IFERROR(IF(tblRegister[[#This Row],[IN Token]]=DefCurrency,tblRegister[[#This Row],[IN Quantity]]*(1-tblRegister[[#This Row],[IN Price]]),""),"")</f>
        <v/>
      </c>
      <c r="L21" s="52">
        <f t="array" aca="1" ref="L21" ca="1">IF(tblRegister[[#This Row],[Batch]]="","",SUM(IF(OFFSET(tblRegister[[#Headers],[IN Token]],1,0,tblRegister[[#This Row],[Ind]])=tblRegister[[#This Row],[IN Token]],OFFSET(tblRegister[[#Headers],[IN Quantity]],1,0,tblRegister[[#This Row],[Ind]]),0)))</f>
        <v>1800</v>
      </c>
      <c r="M2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1" s="52">
        <f t="array" aca="1" ref="N21" ca="1">IF(tblRegister[[#This Row],[Batch]]="","",tblRegister[[#This Row],[OUT Total After Sale]]-tblRegister[[#This Row],[OUT Quantity]])</f>
        <v>283048</v>
      </c>
      <c r="O21" s="53">
        <f t="array" aca="1" ref="O21" ca="1">IF(tblRegister[[#This Row],[Batch]]="","",SUM(IF(OFFSET(tblRegister[[#Headers],[OUT Token]],1,0,tblRegister[[#This Row],[Ind]])=tblRegister[[#This Row],[OUT Token]],OFFSET(tblRegister[[#Headers],[OUT Quantity]],1,0,tblRegister[[#This Row],[Ind]]),0)))</f>
        <v>536148</v>
      </c>
    </row>
    <row r="22" spans="2:15" x14ac:dyDescent="0.25">
      <c r="B22" s="50">
        <f>ROW()-ROW(tblRegister[[#Headers],[Ind]])</f>
        <v>19</v>
      </c>
      <c r="C22" s="60">
        <f>IF(ISBLANK(tblRegister[[#This Row],[IN Token]]),"",tblRegister[[#This Row],[Ind]])</f>
        <v>19</v>
      </c>
      <c r="D22" s="118">
        <v>43308</v>
      </c>
      <c r="E22" s="51" t="s">
        <v>0</v>
      </c>
      <c r="F22" s="111">
        <v>13</v>
      </c>
      <c r="G22" s="51" t="s">
        <v>11</v>
      </c>
      <c r="H22" s="111">
        <v>300</v>
      </c>
      <c r="I22" s="63">
        <f t="array" aca="1" ref="I22" ca="1">IFERROR(IF(tblRegister[[#This Row],[OUT Token]]=DefCurrency,tblRegister[[#This Row],[OUT Quantity]],
      SUMPRODUCT($J$3:J21,
      IF(IF($E$3:E21 = tblRegister[[#This Row],[OUT Token]],tblRegister[[#This Row],[OUT Quantity]]-$L$3:L21+tblRegister[[#This Row],[OUT Total Before Sale]]+$F$3:F21,0)  &gt; IF(ISERROR(IF($E$3:E21 = tblRegister[[#This Row],[OUT Token]],$L$3:L21,N/A)-tblRegister[[#This Row],[OUT Total Before Sale]]),0,
            IF(IF($E$3:E21 = tblRegister[[#This Row],[OUT Token]],$L$3:L21,N/A)-tblRegister[[#This Row],[OUT Total Before Sale]]&lt;0,0,
                  IF(IF($E$3:E21 = tblRegister[[#This Row],[OUT Token]],$L$3:L21,tblRegister[[#This Row],[OUT Total Before Sale]])-tblRegister[[#This Row],[OUT Total Before Sale]]&lt;IF($E$3:E21 = tblRegister[[#This Row],[OUT Token]],$F$3:F21,0),
                        IF($E$3:E21 = tblRegister[[#This Row],[OUT Token]],$L$3:L21 - tblRegister[[#This Row],[OUT Total Before Sale]],0),
                        IF($E$3:E21 = tblRegister[[#This Row],[OUT Token]],$F$3:F21,0)
                  )
            )
      ),
     IF(ISERROR(IF($E$3:E21 = tblRegister[[#This Row],[OUT Token]],$L$3:L21,N/A)-tblRegister[[#This Row],[OUT Total Before Sale]]),0,
            IF(IF($E$3:E21 = tblRegister[[#This Row],[OUT Token]],$L$3:L21,N/A)-tblRegister[[#This Row],[OUT Total Before Sale]]&lt;0,0,
                  IF(IF($E$3:E21 = tblRegister[[#This Row],[OUT Token]],$L$3:L21,tblRegister[[#This Row],[OUT Total Before Sale]])-tblRegister[[#This Row],[OUT Total Before Sale]]&lt;IF($E$3:E21 = tblRegister[[#This Row],[OUT Token]],$F$3:F21,0),
                        IF($E$3:E21 = tblRegister[[#This Row],[OUT Token]],$L$3:L21 - tblRegister[[#This Row],[OUT Total Before Sale]],0),
                        IF($E$3:E21 = tblRegister[[#This Row],[OUT Token]],$F$3:F21,0)
                  )
            )
      ),
      IF(IF($E$3:E21 = tblRegister[[#This Row],[OUT Token]],tblRegister[[#This Row],[OUT Quantity]]-$L$3:L21+tblRegister[[#This Row],[OUT Total Before Sale]]+$F$3:F21,1) &lt;0,0,
           IF($E$3:E21 = tblRegister[[#This Row],[OUT Token]],tblRegister[[#This Row],[OUT Quantity]]-$L$3:L21+tblRegister[[#This Row],[OUT Total Before Sale]]+$F$3:F21,0)))))/tblRegister[[#This Row],[OUT Quantity]],"")</f>
        <v>665.27777777777771</v>
      </c>
      <c r="J22" s="63">
        <f ca="1">IFERROR(tblRegister[[#This Row],[OUT Book Price]]*tblRegister[[#This Row],[OUT Quantity]]/tblRegister[[#This Row],[IN Quantity]],"")</f>
        <v>15352.564102564102</v>
      </c>
      <c r="K22" s="63" t="str">
        <f>IFERROR(IF(tblRegister[[#This Row],[IN Token]]=DefCurrency,tblRegister[[#This Row],[IN Quantity]]*(1-tblRegister[[#This Row],[IN Price]]),""),"")</f>
        <v/>
      </c>
      <c r="L22" s="52">
        <f t="array" aca="1" ref="L22" ca="1">IF(tblRegister[[#This Row],[Batch]]="","",SUM(IF(OFFSET(tblRegister[[#Headers],[IN Token]],1,0,tblRegister[[#This Row],[Ind]])=tblRegister[[#This Row],[IN Token]],OFFSET(tblRegister[[#Headers],[IN Quantity]],1,0,tblRegister[[#This Row],[Ind]]),0)))</f>
        <v>65</v>
      </c>
      <c r="M22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800</v>
      </c>
      <c r="N22" s="52">
        <f t="array" aca="1" ref="N22" ca="1">IF(tblRegister[[#This Row],[Batch]]="","",tblRegister[[#This Row],[OUT Total After Sale]]-tblRegister[[#This Row],[OUT Quantity]])</f>
        <v>1000</v>
      </c>
      <c r="O22" s="53">
        <f t="array" aca="1" ref="O22" ca="1">IF(tblRegister[[#This Row],[Batch]]="","",SUM(IF(OFFSET(tblRegister[[#Headers],[OUT Token]],1,0,tblRegister[[#This Row],[Ind]])=tblRegister[[#This Row],[OUT Token]],OFFSET(tblRegister[[#Headers],[OUT Quantity]],1,0,tblRegister[[#This Row],[Ind]]),0)))</f>
        <v>1300</v>
      </c>
    </row>
    <row r="23" spans="2:15" x14ac:dyDescent="0.25">
      <c r="B23" s="50">
        <f>ROW()-ROW(tblRegister[[#Headers],[Ind]])</f>
        <v>20</v>
      </c>
      <c r="C23" s="60">
        <f>IF(ISBLANK(tblRegister[[#This Row],[IN Token]]),"",tblRegister[[#This Row],[Ind]])</f>
        <v>20</v>
      </c>
      <c r="D23" s="118">
        <v>43311</v>
      </c>
      <c r="E23" s="51" t="s">
        <v>196</v>
      </c>
      <c r="F23" s="111">
        <v>260000</v>
      </c>
      <c r="G23" s="51" t="s">
        <v>0</v>
      </c>
      <c r="H23" s="111">
        <v>20</v>
      </c>
      <c r="I23" s="63">
        <f t="array" aca="1" ref="I23" ca="1">IFERROR(IF(tblRegister[[#This Row],[OUT Token]]=DefCurrency,tblRegister[[#This Row],[OUT Quantity]],
      SUMPRODUCT($J$3:J22,
      IF(IF($E$3:E22 = tblRegister[[#This Row],[OUT Token]],tblRegister[[#This Row],[OUT Quantity]]-$L$3:L22+tblRegister[[#This Row],[OUT Total Before Sale]]+$F$3:F22,0)  &gt; IF(ISERROR(IF($E$3:E22 = tblRegister[[#This Row],[OUT Token]],$L$3:L22,N/A)-tblRegister[[#This Row],[OUT Total Before Sale]]),0,
            IF(IF($E$3:E22 = tblRegister[[#This Row],[OUT Token]],$L$3:L22,N/A)-tblRegister[[#This Row],[OUT Total Before Sale]]&lt;0,0,
                  IF(IF($E$3:E22 = tblRegister[[#This Row],[OUT Token]],$L$3:L22,tblRegister[[#This Row],[OUT Total Before Sale]])-tblRegister[[#This Row],[OUT Total Before Sale]]&lt;IF($E$3:E22 = tblRegister[[#This Row],[OUT Token]],$F$3:F22,0),
                        IF($E$3:E22 = tblRegister[[#This Row],[OUT Token]],$L$3:L22 - tblRegister[[#This Row],[OUT Total Before Sale]],0),
                        IF($E$3:E22 = tblRegister[[#This Row],[OUT Token]],$F$3:F22,0)
                  )
            )
      ),
     IF(ISERROR(IF($E$3:E22 = tblRegister[[#This Row],[OUT Token]],$L$3:L22,N/A)-tblRegister[[#This Row],[OUT Total Before Sale]]),0,
            IF(IF($E$3:E22 = tblRegister[[#This Row],[OUT Token]],$L$3:L22,N/A)-tblRegister[[#This Row],[OUT Total Before Sale]]&lt;0,0,
                  IF(IF($E$3:E22 = tblRegister[[#This Row],[OUT Token]],$L$3:L22,tblRegister[[#This Row],[OUT Total Before Sale]])-tblRegister[[#This Row],[OUT Total Before Sale]]&lt;IF($E$3:E22 = tblRegister[[#This Row],[OUT Token]],$F$3:F22,0),
                        IF($E$3:E22 = tblRegister[[#This Row],[OUT Token]],$L$3:L22 - tblRegister[[#This Row],[OUT Total Before Sale]],0),
                        IF($E$3:E22 = tblRegister[[#This Row],[OUT Token]],$F$3:F22,0)
                  )
            )
      ),
      IF(IF($E$3:E22 = tblRegister[[#This Row],[OUT Token]],tblRegister[[#This Row],[OUT Quantity]]-$L$3:L22+tblRegister[[#This Row],[OUT Total Before Sale]]+$F$3:F22,1) &lt;0,0,
           IF($E$3:E22 = tblRegister[[#This Row],[OUT Token]],tblRegister[[#This Row],[OUT Quantity]]-$L$3:L22+tblRegister[[#This Row],[OUT Total Before Sale]]+$F$3:F22,0)))))/tblRegister[[#This Row],[OUT Quantity]],"")</f>
        <v>10141.025641025641</v>
      </c>
      <c r="J23" s="63">
        <f ca="1">IFERROR(tblRegister[[#This Row],[OUT Book Price]]*tblRegister[[#This Row],[OUT Quantity]]/tblRegister[[#This Row],[IN Quantity]],"")</f>
        <v>0.78007889546351084</v>
      </c>
      <c r="K23" s="63">
        <f ca="1">IFERROR(IF(tblRegister[[#This Row],[IN Token]]=DefCurrency,tblRegister[[#This Row],[IN Quantity]]*(1-tblRegister[[#This Row],[IN Price]]),""),"")</f>
        <v>57179.48717948718</v>
      </c>
      <c r="L23" s="52">
        <f t="array" aca="1" ref="L23" ca="1">IF(tblRegister[[#This Row],[Batch]]="","",SUM(IF(OFFSET(tblRegister[[#Headers],[IN Token]],1,0,tblRegister[[#This Row],[Ind]])=tblRegister[[#This Row],[IN Token]],OFFSET(tblRegister[[#Headers],[IN Quantity]],1,0,tblRegister[[#This Row],[Ind]]),0)))</f>
        <v>341160</v>
      </c>
      <c r="M23" s="52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>25</v>
      </c>
      <c r="N23" s="52">
        <f t="array" aca="1" ref="N23" ca="1">IF(tblRegister[[#This Row],[Batch]]="","",tblRegister[[#This Row],[OUT Total After Sale]]-tblRegister[[#This Row],[OUT Quantity]])</f>
        <v>40</v>
      </c>
      <c r="O23" s="53">
        <f t="array" aca="1" ref="O23" ca="1">IF(tblRegister[[#This Row],[Batch]]="","",SUM(IF(OFFSET(tblRegister[[#Headers],[OUT Token]],1,0,tblRegister[[#This Row],[Ind]])=tblRegister[[#This Row],[OUT Token]],OFFSET(tblRegister[[#Headers],[OUT Quantity]],1,0,tblRegister[[#This Row],[Ind]]),0)))</f>
        <v>60</v>
      </c>
    </row>
    <row r="24" spans="2:15" x14ac:dyDescent="0.25">
      <c r="B24" s="50">
        <f>ROW()-ROW(tblRegister[[#Headers],[Ind]])</f>
        <v>21</v>
      </c>
      <c r="C24" s="60">
        <f>IF(ISBLANK(tblRegister[[#This Row],[IN Token]]),"",tblRegister[[#This Row],[Ind]])</f>
        <v>21</v>
      </c>
      <c r="D24" s="118">
        <v>43313</v>
      </c>
      <c r="E24" s="51" t="s">
        <v>3</v>
      </c>
      <c r="F24" s="111">
        <v>800</v>
      </c>
      <c r="G24" s="51" t="s">
        <v>196</v>
      </c>
      <c r="H24" s="111">
        <v>56000</v>
      </c>
      <c r="I24" s="63">
        <f t="array" ref="I24">IFERROR(IF(tblRegister[[#This Row],[OUT Token]]=DefCurrency,tblRegister[[#This Row],[OUT Quantity]],
      SUMPRODUCT($J$3:J23,
      IF(IF($E$3:E23 = tblRegister[[#This Row],[OUT Token]],tblRegister[[#This Row],[OUT Quantity]]-$L$3:L23+tblRegister[[#This Row],[OUT Total Before Sale]]+$F$3:F23,0)  &gt; IF(ISERROR(IF($E$3:E23 = tblRegister[[#This Row],[OUT Token]],$L$3:L23,N/A)-tblRegister[[#This Row],[OUT Total Before Sale]]),0,
            IF(IF($E$3:E23 = tblRegister[[#This Row],[OUT Token]],$L$3:L23,N/A)-tblRegister[[#This Row],[OUT Total Before Sale]]&lt;0,0,
                  IF(IF($E$3:E23 = tblRegister[[#This Row],[OUT Token]],$L$3:L23,tblRegister[[#This Row],[OUT Total Before Sale]])-tblRegister[[#This Row],[OUT Total Before Sale]]&lt;IF($E$3:E23 = tblRegister[[#This Row],[OUT Token]],$F$3:F23,0),
                        IF($E$3:E23 = tblRegister[[#This Row],[OUT Token]],$L$3:L23 - tblRegister[[#This Row],[OUT Total Before Sale]],0),
                        IF($E$3:E23 = tblRegister[[#This Row],[OUT Token]],$F$3:F23,0)
                  )
            )
      ),
     IF(ISERROR(IF($E$3:E23 = tblRegister[[#This Row],[OUT Token]],$L$3:L23,N/A)-tblRegister[[#This Row],[OUT Total Before Sale]]),0,
            IF(IF($E$3:E23 = tblRegister[[#This Row],[OUT Token]],$L$3:L23,N/A)-tblRegister[[#This Row],[OUT Total Before Sale]]&lt;0,0,
                  IF(IF($E$3:E23 = tblRegister[[#This Row],[OUT Token]],$L$3:L23,tblRegister[[#This Row],[OUT Total Before Sale]])-tblRegister[[#This Row],[OUT Total Before Sale]]&lt;IF($E$3:E23 = tblRegister[[#This Row],[OUT Token]],$F$3:F23,0),
                        IF($E$3:E23 = tblRegister[[#This Row],[OUT Token]],$L$3:L23 - tblRegister[[#This Row],[OUT Total Before Sale]],0),
                        IF($E$3:E23 = tblRegister[[#This Row],[OUT Token]],$F$3:F23,0)
                  )
            )
      ),
      IF(IF($E$3:E23 = tblRegister[[#This Row],[OUT Token]],tblRegister[[#This Row],[OUT Quantity]]-$L$3:L23+tblRegister[[#This Row],[OUT Total Before Sale]]+$F$3:F23,1) &lt;0,0,
           IF($E$3:E23 = tblRegister[[#This Row],[OUT Token]],tblRegister[[#This Row],[OUT Quantity]]-$L$3:L23+tblRegister[[#This Row],[OUT Total Before Sale]]+$F$3:F23,0)))))/tblRegister[[#This Row],[OUT Quantity]],"")</f>
        <v>1</v>
      </c>
      <c r="J24" s="63">
        <f>IFERROR(tblRegister[[#This Row],[OUT Book Price]]*tblRegister[[#This Row],[OUT Quantity]]/tblRegister[[#This Row],[IN Quantity]],"")</f>
        <v>70</v>
      </c>
      <c r="K24" s="63" t="str">
        <f>IFERROR(IF(tblRegister[[#This Row],[IN Token]]=DefCurrency,tblRegister[[#This Row],[IN Quantity]]*(1-tblRegister[[#This Row],[IN Price]]),""),"")</f>
        <v/>
      </c>
      <c r="L24" s="52">
        <f t="array" aca="1" ref="L24" ca="1">IF(tblRegister[[#This Row],[Batch]]="","",SUM(IF(OFFSET(tblRegister[[#Headers],[IN Token]],1,0,tblRegister[[#This Row],[Ind]])=tblRegister[[#This Row],[IN Token]],OFFSET(tblRegister[[#Headers],[IN Quantity]],1,0,tblRegister[[#This Row],[Ind]]),0)))</f>
        <v>1000</v>
      </c>
      <c r="M2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4" s="52">
        <f t="array" aca="1" ref="N24" ca="1">IF(tblRegister[[#This Row],[Batch]]="","",tblRegister[[#This Row],[OUT Total After Sale]]-tblRegister[[#This Row],[OUT Quantity]])</f>
        <v>536148</v>
      </c>
      <c r="O24" s="53">
        <f t="array" aca="1" ref="O24" ca="1">IF(tblRegister[[#This Row],[Batch]]="","",SUM(IF(OFFSET(tblRegister[[#Headers],[OUT Token]],1,0,tblRegister[[#This Row],[Ind]])=tblRegister[[#This Row],[OUT Token]],OFFSET(tblRegister[[#Headers],[OUT Quantity]],1,0,tblRegister[[#This Row],[Ind]]),0)))</f>
        <v>592148</v>
      </c>
    </row>
    <row r="25" spans="2:15" x14ac:dyDescent="0.25">
      <c r="B25" s="50">
        <f>ROW()-ROW(tblRegister[[#Headers],[Ind]])</f>
        <v>22</v>
      </c>
      <c r="C25" s="60" t="str">
        <f>IF(ISBLANK(tblRegister[[#This Row],[IN Token]]),"",tblRegister[[#This Row],[Ind]])</f>
        <v/>
      </c>
      <c r="D25" s="118"/>
      <c r="E25" s="51"/>
      <c r="F25" s="111"/>
      <c r="G25" s="51"/>
      <c r="H25" s="111"/>
      <c r="I25" s="63" t="str">
        <f t="array" aca="1" ref="I25" ca="1">IFERROR(IF(tblRegister[[#This Row],[OUT Token]]=DefCurrency,tblRegister[[#This Row],[OUT Quantity]],
      SUMPRODUCT($J$3:J24,
      IF(IF($E$3:E24 = tblRegister[[#This Row],[OUT Token]],tblRegister[[#This Row],[OUT Quantity]]-$L$3:L24+tblRegister[[#This Row],[OUT Total Before Sale]]+$F$3:F24,0)  &gt; IF(ISERROR(IF($E$3:E24 = tblRegister[[#This Row],[OUT Token]],$L$3:L24,N/A)-tblRegister[[#This Row],[OUT Total Before Sale]]),0,
            IF(IF($E$3:E24 = tblRegister[[#This Row],[OUT Token]],$L$3:L24,N/A)-tblRegister[[#This Row],[OUT Total Before Sale]]&lt;0,0,
                  IF(IF($E$3:E24 = tblRegister[[#This Row],[OUT Token]],$L$3:L24,tblRegister[[#This Row],[OUT Total Before Sale]])-tblRegister[[#This Row],[OUT Total Before Sale]]&lt;IF($E$3:E24 = tblRegister[[#This Row],[OUT Token]],$F$3:F24,0),
                        IF($E$3:E24 = tblRegister[[#This Row],[OUT Token]],$L$3:L24 - tblRegister[[#This Row],[OUT Total Before Sale]],0),
                        IF($E$3:E24 = tblRegister[[#This Row],[OUT Token]],$F$3:F24,0)
                  )
            )
      ),
     IF(ISERROR(IF($E$3:E24 = tblRegister[[#This Row],[OUT Token]],$L$3:L24,N/A)-tblRegister[[#This Row],[OUT Total Before Sale]]),0,
            IF(IF($E$3:E24 = tblRegister[[#This Row],[OUT Token]],$L$3:L24,N/A)-tblRegister[[#This Row],[OUT Total Before Sale]]&lt;0,0,
                  IF(IF($E$3:E24 = tblRegister[[#This Row],[OUT Token]],$L$3:L24,tblRegister[[#This Row],[OUT Total Before Sale]])-tblRegister[[#This Row],[OUT Total Before Sale]]&lt;IF($E$3:E24 = tblRegister[[#This Row],[OUT Token]],$F$3:F24,0),
                        IF($E$3:E24 = tblRegister[[#This Row],[OUT Token]],$L$3:L24 - tblRegister[[#This Row],[OUT Total Before Sale]],0),
                        IF($E$3:E24 = tblRegister[[#This Row],[OUT Token]],$F$3:F24,0)
                  )
            )
      ),
      IF(IF($E$3:E24 = tblRegister[[#This Row],[OUT Token]],tblRegister[[#This Row],[OUT Quantity]]-$L$3:L24+tblRegister[[#This Row],[OUT Total Before Sale]]+$F$3:F24,1) &lt;0,0,
           IF($E$3:E24 = tblRegister[[#This Row],[OUT Token]],tblRegister[[#This Row],[OUT Quantity]]-$L$3:L24+tblRegister[[#This Row],[OUT Total Before Sale]]+$F$3:F24,0)))))/tblRegister[[#This Row],[OUT Quantity]],"")</f>
        <v/>
      </c>
      <c r="J25" s="63" t="str">
        <f ca="1">IFERROR(tblRegister[[#This Row],[OUT Book Price]]*tblRegister[[#This Row],[OUT Quantity]]/tblRegister[[#This Row],[IN Quantity]],"")</f>
        <v/>
      </c>
      <c r="K25" s="63" t="str">
        <f>IFERROR(IF(tblRegister[[#This Row],[IN Token]]=DefCurrency,tblRegister[[#This Row],[IN Quantity]]*(1-tblRegister[[#This Row],[IN Price]]),""),"")</f>
        <v/>
      </c>
      <c r="L25" s="52" t="str">
        <f t="array" aca="1" ref="L2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2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5" s="52" t="str">
        <f t="array" ref="N25">IF(tblRegister[[#This Row],[Batch]]="","",tblRegister[[#This Row],[OUT Total After Sale]]-tblRegister[[#This Row],[OUT Quantity]])</f>
        <v/>
      </c>
      <c r="O25" s="53" t="str">
        <f t="array" aca="1" ref="O2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26" spans="2:15" x14ac:dyDescent="0.25">
      <c r="B26" s="50">
        <f>ROW()-ROW(tblRegister[[#Headers],[Ind]])</f>
        <v>23</v>
      </c>
      <c r="C26" s="60" t="str">
        <f>IF(ISBLANK(tblRegister[[#This Row],[IN Token]]),"",tblRegister[[#This Row],[Ind]])</f>
        <v/>
      </c>
      <c r="D26" s="118"/>
      <c r="E26" s="51"/>
      <c r="F26" s="111"/>
      <c r="G26" s="51"/>
      <c r="H26" s="111"/>
      <c r="I26" s="63" t="str">
        <f t="array" aca="1" ref="I26" ca="1">IFERROR(IF(tblRegister[[#This Row],[OUT Token]]=DefCurrency,tblRegister[[#This Row],[OUT Quantity]],
      SUMPRODUCT($J$3:J25,
      IF(IF($E$3:E25 = tblRegister[[#This Row],[OUT Token]],tblRegister[[#This Row],[OUT Quantity]]-$L$3:L25+tblRegister[[#This Row],[OUT Total Before Sale]]+$F$3:F25,0)  &gt; IF(ISERROR(IF($E$3:E25 = tblRegister[[#This Row],[OUT Token]],$L$3:L25,N/A)-tblRegister[[#This Row],[OUT Total Before Sale]]),0,
            IF(IF($E$3:E25 = tblRegister[[#This Row],[OUT Token]],$L$3:L25,N/A)-tblRegister[[#This Row],[OUT Total Before Sale]]&lt;0,0,
                  IF(IF($E$3:E25 = tblRegister[[#This Row],[OUT Token]],$L$3:L25,tblRegister[[#This Row],[OUT Total Before Sale]])-tblRegister[[#This Row],[OUT Total Before Sale]]&lt;IF($E$3:E25 = tblRegister[[#This Row],[OUT Token]],$F$3:F25,0),
                        IF($E$3:E25 = tblRegister[[#This Row],[OUT Token]],$L$3:L25 - tblRegister[[#This Row],[OUT Total Before Sale]],0),
                        IF($E$3:E25 = tblRegister[[#This Row],[OUT Token]],$F$3:F25,0)
                  )
            )
      ),
     IF(ISERROR(IF($E$3:E25 = tblRegister[[#This Row],[OUT Token]],$L$3:L25,N/A)-tblRegister[[#This Row],[OUT Total Before Sale]]),0,
            IF(IF($E$3:E25 = tblRegister[[#This Row],[OUT Token]],$L$3:L25,N/A)-tblRegister[[#This Row],[OUT Total Before Sale]]&lt;0,0,
                  IF(IF($E$3:E25 = tblRegister[[#This Row],[OUT Token]],$L$3:L25,tblRegister[[#This Row],[OUT Total Before Sale]])-tblRegister[[#This Row],[OUT Total Before Sale]]&lt;IF($E$3:E25 = tblRegister[[#This Row],[OUT Token]],$F$3:F25,0),
                        IF($E$3:E25 = tblRegister[[#This Row],[OUT Token]],$L$3:L25 - tblRegister[[#This Row],[OUT Total Before Sale]],0),
                        IF($E$3:E25 = tblRegister[[#This Row],[OUT Token]],$F$3:F25,0)
                  )
            )
      ),
      IF(IF($E$3:E25 = tblRegister[[#This Row],[OUT Token]],tblRegister[[#This Row],[OUT Quantity]]-$L$3:L25+tblRegister[[#This Row],[OUT Total Before Sale]]+$F$3:F25,1) &lt;0,0,
           IF($E$3:E25 = tblRegister[[#This Row],[OUT Token]],tblRegister[[#This Row],[OUT Quantity]]-$L$3:L25+tblRegister[[#This Row],[OUT Total Before Sale]]+$F$3:F25,0)))))/tblRegister[[#This Row],[OUT Quantity]],"")</f>
        <v/>
      </c>
      <c r="J26" s="63" t="str">
        <f ca="1">IFERROR(tblRegister[[#This Row],[OUT Book Price]]*tblRegister[[#This Row],[OUT Quantity]]/tblRegister[[#This Row],[IN Quantity]],"")</f>
        <v/>
      </c>
      <c r="K26" s="63" t="str">
        <f>IFERROR(IF(tblRegister[[#This Row],[IN Token]]=DefCurrency,tblRegister[[#This Row],[IN Quantity]]*(1-tblRegister[[#This Row],[IN Price]]),""),"")</f>
        <v/>
      </c>
      <c r="L26" s="52" t="str">
        <f t="array" aca="1" ref="L2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2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6" s="52" t="str">
        <f t="array" ref="N26">IF(tblRegister[[#This Row],[Batch]]="","",tblRegister[[#This Row],[OUT Total After Sale]]-tblRegister[[#This Row],[OUT Quantity]])</f>
        <v/>
      </c>
      <c r="O26" s="53" t="str">
        <f t="array" aca="1" ref="O2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27" spans="2:15" x14ac:dyDescent="0.25">
      <c r="B27" s="50">
        <f>ROW()-ROW(tblRegister[[#Headers],[Ind]])</f>
        <v>24</v>
      </c>
      <c r="C27" s="60" t="str">
        <f>IF(ISBLANK(tblRegister[[#This Row],[IN Token]]),"",tblRegister[[#This Row],[Ind]])</f>
        <v/>
      </c>
      <c r="D27" s="118"/>
      <c r="E27" s="51"/>
      <c r="F27" s="111"/>
      <c r="G27" s="51"/>
      <c r="H27" s="111"/>
      <c r="I27" s="63" t="str">
        <f t="array" aca="1" ref="I27" ca="1">IFERROR(IF(tblRegister[[#This Row],[OUT Token]]=DefCurrency,tblRegister[[#This Row],[OUT Quantity]],
      SUMPRODUCT($J$3:J26,
      IF(IF($E$3:E26 = tblRegister[[#This Row],[OUT Token]],tblRegister[[#This Row],[OUT Quantity]]-$L$3:L26+tblRegister[[#This Row],[OUT Total Before Sale]]+$F$3:F26,0)  &gt; IF(ISERROR(IF($E$3:E26 = tblRegister[[#This Row],[OUT Token]],$L$3:L26,N/A)-tblRegister[[#This Row],[OUT Total Before Sale]]),0,
            IF(IF($E$3:E26 = tblRegister[[#This Row],[OUT Token]],$L$3:L26,N/A)-tblRegister[[#This Row],[OUT Total Before Sale]]&lt;0,0,
                  IF(IF($E$3:E26 = tblRegister[[#This Row],[OUT Token]],$L$3:L26,tblRegister[[#This Row],[OUT Total Before Sale]])-tblRegister[[#This Row],[OUT Total Before Sale]]&lt;IF($E$3:E26 = tblRegister[[#This Row],[OUT Token]],$F$3:F26,0),
                        IF($E$3:E26 = tblRegister[[#This Row],[OUT Token]],$L$3:L26 - tblRegister[[#This Row],[OUT Total Before Sale]],0),
                        IF($E$3:E26 = tblRegister[[#This Row],[OUT Token]],$F$3:F26,0)
                  )
            )
      ),
     IF(ISERROR(IF($E$3:E26 = tblRegister[[#This Row],[OUT Token]],$L$3:L26,N/A)-tblRegister[[#This Row],[OUT Total Before Sale]]),0,
            IF(IF($E$3:E26 = tblRegister[[#This Row],[OUT Token]],$L$3:L26,N/A)-tblRegister[[#This Row],[OUT Total Before Sale]]&lt;0,0,
                  IF(IF($E$3:E26 = tblRegister[[#This Row],[OUT Token]],$L$3:L26,tblRegister[[#This Row],[OUT Total Before Sale]])-tblRegister[[#This Row],[OUT Total Before Sale]]&lt;IF($E$3:E26 = tblRegister[[#This Row],[OUT Token]],$F$3:F26,0),
                        IF($E$3:E26 = tblRegister[[#This Row],[OUT Token]],$L$3:L26 - tblRegister[[#This Row],[OUT Total Before Sale]],0),
                        IF($E$3:E26 = tblRegister[[#This Row],[OUT Token]],$F$3:F26,0)
                  )
            )
      ),
      IF(IF($E$3:E26 = tblRegister[[#This Row],[OUT Token]],tblRegister[[#This Row],[OUT Quantity]]-$L$3:L26+tblRegister[[#This Row],[OUT Total Before Sale]]+$F$3:F26,1) &lt;0,0,
           IF($E$3:E26 = tblRegister[[#This Row],[OUT Token]],tblRegister[[#This Row],[OUT Quantity]]-$L$3:L26+tblRegister[[#This Row],[OUT Total Before Sale]]+$F$3:F26,0)))))/tblRegister[[#This Row],[OUT Quantity]],"")</f>
        <v/>
      </c>
      <c r="J27" s="63" t="str">
        <f ca="1">IFERROR(tblRegister[[#This Row],[OUT Book Price]]*tblRegister[[#This Row],[OUT Quantity]]/tblRegister[[#This Row],[IN Quantity]],"")</f>
        <v/>
      </c>
      <c r="K27" s="63" t="str">
        <f>IFERROR(IF(tblRegister[[#This Row],[IN Token]]=DefCurrency,tblRegister[[#This Row],[IN Quantity]]*(1-tblRegister[[#This Row],[IN Price]]),""),"")</f>
        <v/>
      </c>
      <c r="L27" s="52" t="str">
        <f t="array" aca="1" ref="L2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2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7" s="52" t="str">
        <f t="array" ref="N27">IF(tblRegister[[#This Row],[Batch]]="","",tblRegister[[#This Row],[OUT Total After Sale]]-tblRegister[[#This Row],[OUT Quantity]])</f>
        <v/>
      </c>
      <c r="O27" s="53" t="str">
        <f t="array" aca="1" ref="O2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28" spans="2:15" x14ac:dyDescent="0.25">
      <c r="B28" s="50">
        <f>ROW()-ROW(tblRegister[[#Headers],[Ind]])</f>
        <v>25</v>
      </c>
      <c r="C28" s="60" t="str">
        <f>IF(ISBLANK(tblRegister[[#This Row],[IN Token]]),"",tblRegister[[#This Row],[Ind]])</f>
        <v/>
      </c>
      <c r="D28" s="118"/>
      <c r="E28" s="51"/>
      <c r="F28" s="111"/>
      <c r="G28" s="51"/>
      <c r="H28" s="111"/>
      <c r="I28" s="63" t="str">
        <f t="array" aca="1" ref="I28" ca="1">IFERROR(IF(tblRegister[[#This Row],[OUT Token]]=DefCurrency,tblRegister[[#This Row],[OUT Quantity]],
      SUMPRODUCT($J$3:J27,
      IF(IF($E$3:E27 = tblRegister[[#This Row],[OUT Token]],tblRegister[[#This Row],[OUT Quantity]]-$L$3:L27+tblRegister[[#This Row],[OUT Total Before Sale]]+$F$3:F27,0)  &gt; IF(ISERROR(IF($E$3:E27 = tblRegister[[#This Row],[OUT Token]],$L$3:L27,N/A)-tblRegister[[#This Row],[OUT Total Before Sale]]),0,
            IF(IF($E$3:E27 = tblRegister[[#This Row],[OUT Token]],$L$3:L27,N/A)-tblRegister[[#This Row],[OUT Total Before Sale]]&lt;0,0,
                  IF(IF($E$3:E27 = tblRegister[[#This Row],[OUT Token]],$L$3:L27,tblRegister[[#This Row],[OUT Total Before Sale]])-tblRegister[[#This Row],[OUT Total Before Sale]]&lt;IF($E$3:E27 = tblRegister[[#This Row],[OUT Token]],$F$3:F27,0),
                        IF($E$3:E27 = tblRegister[[#This Row],[OUT Token]],$L$3:L27 - tblRegister[[#This Row],[OUT Total Before Sale]],0),
                        IF($E$3:E27 = tblRegister[[#This Row],[OUT Token]],$F$3:F27,0)
                  )
            )
      ),
     IF(ISERROR(IF($E$3:E27 = tblRegister[[#This Row],[OUT Token]],$L$3:L27,N/A)-tblRegister[[#This Row],[OUT Total Before Sale]]),0,
            IF(IF($E$3:E27 = tblRegister[[#This Row],[OUT Token]],$L$3:L27,N/A)-tblRegister[[#This Row],[OUT Total Before Sale]]&lt;0,0,
                  IF(IF($E$3:E27 = tblRegister[[#This Row],[OUT Token]],$L$3:L27,tblRegister[[#This Row],[OUT Total Before Sale]])-tblRegister[[#This Row],[OUT Total Before Sale]]&lt;IF($E$3:E27 = tblRegister[[#This Row],[OUT Token]],$F$3:F27,0),
                        IF($E$3:E27 = tblRegister[[#This Row],[OUT Token]],$L$3:L27 - tblRegister[[#This Row],[OUT Total Before Sale]],0),
                        IF($E$3:E27 = tblRegister[[#This Row],[OUT Token]],$F$3:F27,0)
                  )
            )
      ),
      IF(IF($E$3:E27 = tblRegister[[#This Row],[OUT Token]],tblRegister[[#This Row],[OUT Quantity]]-$L$3:L27+tblRegister[[#This Row],[OUT Total Before Sale]]+$F$3:F27,1) &lt;0,0,
           IF($E$3:E27 = tblRegister[[#This Row],[OUT Token]],tblRegister[[#This Row],[OUT Quantity]]-$L$3:L27+tblRegister[[#This Row],[OUT Total Before Sale]]+$F$3:F27,0)))))/tblRegister[[#This Row],[OUT Quantity]],"")</f>
        <v/>
      </c>
      <c r="J28" s="63" t="str">
        <f ca="1">IFERROR(tblRegister[[#This Row],[OUT Book Price]]*tblRegister[[#This Row],[OUT Quantity]]/tblRegister[[#This Row],[IN Quantity]],"")</f>
        <v/>
      </c>
      <c r="K28" s="63" t="str">
        <f>IFERROR(IF(tblRegister[[#This Row],[IN Token]]=DefCurrency,tblRegister[[#This Row],[IN Quantity]]*(1-tblRegister[[#This Row],[IN Price]]),""),"")</f>
        <v/>
      </c>
      <c r="L28" s="52" t="str">
        <f t="array" aca="1" ref="L2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2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8" s="52" t="str">
        <f t="array" ref="N28">IF(tblRegister[[#This Row],[Batch]]="","",tblRegister[[#This Row],[OUT Total After Sale]]-tblRegister[[#This Row],[OUT Quantity]])</f>
        <v/>
      </c>
      <c r="O28" s="53" t="str">
        <f t="array" aca="1" ref="O2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29" spans="2:15" x14ac:dyDescent="0.25">
      <c r="B29" s="50">
        <f>ROW()-ROW(tblRegister[[#Headers],[Ind]])</f>
        <v>26</v>
      </c>
      <c r="C29" s="60" t="str">
        <f>IF(ISBLANK(tblRegister[[#This Row],[IN Token]]),"",tblRegister[[#This Row],[Ind]])</f>
        <v/>
      </c>
      <c r="D29" s="118"/>
      <c r="E29" s="51"/>
      <c r="F29" s="111"/>
      <c r="G29" s="51"/>
      <c r="H29" s="111"/>
      <c r="I29" s="63" t="str">
        <f t="array" aca="1" ref="I29" ca="1">IFERROR(IF(tblRegister[[#This Row],[OUT Token]]=DefCurrency,tblRegister[[#This Row],[OUT Quantity]],
      SUMPRODUCT($J$3:J28,
      IF(IF($E$3:E28 = tblRegister[[#This Row],[OUT Token]],tblRegister[[#This Row],[OUT Quantity]]-$L$3:L28+tblRegister[[#This Row],[OUT Total Before Sale]]+$F$3:F28,0)  &gt; IF(ISERROR(IF($E$3:E28 = tblRegister[[#This Row],[OUT Token]],$L$3:L28,N/A)-tblRegister[[#This Row],[OUT Total Before Sale]]),0,
            IF(IF($E$3:E28 = tblRegister[[#This Row],[OUT Token]],$L$3:L28,N/A)-tblRegister[[#This Row],[OUT Total Before Sale]]&lt;0,0,
                  IF(IF($E$3:E28 = tblRegister[[#This Row],[OUT Token]],$L$3:L28,tblRegister[[#This Row],[OUT Total Before Sale]])-tblRegister[[#This Row],[OUT Total Before Sale]]&lt;IF($E$3:E28 = tblRegister[[#This Row],[OUT Token]],$F$3:F28,0),
                        IF($E$3:E28 = tblRegister[[#This Row],[OUT Token]],$L$3:L28 - tblRegister[[#This Row],[OUT Total Before Sale]],0),
                        IF($E$3:E28 = tblRegister[[#This Row],[OUT Token]],$F$3:F28,0)
                  )
            )
      ),
     IF(ISERROR(IF($E$3:E28 = tblRegister[[#This Row],[OUT Token]],$L$3:L28,N/A)-tblRegister[[#This Row],[OUT Total Before Sale]]),0,
            IF(IF($E$3:E28 = tblRegister[[#This Row],[OUT Token]],$L$3:L28,N/A)-tblRegister[[#This Row],[OUT Total Before Sale]]&lt;0,0,
                  IF(IF($E$3:E28 = tblRegister[[#This Row],[OUT Token]],$L$3:L28,tblRegister[[#This Row],[OUT Total Before Sale]])-tblRegister[[#This Row],[OUT Total Before Sale]]&lt;IF($E$3:E28 = tblRegister[[#This Row],[OUT Token]],$F$3:F28,0),
                        IF($E$3:E28 = tblRegister[[#This Row],[OUT Token]],$L$3:L28 - tblRegister[[#This Row],[OUT Total Before Sale]],0),
                        IF($E$3:E28 = tblRegister[[#This Row],[OUT Token]],$F$3:F28,0)
                  )
            )
      ),
      IF(IF($E$3:E28 = tblRegister[[#This Row],[OUT Token]],tblRegister[[#This Row],[OUT Quantity]]-$L$3:L28+tblRegister[[#This Row],[OUT Total Before Sale]]+$F$3:F28,1) &lt;0,0,
           IF($E$3:E28 = tblRegister[[#This Row],[OUT Token]],tblRegister[[#This Row],[OUT Quantity]]-$L$3:L28+tblRegister[[#This Row],[OUT Total Before Sale]]+$F$3:F28,0)))))/tblRegister[[#This Row],[OUT Quantity]],"")</f>
        <v/>
      </c>
      <c r="J29" s="63" t="str">
        <f ca="1">IFERROR(tblRegister[[#This Row],[OUT Book Price]]*tblRegister[[#This Row],[OUT Quantity]]/tblRegister[[#This Row],[IN Quantity]],"")</f>
        <v/>
      </c>
      <c r="K29" s="63" t="str">
        <f>IFERROR(IF(tblRegister[[#This Row],[IN Token]]=DefCurrency,tblRegister[[#This Row],[IN Quantity]]*(1-tblRegister[[#This Row],[IN Price]]),""),"")</f>
        <v/>
      </c>
      <c r="L29" s="52" t="str">
        <f t="array" aca="1" ref="L2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2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29" s="52" t="str">
        <f t="array" ref="N29">IF(tblRegister[[#This Row],[Batch]]="","",tblRegister[[#This Row],[OUT Total After Sale]]-tblRegister[[#This Row],[OUT Quantity]])</f>
        <v/>
      </c>
      <c r="O29" s="53" t="str">
        <f t="array" aca="1" ref="O2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0" spans="2:15" x14ac:dyDescent="0.25">
      <c r="B30" s="50">
        <f>ROW()-ROW(tblRegister[[#Headers],[Ind]])</f>
        <v>27</v>
      </c>
      <c r="C30" s="60" t="str">
        <f>IF(ISBLANK(tblRegister[[#This Row],[IN Token]]),"",tblRegister[[#This Row],[Ind]])</f>
        <v/>
      </c>
      <c r="D30" s="118"/>
      <c r="E30" s="51"/>
      <c r="F30" s="111"/>
      <c r="G30" s="51"/>
      <c r="H30" s="111"/>
      <c r="I30" s="63" t="str">
        <f t="array" aca="1" ref="I30" ca="1">IFERROR(IF(tblRegister[[#This Row],[OUT Token]]=DefCurrency,tblRegister[[#This Row],[OUT Quantity]],
      SUMPRODUCT($J$3:J29,
      IF(IF($E$3:E29 = tblRegister[[#This Row],[OUT Token]],tblRegister[[#This Row],[OUT Quantity]]-$L$3:L29+tblRegister[[#This Row],[OUT Total Before Sale]]+$F$3:F29,0)  &gt; IF(ISERROR(IF($E$3:E29 = tblRegister[[#This Row],[OUT Token]],$L$3:L29,N/A)-tblRegister[[#This Row],[OUT Total Before Sale]]),0,
            IF(IF($E$3:E29 = tblRegister[[#This Row],[OUT Token]],$L$3:L29,N/A)-tblRegister[[#This Row],[OUT Total Before Sale]]&lt;0,0,
                  IF(IF($E$3:E29 = tblRegister[[#This Row],[OUT Token]],$L$3:L29,tblRegister[[#This Row],[OUT Total Before Sale]])-tblRegister[[#This Row],[OUT Total Before Sale]]&lt;IF($E$3:E29 = tblRegister[[#This Row],[OUT Token]],$F$3:F29,0),
                        IF($E$3:E29 = tblRegister[[#This Row],[OUT Token]],$L$3:L29 - tblRegister[[#This Row],[OUT Total Before Sale]],0),
                        IF($E$3:E29 = tblRegister[[#This Row],[OUT Token]],$F$3:F29,0)
                  )
            )
      ),
     IF(ISERROR(IF($E$3:E29 = tblRegister[[#This Row],[OUT Token]],$L$3:L29,N/A)-tblRegister[[#This Row],[OUT Total Before Sale]]),0,
            IF(IF($E$3:E29 = tblRegister[[#This Row],[OUT Token]],$L$3:L29,N/A)-tblRegister[[#This Row],[OUT Total Before Sale]]&lt;0,0,
                  IF(IF($E$3:E29 = tblRegister[[#This Row],[OUT Token]],$L$3:L29,tblRegister[[#This Row],[OUT Total Before Sale]])-tblRegister[[#This Row],[OUT Total Before Sale]]&lt;IF($E$3:E29 = tblRegister[[#This Row],[OUT Token]],$F$3:F29,0),
                        IF($E$3:E29 = tblRegister[[#This Row],[OUT Token]],$L$3:L29 - tblRegister[[#This Row],[OUT Total Before Sale]],0),
                        IF($E$3:E29 = tblRegister[[#This Row],[OUT Token]],$F$3:F29,0)
                  )
            )
      ),
      IF(IF($E$3:E29 = tblRegister[[#This Row],[OUT Token]],tblRegister[[#This Row],[OUT Quantity]]-$L$3:L29+tblRegister[[#This Row],[OUT Total Before Sale]]+$F$3:F29,1) &lt;0,0,
           IF($E$3:E29 = tblRegister[[#This Row],[OUT Token]],tblRegister[[#This Row],[OUT Quantity]]-$L$3:L29+tblRegister[[#This Row],[OUT Total Before Sale]]+$F$3:F29,0)))))/tblRegister[[#This Row],[OUT Quantity]],"")</f>
        <v/>
      </c>
      <c r="J30" s="63" t="str">
        <f ca="1">IFERROR(tblRegister[[#This Row],[OUT Book Price]]*tblRegister[[#This Row],[OUT Quantity]]/tblRegister[[#This Row],[IN Quantity]],"")</f>
        <v/>
      </c>
      <c r="K30" s="63" t="str">
        <f>IFERROR(IF(tblRegister[[#This Row],[IN Token]]=DefCurrency,tblRegister[[#This Row],[IN Quantity]]*(1-tblRegister[[#This Row],[IN Price]]),""),"")</f>
        <v/>
      </c>
      <c r="L30" s="52" t="str">
        <f t="array" aca="1" ref="L3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0" s="52" t="str">
        <f t="array" ref="N30">IF(tblRegister[[#This Row],[Batch]]="","",tblRegister[[#This Row],[OUT Total After Sale]]-tblRegister[[#This Row],[OUT Quantity]])</f>
        <v/>
      </c>
      <c r="O30" s="53" t="str">
        <f t="array" aca="1" ref="O3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1" spans="2:15" x14ac:dyDescent="0.25">
      <c r="B31" s="50">
        <f>ROW()-ROW(tblRegister[[#Headers],[Ind]])</f>
        <v>28</v>
      </c>
      <c r="C31" s="60" t="str">
        <f>IF(ISBLANK(tblRegister[[#This Row],[IN Token]]),"",tblRegister[[#This Row],[Ind]])</f>
        <v/>
      </c>
      <c r="D31" s="118"/>
      <c r="E31" s="51"/>
      <c r="F31" s="111"/>
      <c r="G31" s="51"/>
      <c r="H31" s="111"/>
      <c r="I31" s="63" t="str">
        <f t="array" aca="1" ref="I31" ca="1">IFERROR(IF(tblRegister[[#This Row],[OUT Token]]=DefCurrency,tblRegister[[#This Row],[OUT Quantity]],
      SUMPRODUCT($J$3:J30,
      IF(IF($E$3:E30 = tblRegister[[#This Row],[OUT Token]],tblRegister[[#This Row],[OUT Quantity]]-$L$3:L30+tblRegister[[#This Row],[OUT Total Before Sale]]+$F$3:F30,0)  &gt; IF(ISERROR(IF($E$3:E30 = tblRegister[[#This Row],[OUT Token]],$L$3:L30,N/A)-tblRegister[[#This Row],[OUT Total Before Sale]]),0,
            IF(IF($E$3:E30 = tblRegister[[#This Row],[OUT Token]],$L$3:L30,N/A)-tblRegister[[#This Row],[OUT Total Before Sale]]&lt;0,0,
                  IF(IF($E$3:E30 = tblRegister[[#This Row],[OUT Token]],$L$3:L30,tblRegister[[#This Row],[OUT Total Before Sale]])-tblRegister[[#This Row],[OUT Total Before Sale]]&lt;IF($E$3:E30 = tblRegister[[#This Row],[OUT Token]],$F$3:F30,0),
                        IF($E$3:E30 = tblRegister[[#This Row],[OUT Token]],$L$3:L30 - tblRegister[[#This Row],[OUT Total Before Sale]],0),
                        IF($E$3:E30 = tblRegister[[#This Row],[OUT Token]],$F$3:F30,0)
                  )
            )
      ),
     IF(ISERROR(IF($E$3:E30 = tblRegister[[#This Row],[OUT Token]],$L$3:L30,N/A)-tblRegister[[#This Row],[OUT Total Before Sale]]),0,
            IF(IF($E$3:E30 = tblRegister[[#This Row],[OUT Token]],$L$3:L30,N/A)-tblRegister[[#This Row],[OUT Total Before Sale]]&lt;0,0,
                  IF(IF($E$3:E30 = tblRegister[[#This Row],[OUT Token]],$L$3:L30,tblRegister[[#This Row],[OUT Total Before Sale]])-tblRegister[[#This Row],[OUT Total Before Sale]]&lt;IF($E$3:E30 = tblRegister[[#This Row],[OUT Token]],$F$3:F30,0),
                        IF($E$3:E30 = tblRegister[[#This Row],[OUT Token]],$L$3:L30 - tblRegister[[#This Row],[OUT Total Before Sale]],0),
                        IF($E$3:E30 = tblRegister[[#This Row],[OUT Token]],$F$3:F30,0)
                  )
            )
      ),
      IF(IF($E$3:E30 = tblRegister[[#This Row],[OUT Token]],tblRegister[[#This Row],[OUT Quantity]]-$L$3:L30+tblRegister[[#This Row],[OUT Total Before Sale]]+$F$3:F30,1) &lt;0,0,
           IF($E$3:E30 = tblRegister[[#This Row],[OUT Token]],tblRegister[[#This Row],[OUT Quantity]]-$L$3:L30+tblRegister[[#This Row],[OUT Total Before Sale]]+$F$3:F30,0)))))/tblRegister[[#This Row],[OUT Quantity]],"")</f>
        <v/>
      </c>
      <c r="J31" s="63" t="str">
        <f ca="1">IFERROR(tblRegister[[#This Row],[OUT Book Price]]*tblRegister[[#This Row],[OUT Quantity]]/tblRegister[[#This Row],[IN Quantity]],"")</f>
        <v/>
      </c>
      <c r="K31" s="63" t="str">
        <f>IFERROR(IF(tblRegister[[#This Row],[IN Token]]=DefCurrency,tblRegister[[#This Row],[IN Quantity]]*(1-tblRegister[[#This Row],[IN Price]]),""),"")</f>
        <v/>
      </c>
      <c r="L31" s="52" t="str">
        <f t="array" aca="1" ref="L3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1" s="52" t="str">
        <f t="array" ref="N31">IF(tblRegister[[#This Row],[Batch]]="","",tblRegister[[#This Row],[OUT Total After Sale]]-tblRegister[[#This Row],[OUT Quantity]])</f>
        <v/>
      </c>
      <c r="O31" s="53" t="str">
        <f t="array" aca="1" ref="O3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2" spans="2:15" x14ac:dyDescent="0.25">
      <c r="B32" s="50">
        <f>ROW()-ROW(tblRegister[[#Headers],[Ind]])</f>
        <v>29</v>
      </c>
      <c r="C32" s="60" t="str">
        <f>IF(ISBLANK(tblRegister[[#This Row],[IN Token]]),"",tblRegister[[#This Row],[Ind]])</f>
        <v/>
      </c>
      <c r="D32" s="118"/>
      <c r="E32" s="51"/>
      <c r="F32" s="111"/>
      <c r="G32" s="51"/>
      <c r="H32" s="111"/>
      <c r="I32" s="63" t="str">
        <f t="array" aca="1" ref="I32" ca="1">IFERROR(IF(tblRegister[[#This Row],[OUT Token]]=DefCurrency,tblRegister[[#This Row],[OUT Quantity]],
      SUMPRODUCT($J$3:J31,
      IF(IF($E$3:E31 = tblRegister[[#This Row],[OUT Token]],tblRegister[[#This Row],[OUT Quantity]]-$L$3:L31+tblRegister[[#This Row],[OUT Total Before Sale]]+$F$3:F31,0)  &gt; IF(ISERROR(IF($E$3:E31 = tblRegister[[#This Row],[OUT Token]],$L$3:L31,N/A)-tblRegister[[#This Row],[OUT Total Before Sale]]),0,
            IF(IF($E$3:E31 = tblRegister[[#This Row],[OUT Token]],$L$3:L31,N/A)-tblRegister[[#This Row],[OUT Total Before Sale]]&lt;0,0,
                  IF(IF($E$3:E31 = tblRegister[[#This Row],[OUT Token]],$L$3:L31,tblRegister[[#This Row],[OUT Total Before Sale]])-tblRegister[[#This Row],[OUT Total Before Sale]]&lt;IF($E$3:E31 = tblRegister[[#This Row],[OUT Token]],$F$3:F31,0),
                        IF($E$3:E31 = tblRegister[[#This Row],[OUT Token]],$L$3:L31 - tblRegister[[#This Row],[OUT Total Before Sale]],0),
                        IF($E$3:E31 = tblRegister[[#This Row],[OUT Token]],$F$3:F31,0)
                  )
            )
      ),
     IF(ISERROR(IF($E$3:E31 = tblRegister[[#This Row],[OUT Token]],$L$3:L31,N/A)-tblRegister[[#This Row],[OUT Total Before Sale]]),0,
            IF(IF($E$3:E31 = tblRegister[[#This Row],[OUT Token]],$L$3:L31,N/A)-tblRegister[[#This Row],[OUT Total Before Sale]]&lt;0,0,
                  IF(IF($E$3:E31 = tblRegister[[#This Row],[OUT Token]],$L$3:L31,tblRegister[[#This Row],[OUT Total Before Sale]])-tblRegister[[#This Row],[OUT Total Before Sale]]&lt;IF($E$3:E31 = tblRegister[[#This Row],[OUT Token]],$F$3:F31,0),
                        IF($E$3:E31 = tblRegister[[#This Row],[OUT Token]],$L$3:L31 - tblRegister[[#This Row],[OUT Total Before Sale]],0),
                        IF($E$3:E31 = tblRegister[[#This Row],[OUT Token]],$F$3:F31,0)
                  )
            )
      ),
      IF(IF($E$3:E31 = tblRegister[[#This Row],[OUT Token]],tblRegister[[#This Row],[OUT Quantity]]-$L$3:L31+tblRegister[[#This Row],[OUT Total Before Sale]]+$F$3:F31,1) &lt;0,0,
           IF($E$3:E31 = tblRegister[[#This Row],[OUT Token]],tblRegister[[#This Row],[OUT Quantity]]-$L$3:L31+tblRegister[[#This Row],[OUT Total Before Sale]]+$F$3:F31,0)))))/tblRegister[[#This Row],[OUT Quantity]],"")</f>
        <v/>
      </c>
      <c r="J32" s="63" t="str">
        <f ca="1">IFERROR(tblRegister[[#This Row],[OUT Book Price]]*tblRegister[[#This Row],[OUT Quantity]]/tblRegister[[#This Row],[IN Quantity]],"")</f>
        <v/>
      </c>
      <c r="K32" s="63" t="str">
        <f>IFERROR(IF(tblRegister[[#This Row],[IN Token]]=DefCurrency,tblRegister[[#This Row],[IN Quantity]]*(1-tblRegister[[#This Row],[IN Price]]),""),"")</f>
        <v/>
      </c>
      <c r="L32" s="52" t="str">
        <f t="array" aca="1" ref="L3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2" s="52" t="str">
        <f t="array" ref="N32">IF(tblRegister[[#This Row],[Batch]]="","",tblRegister[[#This Row],[OUT Total After Sale]]-tblRegister[[#This Row],[OUT Quantity]])</f>
        <v/>
      </c>
      <c r="O32" s="53" t="str">
        <f t="array" aca="1" ref="O3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3" spans="2:15" x14ac:dyDescent="0.25">
      <c r="B33" s="50">
        <f>ROW()-ROW(tblRegister[[#Headers],[Ind]])</f>
        <v>30</v>
      </c>
      <c r="C33" s="60" t="str">
        <f>IF(ISBLANK(tblRegister[[#This Row],[IN Token]]),"",tblRegister[[#This Row],[Ind]])</f>
        <v/>
      </c>
      <c r="D33" s="118"/>
      <c r="E33" s="51"/>
      <c r="F33" s="111"/>
      <c r="G33" s="51"/>
      <c r="H33" s="111"/>
      <c r="I33" s="63" t="str">
        <f t="array" aca="1" ref="I33" ca="1">IFERROR(IF(tblRegister[[#This Row],[OUT Token]]=DefCurrency,tblRegister[[#This Row],[OUT Quantity]],
      SUMPRODUCT($J$3:J32,
      IF(IF($E$3:E32 = tblRegister[[#This Row],[OUT Token]],tblRegister[[#This Row],[OUT Quantity]]-$L$3:L32+tblRegister[[#This Row],[OUT Total Before Sale]]+$F$3:F32,0)  &gt; IF(ISERROR(IF($E$3:E32 = tblRegister[[#This Row],[OUT Token]],$L$3:L32,N/A)-tblRegister[[#This Row],[OUT Total Before Sale]]),0,
            IF(IF($E$3:E32 = tblRegister[[#This Row],[OUT Token]],$L$3:L32,N/A)-tblRegister[[#This Row],[OUT Total Before Sale]]&lt;0,0,
                  IF(IF($E$3:E32 = tblRegister[[#This Row],[OUT Token]],$L$3:L32,tblRegister[[#This Row],[OUT Total Before Sale]])-tblRegister[[#This Row],[OUT Total Before Sale]]&lt;IF($E$3:E32 = tblRegister[[#This Row],[OUT Token]],$F$3:F32,0),
                        IF($E$3:E32 = tblRegister[[#This Row],[OUT Token]],$L$3:L32 - tblRegister[[#This Row],[OUT Total Before Sale]],0),
                        IF($E$3:E32 = tblRegister[[#This Row],[OUT Token]],$F$3:F32,0)
                  )
            )
      ),
     IF(ISERROR(IF($E$3:E32 = tblRegister[[#This Row],[OUT Token]],$L$3:L32,N/A)-tblRegister[[#This Row],[OUT Total Before Sale]]),0,
            IF(IF($E$3:E32 = tblRegister[[#This Row],[OUT Token]],$L$3:L32,N/A)-tblRegister[[#This Row],[OUT Total Before Sale]]&lt;0,0,
                  IF(IF($E$3:E32 = tblRegister[[#This Row],[OUT Token]],$L$3:L32,tblRegister[[#This Row],[OUT Total Before Sale]])-tblRegister[[#This Row],[OUT Total Before Sale]]&lt;IF($E$3:E32 = tblRegister[[#This Row],[OUT Token]],$F$3:F32,0),
                        IF($E$3:E32 = tblRegister[[#This Row],[OUT Token]],$L$3:L32 - tblRegister[[#This Row],[OUT Total Before Sale]],0),
                        IF($E$3:E32 = tblRegister[[#This Row],[OUT Token]],$F$3:F32,0)
                  )
            )
      ),
      IF(IF($E$3:E32 = tblRegister[[#This Row],[OUT Token]],tblRegister[[#This Row],[OUT Quantity]]-$L$3:L32+tblRegister[[#This Row],[OUT Total Before Sale]]+$F$3:F32,1) &lt;0,0,
           IF($E$3:E32 = tblRegister[[#This Row],[OUT Token]],tblRegister[[#This Row],[OUT Quantity]]-$L$3:L32+tblRegister[[#This Row],[OUT Total Before Sale]]+$F$3:F32,0)))))/tblRegister[[#This Row],[OUT Quantity]],"")</f>
        <v/>
      </c>
      <c r="J33" s="63" t="str">
        <f ca="1">IFERROR(tblRegister[[#This Row],[OUT Book Price]]*tblRegister[[#This Row],[OUT Quantity]]/tblRegister[[#This Row],[IN Quantity]],"")</f>
        <v/>
      </c>
      <c r="K33" s="63" t="str">
        <f>IFERROR(IF(tblRegister[[#This Row],[IN Token]]=DefCurrency,tblRegister[[#This Row],[IN Quantity]]*(1-tblRegister[[#This Row],[IN Price]]),""),"")</f>
        <v/>
      </c>
      <c r="L33" s="52" t="str">
        <f t="array" aca="1" ref="L3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3" s="52" t="str">
        <f t="array" ref="N33">IF(tblRegister[[#This Row],[Batch]]="","",tblRegister[[#This Row],[OUT Total After Sale]]-tblRegister[[#This Row],[OUT Quantity]])</f>
        <v/>
      </c>
      <c r="O33" s="53" t="str">
        <f t="array" aca="1" ref="O3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4" spans="2:15" x14ac:dyDescent="0.25">
      <c r="B34" s="50">
        <f>ROW()-ROW(tblRegister[[#Headers],[Ind]])</f>
        <v>31</v>
      </c>
      <c r="C34" s="60" t="str">
        <f>IF(ISBLANK(tblRegister[[#This Row],[IN Token]]),"",tblRegister[[#This Row],[Ind]])</f>
        <v/>
      </c>
      <c r="D34" s="118"/>
      <c r="E34" s="51"/>
      <c r="F34" s="111"/>
      <c r="G34" s="51"/>
      <c r="H34" s="111"/>
      <c r="I34" s="63" t="str">
        <f t="array" aca="1" ref="I34" ca="1">IFERROR(IF(tblRegister[[#This Row],[OUT Token]]=DefCurrency,tblRegister[[#This Row],[OUT Quantity]],
      SUMPRODUCT($J$3:J33,
      IF(IF($E$3:E33 = tblRegister[[#This Row],[OUT Token]],tblRegister[[#This Row],[OUT Quantity]]-$L$3:L33+tblRegister[[#This Row],[OUT Total Before Sale]]+$F$3:F33,0)  &gt; IF(ISERROR(IF($E$3:E33 = tblRegister[[#This Row],[OUT Token]],$L$3:L33,N/A)-tblRegister[[#This Row],[OUT Total Before Sale]]),0,
            IF(IF($E$3:E33 = tblRegister[[#This Row],[OUT Token]],$L$3:L33,N/A)-tblRegister[[#This Row],[OUT Total Before Sale]]&lt;0,0,
                  IF(IF($E$3:E33 = tblRegister[[#This Row],[OUT Token]],$L$3:L33,tblRegister[[#This Row],[OUT Total Before Sale]])-tblRegister[[#This Row],[OUT Total Before Sale]]&lt;IF($E$3:E33 = tblRegister[[#This Row],[OUT Token]],$F$3:F33,0),
                        IF($E$3:E33 = tblRegister[[#This Row],[OUT Token]],$L$3:L33 - tblRegister[[#This Row],[OUT Total Before Sale]],0),
                        IF($E$3:E33 = tblRegister[[#This Row],[OUT Token]],$F$3:F33,0)
                  )
            )
      ),
     IF(ISERROR(IF($E$3:E33 = tblRegister[[#This Row],[OUT Token]],$L$3:L33,N/A)-tblRegister[[#This Row],[OUT Total Before Sale]]),0,
            IF(IF($E$3:E33 = tblRegister[[#This Row],[OUT Token]],$L$3:L33,N/A)-tblRegister[[#This Row],[OUT Total Before Sale]]&lt;0,0,
                  IF(IF($E$3:E33 = tblRegister[[#This Row],[OUT Token]],$L$3:L33,tblRegister[[#This Row],[OUT Total Before Sale]])-tblRegister[[#This Row],[OUT Total Before Sale]]&lt;IF($E$3:E33 = tblRegister[[#This Row],[OUT Token]],$F$3:F33,0),
                        IF($E$3:E33 = tblRegister[[#This Row],[OUT Token]],$L$3:L33 - tblRegister[[#This Row],[OUT Total Before Sale]],0),
                        IF($E$3:E33 = tblRegister[[#This Row],[OUT Token]],$F$3:F33,0)
                  )
            )
      ),
      IF(IF($E$3:E33 = tblRegister[[#This Row],[OUT Token]],tblRegister[[#This Row],[OUT Quantity]]-$L$3:L33+tblRegister[[#This Row],[OUT Total Before Sale]]+$F$3:F33,1) &lt;0,0,
           IF($E$3:E33 = tblRegister[[#This Row],[OUT Token]],tblRegister[[#This Row],[OUT Quantity]]-$L$3:L33+tblRegister[[#This Row],[OUT Total Before Sale]]+$F$3:F33,0)))))/tblRegister[[#This Row],[OUT Quantity]],"")</f>
        <v/>
      </c>
      <c r="J34" s="63" t="str">
        <f ca="1">IFERROR(tblRegister[[#This Row],[OUT Book Price]]*tblRegister[[#This Row],[OUT Quantity]]/tblRegister[[#This Row],[IN Quantity]],"")</f>
        <v/>
      </c>
      <c r="K34" s="63" t="str">
        <f>IFERROR(IF(tblRegister[[#This Row],[IN Token]]=DefCurrency,tblRegister[[#This Row],[IN Quantity]]*(1-tblRegister[[#This Row],[IN Price]]),""),"")</f>
        <v/>
      </c>
      <c r="L34" s="52" t="str">
        <f t="array" aca="1" ref="L3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4" s="52" t="str">
        <f t="array" ref="N34">IF(tblRegister[[#This Row],[Batch]]="","",tblRegister[[#This Row],[OUT Total After Sale]]-tblRegister[[#This Row],[OUT Quantity]])</f>
        <v/>
      </c>
      <c r="O34" s="53" t="str">
        <f t="array" aca="1" ref="O3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5" spans="2:15" x14ac:dyDescent="0.25">
      <c r="B35" s="50">
        <f>ROW()-ROW(tblRegister[[#Headers],[Ind]])</f>
        <v>32</v>
      </c>
      <c r="C35" s="60" t="str">
        <f>IF(ISBLANK(tblRegister[[#This Row],[IN Token]]),"",tblRegister[[#This Row],[Ind]])</f>
        <v/>
      </c>
      <c r="D35" s="118"/>
      <c r="E35" s="51"/>
      <c r="F35" s="111"/>
      <c r="G35" s="51"/>
      <c r="H35" s="111"/>
      <c r="I35" s="63" t="str">
        <f t="array" aca="1" ref="I35" ca="1">IFERROR(IF(tblRegister[[#This Row],[OUT Token]]=DefCurrency,tblRegister[[#This Row],[OUT Quantity]],
      SUMPRODUCT($J$3:J34,
      IF(IF($E$3:E34 = tblRegister[[#This Row],[OUT Token]],tblRegister[[#This Row],[OUT Quantity]]-$L$3:L34+tblRegister[[#This Row],[OUT Total Before Sale]]+$F$3:F34,0)  &gt; IF(ISERROR(IF($E$3:E34 = tblRegister[[#This Row],[OUT Token]],$L$3:L34,N/A)-tblRegister[[#This Row],[OUT Total Before Sale]]),0,
            IF(IF($E$3:E34 = tblRegister[[#This Row],[OUT Token]],$L$3:L34,N/A)-tblRegister[[#This Row],[OUT Total Before Sale]]&lt;0,0,
                  IF(IF($E$3:E34 = tblRegister[[#This Row],[OUT Token]],$L$3:L34,tblRegister[[#This Row],[OUT Total Before Sale]])-tblRegister[[#This Row],[OUT Total Before Sale]]&lt;IF($E$3:E34 = tblRegister[[#This Row],[OUT Token]],$F$3:F34,0),
                        IF($E$3:E34 = tblRegister[[#This Row],[OUT Token]],$L$3:L34 - tblRegister[[#This Row],[OUT Total Before Sale]],0),
                        IF($E$3:E34 = tblRegister[[#This Row],[OUT Token]],$F$3:F34,0)
                  )
            )
      ),
     IF(ISERROR(IF($E$3:E34 = tblRegister[[#This Row],[OUT Token]],$L$3:L34,N/A)-tblRegister[[#This Row],[OUT Total Before Sale]]),0,
            IF(IF($E$3:E34 = tblRegister[[#This Row],[OUT Token]],$L$3:L34,N/A)-tblRegister[[#This Row],[OUT Total Before Sale]]&lt;0,0,
                  IF(IF($E$3:E34 = tblRegister[[#This Row],[OUT Token]],$L$3:L34,tblRegister[[#This Row],[OUT Total Before Sale]])-tblRegister[[#This Row],[OUT Total Before Sale]]&lt;IF($E$3:E34 = tblRegister[[#This Row],[OUT Token]],$F$3:F34,0),
                        IF($E$3:E34 = tblRegister[[#This Row],[OUT Token]],$L$3:L34 - tblRegister[[#This Row],[OUT Total Before Sale]],0),
                        IF($E$3:E34 = tblRegister[[#This Row],[OUT Token]],$F$3:F34,0)
                  )
            )
      ),
      IF(IF($E$3:E34 = tblRegister[[#This Row],[OUT Token]],tblRegister[[#This Row],[OUT Quantity]]-$L$3:L34+tblRegister[[#This Row],[OUT Total Before Sale]]+$F$3:F34,1) &lt;0,0,
           IF($E$3:E34 = tblRegister[[#This Row],[OUT Token]],tblRegister[[#This Row],[OUT Quantity]]-$L$3:L34+tblRegister[[#This Row],[OUT Total Before Sale]]+$F$3:F34,0)))))/tblRegister[[#This Row],[OUT Quantity]],"")</f>
        <v/>
      </c>
      <c r="J35" s="63" t="str">
        <f ca="1">IFERROR(tblRegister[[#This Row],[OUT Book Price]]*tblRegister[[#This Row],[OUT Quantity]]/tblRegister[[#This Row],[IN Quantity]],"")</f>
        <v/>
      </c>
      <c r="K35" s="63" t="str">
        <f>IFERROR(IF(tblRegister[[#This Row],[IN Token]]=DefCurrency,tblRegister[[#This Row],[IN Quantity]]*(1-tblRegister[[#This Row],[IN Price]]),""),"")</f>
        <v/>
      </c>
      <c r="L35" s="52" t="str">
        <f t="array" aca="1" ref="L3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5" s="52" t="str">
        <f t="array" ref="N35">IF(tblRegister[[#This Row],[Batch]]="","",tblRegister[[#This Row],[OUT Total After Sale]]-tblRegister[[#This Row],[OUT Quantity]])</f>
        <v/>
      </c>
      <c r="O35" s="53" t="str">
        <f t="array" aca="1" ref="O3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6" spans="2:15" x14ac:dyDescent="0.25">
      <c r="B36" s="50">
        <f>ROW()-ROW(tblRegister[[#Headers],[Ind]])</f>
        <v>33</v>
      </c>
      <c r="C36" s="60" t="str">
        <f>IF(ISBLANK(tblRegister[[#This Row],[IN Token]]),"",tblRegister[[#This Row],[Ind]])</f>
        <v/>
      </c>
      <c r="D36" s="118"/>
      <c r="E36" s="51"/>
      <c r="F36" s="111"/>
      <c r="G36" s="51"/>
      <c r="H36" s="111"/>
      <c r="I36" s="63" t="str">
        <f t="array" aca="1" ref="I36" ca="1">IFERROR(IF(tblRegister[[#This Row],[OUT Token]]=DefCurrency,tblRegister[[#This Row],[OUT Quantity]],
      SUMPRODUCT($J$3:J35,
      IF(IF($E$3:E35 = tblRegister[[#This Row],[OUT Token]],tblRegister[[#This Row],[OUT Quantity]]-$L$3:L35+tblRegister[[#This Row],[OUT Total Before Sale]]+$F$3:F35,0)  &gt; IF(ISERROR(IF($E$3:E35 = tblRegister[[#This Row],[OUT Token]],$L$3:L35,N/A)-tblRegister[[#This Row],[OUT Total Before Sale]]),0,
            IF(IF($E$3:E35 = tblRegister[[#This Row],[OUT Token]],$L$3:L35,N/A)-tblRegister[[#This Row],[OUT Total Before Sale]]&lt;0,0,
                  IF(IF($E$3:E35 = tblRegister[[#This Row],[OUT Token]],$L$3:L35,tblRegister[[#This Row],[OUT Total Before Sale]])-tblRegister[[#This Row],[OUT Total Before Sale]]&lt;IF($E$3:E35 = tblRegister[[#This Row],[OUT Token]],$F$3:F35,0),
                        IF($E$3:E35 = tblRegister[[#This Row],[OUT Token]],$L$3:L35 - tblRegister[[#This Row],[OUT Total Before Sale]],0),
                        IF($E$3:E35 = tblRegister[[#This Row],[OUT Token]],$F$3:F35,0)
                  )
            )
      ),
     IF(ISERROR(IF($E$3:E35 = tblRegister[[#This Row],[OUT Token]],$L$3:L35,N/A)-tblRegister[[#This Row],[OUT Total Before Sale]]),0,
            IF(IF($E$3:E35 = tblRegister[[#This Row],[OUT Token]],$L$3:L35,N/A)-tblRegister[[#This Row],[OUT Total Before Sale]]&lt;0,0,
                  IF(IF($E$3:E35 = tblRegister[[#This Row],[OUT Token]],$L$3:L35,tblRegister[[#This Row],[OUT Total Before Sale]])-tblRegister[[#This Row],[OUT Total Before Sale]]&lt;IF($E$3:E35 = tblRegister[[#This Row],[OUT Token]],$F$3:F35,0),
                        IF($E$3:E35 = tblRegister[[#This Row],[OUT Token]],$L$3:L35 - tblRegister[[#This Row],[OUT Total Before Sale]],0),
                        IF($E$3:E35 = tblRegister[[#This Row],[OUT Token]],$F$3:F35,0)
                  )
            )
      ),
      IF(IF($E$3:E35 = tblRegister[[#This Row],[OUT Token]],tblRegister[[#This Row],[OUT Quantity]]-$L$3:L35+tblRegister[[#This Row],[OUT Total Before Sale]]+$F$3:F35,1) &lt;0,0,
           IF($E$3:E35 = tblRegister[[#This Row],[OUT Token]],tblRegister[[#This Row],[OUT Quantity]]-$L$3:L35+tblRegister[[#This Row],[OUT Total Before Sale]]+$F$3:F35,0)))))/tblRegister[[#This Row],[OUT Quantity]],"")</f>
        <v/>
      </c>
      <c r="J36" s="63" t="str">
        <f ca="1">IFERROR(tblRegister[[#This Row],[OUT Book Price]]*tblRegister[[#This Row],[OUT Quantity]]/tblRegister[[#This Row],[IN Quantity]],"")</f>
        <v/>
      </c>
      <c r="K36" s="63" t="str">
        <f>IFERROR(IF(tblRegister[[#This Row],[IN Token]]=DefCurrency,tblRegister[[#This Row],[IN Quantity]]*(1-tblRegister[[#This Row],[IN Price]]),""),"")</f>
        <v/>
      </c>
      <c r="L36" s="52" t="str">
        <f t="array" aca="1" ref="L3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6" s="52" t="str">
        <f t="array" ref="N36">IF(tblRegister[[#This Row],[Batch]]="","",tblRegister[[#This Row],[OUT Total After Sale]]-tblRegister[[#This Row],[OUT Quantity]])</f>
        <v/>
      </c>
      <c r="O36" s="53" t="str">
        <f t="array" aca="1" ref="O3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7" spans="2:15" x14ac:dyDescent="0.25">
      <c r="B37" s="50">
        <f>ROW()-ROW(tblRegister[[#Headers],[Ind]])</f>
        <v>34</v>
      </c>
      <c r="C37" s="60" t="str">
        <f>IF(ISBLANK(tblRegister[[#This Row],[IN Token]]),"",tblRegister[[#This Row],[Ind]])</f>
        <v/>
      </c>
      <c r="D37" s="118"/>
      <c r="E37" s="51"/>
      <c r="F37" s="111"/>
      <c r="G37" s="51"/>
      <c r="H37" s="111"/>
      <c r="I37" s="63" t="str">
        <f t="array" aca="1" ref="I37" ca="1">IFERROR(IF(tblRegister[[#This Row],[OUT Token]]=DefCurrency,tblRegister[[#This Row],[OUT Quantity]],
      SUMPRODUCT($J$3:J36,
      IF(IF($E$3:E36 = tblRegister[[#This Row],[OUT Token]],tblRegister[[#This Row],[OUT Quantity]]-$L$3:L36+tblRegister[[#This Row],[OUT Total Before Sale]]+$F$3:F36,0)  &gt; IF(ISERROR(IF($E$3:E36 = tblRegister[[#This Row],[OUT Token]],$L$3:L36,N/A)-tblRegister[[#This Row],[OUT Total Before Sale]]),0,
            IF(IF($E$3:E36 = tblRegister[[#This Row],[OUT Token]],$L$3:L36,N/A)-tblRegister[[#This Row],[OUT Total Before Sale]]&lt;0,0,
                  IF(IF($E$3:E36 = tblRegister[[#This Row],[OUT Token]],$L$3:L36,tblRegister[[#This Row],[OUT Total Before Sale]])-tblRegister[[#This Row],[OUT Total Before Sale]]&lt;IF($E$3:E36 = tblRegister[[#This Row],[OUT Token]],$F$3:F36,0),
                        IF($E$3:E36 = tblRegister[[#This Row],[OUT Token]],$L$3:L36 - tblRegister[[#This Row],[OUT Total Before Sale]],0),
                        IF($E$3:E36 = tblRegister[[#This Row],[OUT Token]],$F$3:F36,0)
                  )
            )
      ),
     IF(ISERROR(IF($E$3:E36 = tblRegister[[#This Row],[OUT Token]],$L$3:L36,N/A)-tblRegister[[#This Row],[OUT Total Before Sale]]),0,
            IF(IF($E$3:E36 = tblRegister[[#This Row],[OUT Token]],$L$3:L36,N/A)-tblRegister[[#This Row],[OUT Total Before Sale]]&lt;0,0,
                  IF(IF($E$3:E36 = tblRegister[[#This Row],[OUT Token]],$L$3:L36,tblRegister[[#This Row],[OUT Total Before Sale]])-tblRegister[[#This Row],[OUT Total Before Sale]]&lt;IF($E$3:E36 = tblRegister[[#This Row],[OUT Token]],$F$3:F36,0),
                        IF($E$3:E36 = tblRegister[[#This Row],[OUT Token]],$L$3:L36 - tblRegister[[#This Row],[OUT Total Before Sale]],0),
                        IF($E$3:E36 = tblRegister[[#This Row],[OUT Token]],$F$3:F36,0)
                  )
            )
      ),
      IF(IF($E$3:E36 = tblRegister[[#This Row],[OUT Token]],tblRegister[[#This Row],[OUT Quantity]]-$L$3:L36+tblRegister[[#This Row],[OUT Total Before Sale]]+$F$3:F36,1) &lt;0,0,
           IF($E$3:E36 = tblRegister[[#This Row],[OUT Token]],tblRegister[[#This Row],[OUT Quantity]]-$L$3:L36+tblRegister[[#This Row],[OUT Total Before Sale]]+$F$3:F36,0)))))/tblRegister[[#This Row],[OUT Quantity]],"")</f>
        <v/>
      </c>
      <c r="J37" s="63" t="str">
        <f ca="1">IFERROR(tblRegister[[#This Row],[OUT Book Price]]*tblRegister[[#This Row],[OUT Quantity]]/tblRegister[[#This Row],[IN Quantity]],"")</f>
        <v/>
      </c>
      <c r="K37" s="63" t="str">
        <f>IFERROR(IF(tblRegister[[#This Row],[IN Token]]=DefCurrency,tblRegister[[#This Row],[IN Quantity]]*(1-tblRegister[[#This Row],[IN Price]]),""),"")</f>
        <v/>
      </c>
      <c r="L37" s="52" t="str">
        <f t="array" aca="1" ref="L3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7" s="52" t="str">
        <f t="array" ref="N37">IF(tblRegister[[#This Row],[Batch]]="","",tblRegister[[#This Row],[OUT Total After Sale]]-tblRegister[[#This Row],[OUT Quantity]])</f>
        <v/>
      </c>
      <c r="O37" s="53" t="str">
        <f t="array" aca="1" ref="O3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8" spans="2:15" x14ac:dyDescent="0.25">
      <c r="B38" s="50">
        <f>ROW()-ROW(tblRegister[[#Headers],[Ind]])</f>
        <v>35</v>
      </c>
      <c r="C38" s="60" t="str">
        <f>IF(ISBLANK(tblRegister[[#This Row],[IN Token]]),"",tblRegister[[#This Row],[Ind]])</f>
        <v/>
      </c>
      <c r="D38" s="118"/>
      <c r="E38" s="51"/>
      <c r="F38" s="111"/>
      <c r="G38" s="51"/>
      <c r="H38" s="111"/>
      <c r="I38" s="63" t="str">
        <f t="array" aca="1" ref="I38" ca="1">IFERROR(IF(tblRegister[[#This Row],[OUT Token]]=DefCurrency,tblRegister[[#This Row],[OUT Quantity]],
      SUMPRODUCT($J$3:J37,
      IF(IF($E$3:E37 = tblRegister[[#This Row],[OUT Token]],tblRegister[[#This Row],[OUT Quantity]]-$L$3:L37+tblRegister[[#This Row],[OUT Total Before Sale]]+$F$3:F37,0)  &gt; IF(ISERROR(IF($E$3:E37 = tblRegister[[#This Row],[OUT Token]],$L$3:L37,N/A)-tblRegister[[#This Row],[OUT Total Before Sale]]),0,
            IF(IF($E$3:E37 = tblRegister[[#This Row],[OUT Token]],$L$3:L37,N/A)-tblRegister[[#This Row],[OUT Total Before Sale]]&lt;0,0,
                  IF(IF($E$3:E37 = tblRegister[[#This Row],[OUT Token]],$L$3:L37,tblRegister[[#This Row],[OUT Total Before Sale]])-tblRegister[[#This Row],[OUT Total Before Sale]]&lt;IF($E$3:E37 = tblRegister[[#This Row],[OUT Token]],$F$3:F37,0),
                        IF($E$3:E37 = tblRegister[[#This Row],[OUT Token]],$L$3:L37 - tblRegister[[#This Row],[OUT Total Before Sale]],0),
                        IF($E$3:E37 = tblRegister[[#This Row],[OUT Token]],$F$3:F37,0)
                  )
            )
      ),
     IF(ISERROR(IF($E$3:E37 = tblRegister[[#This Row],[OUT Token]],$L$3:L37,N/A)-tblRegister[[#This Row],[OUT Total Before Sale]]),0,
            IF(IF($E$3:E37 = tblRegister[[#This Row],[OUT Token]],$L$3:L37,N/A)-tblRegister[[#This Row],[OUT Total Before Sale]]&lt;0,0,
                  IF(IF($E$3:E37 = tblRegister[[#This Row],[OUT Token]],$L$3:L37,tblRegister[[#This Row],[OUT Total Before Sale]])-tblRegister[[#This Row],[OUT Total Before Sale]]&lt;IF($E$3:E37 = tblRegister[[#This Row],[OUT Token]],$F$3:F37,0),
                        IF($E$3:E37 = tblRegister[[#This Row],[OUT Token]],$L$3:L37 - tblRegister[[#This Row],[OUT Total Before Sale]],0),
                        IF($E$3:E37 = tblRegister[[#This Row],[OUT Token]],$F$3:F37,0)
                  )
            )
      ),
      IF(IF($E$3:E37 = tblRegister[[#This Row],[OUT Token]],tblRegister[[#This Row],[OUT Quantity]]-$L$3:L37+tblRegister[[#This Row],[OUT Total Before Sale]]+$F$3:F37,1) &lt;0,0,
           IF($E$3:E37 = tblRegister[[#This Row],[OUT Token]],tblRegister[[#This Row],[OUT Quantity]]-$L$3:L37+tblRegister[[#This Row],[OUT Total Before Sale]]+$F$3:F37,0)))))/tblRegister[[#This Row],[OUT Quantity]],"")</f>
        <v/>
      </c>
      <c r="J38" s="63" t="str">
        <f ca="1">IFERROR(tblRegister[[#This Row],[OUT Book Price]]*tblRegister[[#This Row],[OUT Quantity]]/tblRegister[[#This Row],[IN Quantity]],"")</f>
        <v/>
      </c>
      <c r="K38" s="63" t="str">
        <f>IFERROR(IF(tblRegister[[#This Row],[IN Token]]=DefCurrency,tblRegister[[#This Row],[IN Quantity]]*(1-tblRegister[[#This Row],[IN Price]]),""),"")</f>
        <v/>
      </c>
      <c r="L38" s="52" t="str">
        <f t="array" aca="1" ref="L3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8" s="52" t="str">
        <f t="array" ref="N38">IF(tblRegister[[#This Row],[Batch]]="","",tblRegister[[#This Row],[OUT Total After Sale]]-tblRegister[[#This Row],[OUT Quantity]])</f>
        <v/>
      </c>
      <c r="O38" s="53" t="str">
        <f t="array" aca="1" ref="O3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39" spans="2:15" x14ac:dyDescent="0.25">
      <c r="B39" s="50">
        <f>ROW()-ROW(tblRegister[[#Headers],[Ind]])</f>
        <v>36</v>
      </c>
      <c r="C39" s="60" t="str">
        <f>IF(ISBLANK(tblRegister[[#This Row],[IN Token]]),"",tblRegister[[#This Row],[Ind]])</f>
        <v/>
      </c>
      <c r="D39" s="118"/>
      <c r="E39" s="51"/>
      <c r="F39" s="111"/>
      <c r="G39" s="51"/>
      <c r="H39" s="111"/>
      <c r="I39" s="63" t="str">
        <f t="array" aca="1" ref="I39" ca="1">IFERROR(IF(tblRegister[[#This Row],[OUT Token]]=DefCurrency,tblRegister[[#This Row],[OUT Quantity]],
      SUMPRODUCT($J$3:J38,
      IF(IF($E$3:E38 = tblRegister[[#This Row],[OUT Token]],tblRegister[[#This Row],[OUT Quantity]]-$L$3:L38+tblRegister[[#This Row],[OUT Total Before Sale]]+$F$3:F38,0)  &gt; IF(ISERROR(IF($E$3:E38 = tblRegister[[#This Row],[OUT Token]],$L$3:L38,N/A)-tblRegister[[#This Row],[OUT Total Before Sale]]),0,
            IF(IF($E$3:E38 = tblRegister[[#This Row],[OUT Token]],$L$3:L38,N/A)-tblRegister[[#This Row],[OUT Total Before Sale]]&lt;0,0,
                  IF(IF($E$3:E38 = tblRegister[[#This Row],[OUT Token]],$L$3:L38,tblRegister[[#This Row],[OUT Total Before Sale]])-tblRegister[[#This Row],[OUT Total Before Sale]]&lt;IF($E$3:E38 = tblRegister[[#This Row],[OUT Token]],$F$3:F38,0),
                        IF($E$3:E38 = tblRegister[[#This Row],[OUT Token]],$L$3:L38 - tblRegister[[#This Row],[OUT Total Before Sale]],0),
                        IF($E$3:E38 = tblRegister[[#This Row],[OUT Token]],$F$3:F38,0)
                  )
            )
      ),
     IF(ISERROR(IF($E$3:E38 = tblRegister[[#This Row],[OUT Token]],$L$3:L38,N/A)-tblRegister[[#This Row],[OUT Total Before Sale]]),0,
            IF(IF($E$3:E38 = tblRegister[[#This Row],[OUT Token]],$L$3:L38,N/A)-tblRegister[[#This Row],[OUT Total Before Sale]]&lt;0,0,
                  IF(IF($E$3:E38 = tblRegister[[#This Row],[OUT Token]],$L$3:L38,tblRegister[[#This Row],[OUT Total Before Sale]])-tblRegister[[#This Row],[OUT Total Before Sale]]&lt;IF($E$3:E38 = tblRegister[[#This Row],[OUT Token]],$F$3:F38,0),
                        IF($E$3:E38 = tblRegister[[#This Row],[OUT Token]],$L$3:L38 - tblRegister[[#This Row],[OUT Total Before Sale]],0),
                        IF($E$3:E38 = tblRegister[[#This Row],[OUT Token]],$F$3:F38,0)
                  )
            )
      ),
      IF(IF($E$3:E38 = tblRegister[[#This Row],[OUT Token]],tblRegister[[#This Row],[OUT Quantity]]-$L$3:L38+tblRegister[[#This Row],[OUT Total Before Sale]]+$F$3:F38,1) &lt;0,0,
           IF($E$3:E38 = tblRegister[[#This Row],[OUT Token]],tblRegister[[#This Row],[OUT Quantity]]-$L$3:L38+tblRegister[[#This Row],[OUT Total Before Sale]]+$F$3:F38,0)))))/tblRegister[[#This Row],[OUT Quantity]],"")</f>
        <v/>
      </c>
      <c r="J39" s="63" t="str">
        <f ca="1">IFERROR(tblRegister[[#This Row],[OUT Book Price]]*tblRegister[[#This Row],[OUT Quantity]]/tblRegister[[#This Row],[IN Quantity]],"")</f>
        <v/>
      </c>
      <c r="K39" s="63" t="str">
        <f>IFERROR(IF(tblRegister[[#This Row],[IN Token]]=DefCurrency,tblRegister[[#This Row],[IN Quantity]]*(1-tblRegister[[#This Row],[IN Price]]),""),"")</f>
        <v/>
      </c>
      <c r="L39" s="52" t="str">
        <f t="array" aca="1" ref="L3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3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39" s="52" t="str">
        <f t="array" ref="N39">IF(tblRegister[[#This Row],[Batch]]="","",tblRegister[[#This Row],[OUT Total After Sale]]-tblRegister[[#This Row],[OUT Quantity]])</f>
        <v/>
      </c>
      <c r="O39" s="53" t="str">
        <f t="array" aca="1" ref="O3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0" spans="2:15" x14ac:dyDescent="0.25">
      <c r="B40" s="50">
        <f>ROW()-ROW(tblRegister[[#Headers],[Ind]])</f>
        <v>37</v>
      </c>
      <c r="C40" s="60" t="str">
        <f>IF(ISBLANK(tblRegister[[#This Row],[IN Token]]),"",tblRegister[[#This Row],[Ind]])</f>
        <v/>
      </c>
      <c r="D40" s="118"/>
      <c r="E40" s="51"/>
      <c r="F40" s="111"/>
      <c r="G40" s="51"/>
      <c r="H40" s="111"/>
      <c r="I40" s="63" t="str">
        <f t="array" aca="1" ref="I40" ca="1">IFERROR(IF(tblRegister[[#This Row],[OUT Token]]=DefCurrency,tblRegister[[#This Row],[OUT Quantity]],
      SUMPRODUCT($J$3:J39,
      IF(IF($E$3:E39 = tblRegister[[#This Row],[OUT Token]],tblRegister[[#This Row],[OUT Quantity]]-$L$3:L39+tblRegister[[#This Row],[OUT Total Before Sale]]+$F$3:F39,0)  &gt; IF(ISERROR(IF($E$3:E39 = tblRegister[[#This Row],[OUT Token]],$L$3:L39,N/A)-tblRegister[[#This Row],[OUT Total Before Sale]]),0,
            IF(IF($E$3:E39 = tblRegister[[#This Row],[OUT Token]],$L$3:L39,N/A)-tblRegister[[#This Row],[OUT Total Before Sale]]&lt;0,0,
                  IF(IF($E$3:E39 = tblRegister[[#This Row],[OUT Token]],$L$3:L39,tblRegister[[#This Row],[OUT Total Before Sale]])-tblRegister[[#This Row],[OUT Total Before Sale]]&lt;IF($E$3:E39 = tblRegister[[#This Row],[OUT Token]],$F$3:F39,0),
                        IF($E$3:E39 = tblRegister[[#This Row],[OUT Token]],$L$3:L39 - tblRegister[[#This Row],[OUT Total Before Sale]],0),
                        IF($E$3:E39 = tblRegister[[#This Row],[OUT Token]],$F$3:F39,0)
                  )
            )
      ),
     IF(ISERROR(IF($E$3:E39 = tblRegister[[#This Row],[OUT Token]],$L$3:L39,N/A)-tblRegister[[#This Row],[OUT Total Before Sale]]),0,
            IF(IF($E$3:E39 = tblRegister[[#This Row],[OUT Token]],$L$3:L39,N/A)-tblRegister[[#This Row],[OUT Total Before Sale]]&lt;0,0,
                  IF(IF($E$3:E39 = tblRegister[[#This Row],[OUT Token]],$L$3:L39,tblRegister[[#This Row],[OUT Total Before Sale]])-tblRegister[[#This Row],[OUT Total Before Sale]]&lt;IF($E$3:E39 = tblRegister[[#This Row],[OUT Token]],$F$3:F39,0),
                        IF($E$3:E39 = tblRegister[[#This Row],[OUT Token]],$L$3:L39 - tblRegister[[#This Row],[OUT Total Before Sale]],0),
                        IF($E$3:E39 = tblRegister[[#This Row],[OUT Token]],$F$3:F39,0)
                  )
            )
      ),
      IF(IF($E$3:E39 = tblRegister[[#This Row],[OUT Token]],tblRegister[[#This Row],[OUT Quantity]]-$L$3:L39+tblRegister[[#This Row],[OUT Total Before Sale]]+$F$3:F39,1) &lt;0,0,
           IF($E$3:E39 = tblRegister[[#This Row],[OUT Token]],tblRegister[[#This Row],[OUT Quantity]]-$L$3:L39+tblRegister[[#This Row],[OUT Total Before Sale]]+$F$3:F39,0)))))/tblRegister[[#This Row],[OUT Quantity]],"")</f>
        <v/>
      </c>
      <c r="J40" s="63" t="str">
        <f ca="1">IFERROR(tblRegister[[#This Row],[OUT Book Price]]*tblRegister[[#This Row],[OUT Quantity]]/tblRegister[[#This Row],[IN Quantity]],"")</f>
        <v/>
      </c>
      <c r="K40" s="63" t="str">
        <f>IFERROR(IF(tblRegister[[#This Row],[IN Token]]=DefCurrency,tblRegister[[#This Row],[IN Quantity]]*(1-tblRegister[[#This Row],[IN Price]]),""),"")</f>
        <v/>
      </c>
      <c r="L40" s="52" t="str">
        <f t="array" aca="1" ref="L4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0" s="52" t="str">
        <f t="array" ref="N40">IF(tblRegister[[#This Row],[Batch]]="","",tblRegister[[#This Row],[OUT Total After Sale]]-tblRegister[[#This Row],[OUT Quantity]])</f>
        <v/>
      </c>
      <c r="O40" s="53" t="str">
        <f t="array" aca="1" ref="O4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1" spans="2:15" x14ac:dyDescent="0.25">
      <c r="B41" s="50">
        <f>ROW()-ROW(tblRegister[[#Headers],[Ind]])</f>
        <v>38</v>
      </c>
      <c r="C41" s="60" t="str">
        <f>IF(ISBLANK(tblRegister[[#This Row],[IN Token]]),"",tblRegister[[#This Row],[Ind]])</f>
        <v/>
      </c>
      <c r="D41" s="118"/>
      <c r="E41" s="51"/>
      <c r="F41" s="111"/>
      <c r="G41" s="51"/>
      <c r="H41" s="111"/>
      <c r="I41" s="63" t="str">
        <f t="array" aca="1" ref="I41" ca="1">IFERROR(IF(tblRegister[[#This Row],[OUT Token]]=DefCurrency,tblRegister[[#This Row],[OUT Quantity]],
      SUMPRODUCT($J$3:J40,
      IF(IF($E$3:E40 = tblRegister[[#This Row],[OUT Token]],tblRegister[[#This Row],[OUT Quantity]]-$L$3:L40+tblRegister[[#This Row],[OUT Total Before Sale]]+$F$3:F40,0)  &gt; IF(ISERROR(IF($E$3:E40 = tblRegister[[#This Row],[OUT Token]],$L$3:L40,N/A)-tblRegister[[#This Row],[OUT Total Before Sale]]),0,
            IF(IF($E$3:E40 = tblRegister[[#This Row],[OUT Token]],$L$3:L40,N/A)-tblRegister[[#This Row],[OUT Total Before Sale]]&lt;0,0,
                  IF(IF($E$3:E40 = tblRegister[[#This Row],[OUT Token]],$L$3:L40,tblRegister[[#This Row],[OUT Total Before Sale]])-tblRegister[[#This Row],[OUT Total Before Sale]]&lt;IF($E$3:E40 = tblRegister[[#This Row],[OUT Token]],$F$3:F40,0),
                        IF($E$3:E40 = tblRegister[[#This Row],[OUT Token]],$L$3:L40 - tblRegister[[#This Row],[OUT Total Before Sale]],0),
                        IF($E$3:E40 = tblRegister[[#This Row],[OUT Token]],$F$3:F40,0)
                  )
            )
      ),
     IF(ISERROR(IF($E$3:E40 = tblRegister[[#This Row],[OUT Token]],$L$3:L40,N/A)-tblRegister[[#This Row],[OUT Total Before Sale]]),0,
            IF(IF($E$3:E40 = tblRegister[[#This Row],[OUT Token]],$L$3:L40,N/A)-tblRegister[[#This Row],[OUT Total Before Sale]]&lt;0,0,
                  IF(IF($E$3:E40 = tblRegister[[#This Row],[OUT Token]],$L$3:L40,tblRegister[[#This Row],[OUT Total Before Sale]])-tblRegister[[#This Row],[OUT Total Before Sale]]&lt;IF($E$3:E40 = tblRegister[[#This Row],[OUT Token]],$F$3:F40,0),
                        IF($E$3:E40 = tblRegister[[#This Row],[OUT Token]],$L$3:L40 - tblRegister[[#This Row],[OUT Total Before Sale]],0),
                        IF($E$3:E40 = tblRegister[[#This Row],[OUT Token]],$F$3:F40,0)
                  )
            )
      ),
      IF(IF($E$3:E40 = tblRegister[[#This Row],[OUT Token]],tblRegister[[#This Row],[OUT Quantity]]-$L$3:L40+tblRegister[[#This Row],[OUT Total Before Sale]]+$F$3:F40,1) &lt;0,0,
           IF($E$3:E40 = tblRegister[[#This Row],[OUT Token]],tblRegister[[#This Row],[OUT Quantity]]-$L$3:L40+tblRegister[[#This Row],[OUT Total Before Sale]]+$F$3:F40,0)))))/tblRegister[[#This Row],[OUT Quantity]],"")</f>
        <v/>
      </c>
      <c r="J41" s="63" t="str">
        <f ca="1">IFERROR(tblRegister[[#This Row],[OUT Book Price]]*tblRegister[[#This Row],[OUT Quantity]]/tblRegister[[#This Row],[IN Quantity]],"")</f>
        <v/>
      </c>
      <c r="K41" s="63" t="str">
        <f>IFERROR(IF(tblRegister[[#This Row],[IN Token]]=DefCurrency,tblRegister[[#This Row],[IN Quantity]]*(1-tblRegister[[#This Row],[IN Price]]),""),"")</f>
        <v/>
      </c>
      <c r="L41" s="52" t="str">
        <f t="array" aca="1" ref="L4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1" s="52" t="str">
        <f t="array" ref="N41">IF(tblRegister[[#This Row],[Batch]]="","",tblRegister[[#This Row],[OUT Total After Sale]]-tblRegister[[#This Row],[OUT Quantity]])</f>
        <v/>
      </c>
      <c r="O41" s="53" t="str">
        <f t="array" aca="1" ref="O4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2" spans="2:15" x14ac:dyDescent="0.25">
      <c r="B42" s="50">
        <f>ROW()-ROW(tblRegister[[#Headers],[Ind]])</f>
        <v>39</v>
      </c>
      <c r="C42" s="60" t="str">
        <f>IF(ISBLANK(tblRegister[[#This Row],[IN Token]]),"",tblRegister[[#This Row],[Ind]])</f>
        <v/>
      </c>
      <c r="D42" s="118"/>
      <c r="E42" s="51"/>
      <c r="F42" s="111"/>
      <c r="G42" s="51"/>
      <c r="H42" s="111"/>
      <c r="I42" s="63" t="str">
        <f t="array" aca="1" ref="I42" ca="1">IFERROR(IF(tblRegister[[#This Row],[OUT Token]]=DefCurrency,tblRegister[[#This Row],[OUT Quantity]],
      SUMPRODUCT($J$3:J41,
      IF(IF($E$3:E41 = tblRegister[[#This Row],[OUT Token]],tblRegister[[#This Row],[OUT Quantity]]-$L$3:L41+tblRegister[[#This Row],[OUT Total Before Sale]]+$F$3:F41,0)  &gt; IF(ISERROR(IF($E$3:E41 = tblRegister[[#This Row],[OUT Token]],$L$3:L41,N/A)-tblRegister[[#This Row],[OUT Total Before Sale]]),0,
            IF(IF($E$3:E41 = tblRegister[[#This Row],[OUT Token]],$L$3:L41,N/A)-tblRegister[[#This Row],[OUT Total Before Sale]]&lt;0,0,
                  IF(IF($E$3:E41 = tblRegister[[#This Row],[OUT Token]],$L$3:L41,tblRegister[[#This Row],[OUT Total Before Sale]])-tblRegister[[#This Row],[OUT Total Before Sale]]&lt;IF($E$3:E41 = tblRegister[[#This Row],[OUT Token]],$F$3:F41,0),
                        IF($E$3:E41 = tblRegister[[#This Row],[OUT Token]],$L$3:L41 - tblRegister[[#This Row],[OUT Total Before Sale]],0),
                        IF($E$3:E41 = tblRegister[[#This Row],[OUT Token]],$F$3:F41,0)
                  )
            )
      ),
     IF(ISERROR(IF($E$3:E41 = tblRegister[[#This Row],[OUT Token]],$L$3:L41,N/A)-tblRegister[[#This Row],[OUT Total Before Sale]]),0,
            IF(IF($E$3:E41 = tblRegister[[#This Row],[OUT Token]],$L$3:L41,N/A)-tblRegister[[#This Row],[OUT Total Before Sale]]&lt;0,0,
                  IF(IF($E$3:E41 = tblRegister[[#This Row],[OUT Token]],$L$3:L41,tblRegister[[#This Row],[OUT Total Before Sale]])-tblRegister[[#This Row],[OUT Total Before Sale]]&lt;IF($E$3:E41 = tblRegister[[#This Row],[OUT Token]],$F$3:F41,0),
                        IF($E$3:E41 = tblRegister[[#This Row],[OUT Token]],$L$3:L41 - tblRegister[[#This Row],[OUT Total Before Sale]],0),
                        IF($E$3:E41 = tblRegister[[#This Row],[OUT Token]],$F$3:F41,0)
                  )
            )
      ),
      IF(IF($E$3:E41 = tblRegister[[#This Row],[OUT Token]],tblRegister[[#This Row],[OUT Quantity]]-$L$3:L41+tblRegister[[#This Row],[OUT Total Before Sale]]+$F$3:F41,1) &lt;0,0,
           IF($E$3:E41 = tblRegister[[#This Row],[OUT Token]],tblRegister[[#This Row],[OUT Quantity]]-$L$3:L41+tblRegister[[#This Row],[OUT Total Before Sale]]+$F$3:F41,0)))))/tblRegister[[#This Row],[OUT Quantity]],"")</f>
        <v/>
      </c>
      <c r="J42" s="63" t="str">
        <f ca="1">IFERROR(tblRegister[[#This Row],[OUT Book Price]]*tblRegister[[#This Row],[OUT Quantity]]/tblRegister[[#This Row],[IN Quantity]],"")</f>
        <v/>
      </c>
      <c r="K42" s="63" t="str">
        <f>IFERROR(IF(tblRegister[[#This Row],[IN Token]]=DefCurrency,tblRegister[[#This Row],[IN Quantity]]*(1-tblRegister[[#This Row],[IN Price]]),""),"")</f>
        <v/>
      </c>
      <c r="L42" s="52" t="str">
        <f t="array" aca="1" ref="L4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2" s="52" t="str">
        <f t="array" ref="N42">IF(tblRegister[[#This Row],[Batch]]="","",tblRegister[[#This Row],[OUT Total After Sale]]-tblRegister[[#This Row],[OUT Quantity]])</f>
        <v/>
      </c>
      <c r="O42" s="53" t="str">
        <f t="array" aca="1" ref="O4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3" spans="2:15" x14ac:dyDescent="0.25">
      <c r="B43" s="50">
        <f>ROW()-ROW(tblRegister[[#Headers],[Ind]])</f>
        <v>40</v>
      </c>
      <c r="C43" s="60" t="str">
        <f>IF(ISBLANK(tblRegister[[#This Row],[IN Token]]),"",tblRegister[[#This Row],[Ind]])</f>
        <v/>
      </c>
      <c r="D43" s="118"/>
      <c r="E43" s="51"/>
      <c r="F43" s="111"/>
      <c r="G43" s="51"/>
      <c r="H43" s="111"/>
      <c r="I43" s="63" t="str">
        <f t="array" aca="1" ref="I43" ca="1">IFERROR(IF(tblRegister[[#This Row],[OUT Token]]=DefCurrency,tblRegister[[#This Row],[OUT Quantity]],
      SUMPRODUCT($J$3:J42,
      IF(IF($E$3:E42 = tblRegister[[#This Row],[OUT Token]],tblRegister[[#This Row],[OUT Quantity]]-$L$3:L42+tblRegister[[#This Row],[OUT Total Before Sale]]+$F$3:F42,0)  &gt; IF(ISERROR(IF($E$3:E42 = tblRegister[[#This Row],[OUT Token]],$L$3:L42,N/A)-tblRegister[[#This Row],[OUT Total Before Sale]]),0,
            IF(IF($E$3:E42 = tblRegister[[#This Row],[OUT Token]],$L$3:L42,N/A)-tblRegister[[#This Row],[OUT Total Before Sale]]&lt;0,0,
                  IF(IF($E$3:E42 = tblRegister[[#This Row],[OUT Token]],$L$3:L42,tblRegister[[#This Row],[OUT Total Before Sale]])-tblRegister[[#This Row],[OUT Total Before Sale]]&lt;IF($E$3:E42 = tblRegister[[#This Row],[OUT Token]],$F$3:F42,0),
                        IF($E$3:E42 = tblRegister[[#This Row],[OUT Token]],$L$3:L42 - tblRegister[[#This Row],[OUT Total Before Sale]],0),
                        IF($E$3:E42 = tblRegister[[#This Row],[OUT Token]],$F$3:F42,0)
                  )
            )
      ),
     IF(ISERROR(IF($E$3:E42 = tblRegister[[#This Row],[OUT Token]],$L$3:L42,N/A)-tblRegister[[#This Row],[OUT Total Before Sale]]),0,
            IF(IF($E$3:E42 = tblRegister[[#This Row],[OUT Token]],$L$3:L42,N/A)-tblRegister[[#This Row],[OUT Total Before Sale]]&lt;0,0,
                  IF(IF($E$3:E42 = tblRegister[[#This Row],[OUT Token]],$L$3:L42,tblRegister[[#This Row],[OUT Total Before Sale]])-tblRegister[[#This Row],[OUT Total Before Sale]]&lt;IF($E$3:E42 = tblRegister[[#This Row],[OUT Token]],$F$3:F42,0),
                        IF($E$3:E42 = tblRegister[[#This Row],[OUT Token]],$L$3:L42 - tblRegister[[#This Row],[OUT Total Before Sale]],0),
                        IF($E$3:E42 = tblRegister[[#This Row],[OUT Token]],$F$3:F42,0)
                  )
            )
      ),
      IF(IF($E$3:E42 = tblRegister[[#This Row],[OUT Token]],tblRegister[[#This Row],[OUT Quantity]]-$L$3:L42+tblRegister[[#This Row],[OUT Total Before Sale]]+$F$3:F42,1) &lt;0,0,
           IF($E$3:E42 = tblRegister[[#This Row],[OUT Token]],tblRegister[[#This Row],[OUT Quantity]]-$L$3:L42+tblRegister[[#This Row],[OUT Total Before Sale]]+$F$3:F42,0)))))/tblRegister[[#This Row],[OUT Quantity]],"")</f>
        <v/>
      </c>
      <c r="J43" s="63" t="str">
        <f ca="1">IFERROR(tblRegister[[#This Row],[OUT Book Price]]*tblRegister[[#This Row],[OUT Quantity]]/tblRegister[[#This Row],[IN Quantity]],"")</f>
        <v/>
      </c>
      <c r="K43" s="63" t="str">
        <f>IFERROR(IF(tblRegister[[#This Row],[IN Token]]=DefCurrency,tblRegister[[#This Row],[IN Quantity]]*(1-tblRegister[[#This Row],[IN Price]]),""),"")</f>
        <v/>
      </c>
      <c r="L43" s="52" t="str">
        <f t="array" aca="1" ref="L4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3" s="52" t="str">
        <f t="array" ref="N43">IF(tblRegister[[#This Row],[Batch]]="","",tblRegister[[#This Row],[OUT Total After Sale]]-tblRegister[[#This Row],[OUT Quantity]])</f>
        <v/>
      </c>
      <c r="O43" s="53" t="str">
        <f t="array" aca="1" ref="O4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4" spans="2:15" x14ac:dyDescent="0.25">
      <c r="B44" s="50">
        <f>ROW()-ROW(tblRegister[[#Headers],[Ind]])</f>
        <v>41</v>
      </c>
      <c r="C44" s="60" t="str">
        <f>IF(ISBLANK(tblRegister[[#This Row],[IN Token]]),"",tblRegister[[#This Row],[Ind]])</f>
        <v/>
      </c>
      <c r="D44" s="118"/>
      <c r="E44" s="51"/>
      <c r="F44" s="111"/>
      <c r="G44" s="51"/>
      <c r="H44" s="111"/>
      <c r="I44" s="63" t="str">
        <f t="array" aca="1" ref="I44" ca="1">IFERROR(IF(tblRegister[[#This Row],[OUT Token]]=DefCurrency,tblRegister[[#This Row],[OUT Quantity]],
      SUMPRODUCT($J$3:J43,
      IF(IF($E$3:E43 = tblRegister[[#This Row],[OUT Token]],tblRegister[[#This Row],[OUT Quantity]]-$L$3:L43+tblRegister[[#This Row],[OUT Total Before Sale]]+$F$3:F43,0)  &gt; IF(ISERROR(IF($E$3:E43 = tblRegister[[#This Row],[OUT Token]],$L$3:L43,N/A)-tblRegister[[#This Row],[OUT Total Before Sale]]),0,
            IF(IF($E$3:E43 = tblRegister[[#This Row],[OUT Token]],$L$3:L43,N/A)-tblRegister[[#This Row],[OUT Total Before Sale]]&lt;0,0,
                  IF(IF($E$3:E43 = tblRegister[[#This Row],[OUT Token]],$L$3:L43,tblRegister[[#This Row],[OUT Total Before Sale]])-tblRegister[[#This Row],[OUT Total Before Sale]]&lt;IF($E$3:E43 = tblRegister[[#This Row],[OUT Token]],$F$3:F43,0),
                        IF($E$3:E43 = tblRegister[[#This Row],[OUT Token]],$L$3:L43 - tblRegister[[#This Row],[OUT Total Before Sale]],0),
                        IF($E$3:E43 = tblRegister[[#This Row],[OUT Token]],$F$3:F43,0)
                  )
            )
      ),
     IF(ISERROR(IF($E$3:E43 = tblRegister[[#This Row],[OUT Token]],$L$3:L43,N/A)-tblRegister[[#This Row],[OUT Total Before Sale]]),0,
            IF(IF($E$3:E43 = tblRegister[[#This Row],[OUT Token]],$L$3:L43,N/A)-tblRegister[[#This Row],[OUT Total Before Sale]]&lt;0,0,
                  IF(IF($E$3:E43 = tblRegister[[#This Row],[OUT Token]],$L$3:L43,tblRegister[[#This Row],[OUT Total Before Sale]])-tblRegister[[#This Row],[OUT Total Before Sale]]&lt;IF($E$3:E43 = tblRegister[[#This Row],[OUT Token]],$F$3:F43,0),
                        IF($E$3:E43 = tblRegister[[#This Row],[OUT Token]],$L$3:L43 - tblRegister[[#This Row],[OUT Total Before Sale]],0),
                        IF($E$3:E43 = tblRegister[[#This Row],[OUT Token]],$F$3:F43,0)
                  )
            )
      ),
      IF(IF($E$3:E43 = tblRegister[[#This Row],[OUT Token]],tblRegister[[#This Row],[OUT Quantity]]-$L$3:L43+tblRegister[[#This Row],[OUT Total Before Sale]]+$F$3:F43,1) &lt;0,0,
           IF($E$3:E43 = tblRegister[[#This Row],[OUT Token]],tblRegister[[#This Row],[OUT Quantity]]-$L$3:L43+tblRegister[[#This Row],[OUT Total Before Sale]]+$F$3:F43,0)))))/tblRegister[[#This Row],[OUT Quantity]],"")</f>
        <v/>
      </c>
      <c r="J44" s="63" t="str">
        <f ca="1">IFERROR(tblRegister[[#This Row],[OUT Book Price]]*tblRegister[[#This Row],[OUT Quantity]]/tblRegister[[#This Row],[IN Quantity]],"")</f>
        <v/>
      </c>
      <c r="K44" s="63" t="str">
        <f>IFERROR(IF(tblRegister[[#This Row],[IN Token]]=DefCurrency,tblRegister[[#This Row],[IN Quantity]]*(1-tblRegister[[#This Row],[IN Price]]),""),"")</f>
        <v/>
      </c>
      <c r="L44" s="52" t="str">
        <f t="array" aca="1" ref="L4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4" s="52" t="str">
        <f t="array" ref="N44">IF(tblRegister[[#This Row],[Batch]]="","",tblRegister[[#This Row],[OUT Total After Sale]]-tblRegister[[#This Row],[OUT Quantity]])</f>
        <v/>
      </c>
      <c r="O44" s="53" t="str">
        <f t="array" aca="1" ref="O4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5" spans="2:15" x14ac:dyDescent="0.25">
      <c r="B45" s="50">
        <f>ROW()-ROW(tblRegister[[#Headers],[Ind]])</f>
        <v>42</v>
      </c>
      <c r="C45" s="60" t="str">
        <f>IF(ISBLANK(tblRegister[[#This Row],[IN Token]]),"",tblRegister[[#This Row],[Ind]])</f>
        <v/>
      </c>
      <c r="D45" s="118"/>
      <c r="E45" s="51"/>
      <c r="F45" s="111"/>
      <c r="G45" s="51"/>
      <c r="H45" s="111"/>
      <c r="I45" s="63" t="str">
        <f t="array" aca="1" ref="I45" ca="1">IFERROR(IF(tblRegister[[#This Row],[OUT Token]]=DefCurrency,tblRegister[[#This Row],[OUT Quantity]],
      SUMPRODUCT($J$3:J44,
      IF(IF($E$3:E44 = tblRegister[[#This Row],[OUT Token]],tblRegister[[#This Row],[OUT Quantity]]-$L$3:L44+tblRegister[[#This Row],[OUT Total Before Sale]]+$F$3:F44,0)  &gt; IF(ISERROR(IF($E$3:E44 = tblRegister[[#This Row],[OUT Token]],$L$3:L44,N/A)-tblRegister[[#This Row],[OUT Total Before Sale]]),0,
            IF(IF($E$3:E44 = tblRegister[[#This Row],[OUT Token]],$L$3:L44,N/A)-tblRegister[[#This Row],[OUT Total Before Sale]]&lt;0,0,
                  IF(IF($E$3:E44 = tblRegister[[#This Row],[OUT Token]],$L$3:L44,tblRegister[[#This Row],[OUT Total Before Sale]])-tblRegister[[#This Row],[OUT Total Before Sale]]&lt;IF($E$3:E44 = tblRegister[[#This Row],[OUT Token]],$F$3:F44,0),
                        IF($E$3:E44 = tblRegister[[#This Row],[OUT Token]],$L$3:L44 - tblRegister[[#This Row],[OUT Total Before Sale]],0),
                        IF($E$3:E44 = tblRegister[[#This Row],[OUT Token]],$F$3:F44,0)
                  )
            )
      ),
     IF(ISERROR(IF($E$3:E44 = tblRegister[[#This Row],[OUT Token]],$L$3:L44,N/A)-tblRegister[[#This Row],[OUT Total Before Sale]]),0,
            IF(IF($E$3:E44 = tblRegister[[#This Row],[OUT Token]],$L$3:L44,N/A)-tblRegister[[#This Row],[OUT Total Before Sale]]&lt;0,0,
                  IF(IF($E$3:E44 = tblRegister[[#This Row],[OUT Token]],$L$3:L44,tblRegister[[#This Row],[OUT Total Before Sale]])-tblRegister[[#This Row],[OUT Total Before Sale]]&lt;IF($E$3:E44 = tblRegister[[#This Row],[OUT Token]],$F$3:F44,0),
                        IF($E$3:E44 = tblRegister[[#This Row],[OUT Token]],$L$3:L44 - tblRegister[[#This Row],[OUT Total Before Sale]],0),
                        IF($E$3:E44 = tblRegister[[#This Row],[OUT Token]],$F$3:F44,0)
                  )
            )
      ),
      IF(IF($E$3:E44 = tblRegister[[#This Row],[OUT Token]],tblRegister[[#This Row],[OUT Quantity]]-$L$3:L44+tblRegister[[#This Row],[OUT Total Before Sale]]+$F$3:F44,1) &lt;0,0,
           IF($E$3:E44 = tblRegister[[#This Row],[OUT Token]],tblRegister[[#This Row],[OUT Quantity]]-$L$3:L44+tblRegister[[#This Row],[OUT Total Before Sale]]+$F$3:F44,0)))))/tblRegister[[#This Row],[OUT Quantity]],"")</f>
        <v/>
      </c>
      <c r="J45" s="63" t="str">
        <f ca="1">IFERROR(tblRegister[[#This Row],[OUT Book Price]]*tblRegister[[#This Row],[OUT Quantity]]/tblRegister[[#This Row],[IN Quantity]],"")</f>
        <v/>
      </c>
      <c r="K45" s="63" t="str">
        <f>IFERROR(IF(tblRegister[[#This Row],[IN Token]]=DefCurrency,tblRegister[[#This Row],[IN Quantity]]*(1-tblRegister[[#This Row],[IN Price]]),""),"")</f>
        <v/>
      </c>
      <c r="L45" s="52" t="str">
        <f t="array" aca="1" ref="L4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5" s="52" t="str">
        <f t="array" ref="N45">IF(tblRegister[[#This Row],[Batch]]="","",tblRegister[[#This Row],[OUT Total After Sale]]-tblRegister[[#This Row],[OUT Quantity]])</f>
        <v/>
      </c>
      <c r="O45" s="53" t="str">
        <f t="array" aca="1" ref="O4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6" spans="2:15" x14ac:dyDescent="0.25">
      <c r="B46" s="50">
        <f>ROW()-ROW(tblRegister[[#Headers],[Ind]])</f>
        <v>43</v>
      </c>
      <c r="C46" s="60" t="str">
        <f>IF(ISBLANK(tblRegister[[#This Row],[IN Token]]),"",tblRegister[[#This Row],[Ind]])</f>
        <v/>
      </c>
      <c r="D46" s="118"/>
      <c r="E46" s="51"/>
      <c r="F46" s="111"/>
      <c r="G46" s="51"/>
      <c r="H46" s="111"/>
      <c r="I46" s="63" t="str">
        <f t="array" aca="1" ref="I46" ca="1">IFERROR(IF(tblRegister[[#This Row],[OUT Token]]=DefCurrency,tblRegister[[#This Row],[OUT Quantity]],
      SUMPRODUCT($J$3:J45,
      IF(IF($E$3:E45 = tblRegister[[#This Row],[OUT Token]],tblRegister[[#This Row],[OUT Quantity]]-$L$3:L45+tblRegister[[#This Row],[OUT Total Before Sale]]+$F$3:F45,0)  &gt; IF(ISERROR(IF($E$3:E45 = tblRegister[[#This Row],[OUT Token]],$L$3:L45,N/A)-tblRegister[[#This Row],[OUT Total Before Sale]]),0,
            IF(IF($E$3:E45 = tblRegister[[#This Row],[OUT Token]],$L$3:L45,N/A)-tblRegister[[#This Row],[OUT Total Before Sale]]&lt;0,0,
                  IF(IF($E$3:E45 = tblRegister[[#This Row],[OUT Token]],$L$3:L45,tblRegister[[#This Row],[OUT Total Before Sale]])-tblRegister[[#This Row],[OUT Total Before Sale]]&lt;IF($E$3:E45 = tblRegister[[#This Row],[OUT Token]],$F$3:F45,0),
                        IF($E$3:E45 = tblRegister[[#This Row],[OUT Token]],$L$3:L45 - tblRegister[[#This Row],[OUT Total Before Sale]],0),
                        IF($E$3:E45 = tblRegister[[#This Row],[OUT Token]],$F$3:F45,0)
                  )
            )
      ),
     IF(ISERROR(IF($E$3:E45 = tblRegister[[#This Row],[OUT Token]],$L$3:L45,N/A)-tblRegister[[#This Row],[OUT Total Before Sale]]),0,
            IF(IF($E$3:E45 = tblRegister[[#This Row],[OUT Token]],$L$3:L45,N/A)-tblRegister[[#This Row],[OUT Total Before Sale]]&lt;0,0,
                  IF(IF($E$3:E45 = tblRegister[[#This Row],[OUT Token]],$L$3:L45,tblRegister[[#This Row],[OUT Total Before Sale]])-tblRegister[[#This Row],[OUT Total Before Sale]]&lt;IF($E$3:E45 = tblRegister[[#This Row],[OUT Token]],$F$3:F45,0),
                        IF($E$3:E45 = tblRegister[[#This Row],[OUT Token]],$L$3:L45 - tblRegister[[#This Row],[OUT Total Before Sale]],0),
                        IF($E$3:E45 = tblRegister[[#This Row],[OUT Token]],$F$3:F45,0)
                  )
            )
      ),
      IF(IF($E$3:E45 = tblRegister[[#This Row],[OUT Token]],tblRegister[[#This Row],[OUT Quantity]]-$L$3:L45+tblRegister[[#This Row],[OUT Total Before Sale]]+$F$3:F45,1) &lt;0,0,
           IF($E$3:E45 = tblRegister[[#This Row],[OUT Token]],tblRegister[[#This Row],[OUT Quantity]]-$L$3:L45+tblRegister[[#This Row],[OUT Total Before Sale]]+$F$3:F45,0)))))/tblRegister[[#This Row],[OUT Quantity]],"")</f>
        <v/>
      </c>
      <c r="J46" s="63" t="str">
        <f ca="1">IFERROR(tblRegister[[#This Row],[OUT Book Price]]*tblRegister[[#This Row],[OUT Quantity]]/tblRegister[[#This Row],[IN Quantity]],"")</f>
        <v/>
      </c>
      <c r="K46" s="63" t="str">
        <f>IFERROR(IF(tblRegister[[#This Row],[IN Token]]=DefCurrency,tblRegister[[#This Row],[IN Quantity]]*(1-tblRegister[[#This Row],[IN Price]]),""),"")</f>
        <v/>
      </c>
      <c r="L46" s="52" t="str">
        <f t="array" aca="1" ref="L4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6" s="52" t="str">
        <f t="array" ref="N46">IF(tblRegister[[#This Row],[Batch]]="","",tblRegister[[#This Row],[OUT Total After Sale]]-tblRegister[[#This Row],[OUT Quantity]])</f>
        <v/>
      </c>
      <c r="O46" s="53" t="str">
        <f t="array" aca="1" ref="O4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7" spans="2:15" x14ac:dyDescent="0.25">
      <c r="B47" s="50">
        <f>ROW()-ROW(tblRegister[[#Headers],[Ind]])</f>
        <v>44</v>
      </c>
      <c r="C47" s="60" t="str">
        <f>IF(ISBLANK(tblRegister[[#This Row],[IN Token]]),"",tblRegister[[#This Row],[Ind]])</f>
        <v/>
      </c>
      <c r="D47" s="118"/>
      <c r="E47" s="51"/>
      <c r="F47" s="111"/>
      <c r="G47" s="51"/>
      <c r="H47" s="111"/>
      <c r="I47" s="63" t="str">
        <f t="array" aca="1" ref="I47" ca="1">IFERROR(IF(tblRegister[[#This Row],[OUT Token]]=DefCurrency,tblRegister[[#This Row],[OUT Quantity]],
      SUMPRODUCT($J$3:J46,
      IF(IF($E$3:E46 = tblRegister[[#This Row],[OUT Token]],tblRegister[[#This Row],[OUT Quantity]]-$L$3:L46+tblRegister[[#This Row],[OUT Total Before Sale]]+$F$3:F46,0)  &gt; IF(ISERROR(IF($E$3:E46 = tblRegister[[#This Row],[OUT Token]],$L$3:L46,N/A)-tblRegister[[#This Row],[OUT Total Before Sale]]),0,
            IF(IF($E$3:E46 = tblRegister[[#This Row],[OUT Token]],$L$3:L46,N/A)-tblRegister[[#This Row],[OUT Total Before Sale]]&lt;0,0,
                  IF(IF($E$3:E46 = tblRegister[[#This Row],[OUT Token]],$L$3:L46,tblRegister[[#This Row],[OUT Total Before Sale]])-tblRegister[[#This Row],[OUT Total Before Sale]]&lt;IF($E$3:E46 = tblRegister[[#This Row],[OUT Token]],$F$3:F46,0),
                        IF($E$3:E46 = tblRegister[[#This Row],[OUT Token]],$L$3:L46 - tblRegister[[#This Row],[OUT Total Before Sale]],0),
                        IF($E$3:E46 = tblRegister[[#This Row],[OUT Token]],$F$3:F46,0)
                  )
            )
      ),
     IF(ISERROR(IF($E$3:E46 = tblRegister[[#This Row],[OUT Token]],$L$3:L46,N/A)-tblRegister[[#This Row],[OUT Total Before Sale]]),0,
            IF(IF($E$3:E46 = tblRegister[[#This Row],[OUT Token]],$L$3:L46,N/A)-tblRegister[[#This Row],[OUT Total Before Sale]]&lt;0,0,
                  IF(IF($E$3:E46 = tblRegister[[#This Row],[OUT Token]],$L$3:L46,tblRegister[[#This Row],[OUT Total Before Sale]])-tblRegister[[#This Row],[OUT Total Before Sale]]&lt;IF($E$3:E46 = tblRegister[[#This Row],[OUT Token]],$F$3:F46,0),
                        IF($E$3:E46 = tblRegister[[#This Row],[OUT Token]],$L$3:L46 - tblRegister[[#This Row],[OUT Total Before Sale]],0),
                        IF($E$3:E46 = tblRegister[[#This Row],[OUT Token]],$F$3:F46,0)
                  )
            )
      ),
      IF(IF($E$3:E46 = tblRegister[[#This Row],[OUT Token]],tblRegister[[#This Row],[OUT Quantity]]-$L$3:L46+tblRegister[[#This Row],[OUT Total Before Sale]]+$F$3:F46,1) &lt;0,0,
           IF($E$3:E46 = tblRegister[[#This Row],[OUT Token]],tblRegister[[#This Row],[OUT Quantity]]-$L$3:L46+tblRegister[[#This Row],[OUT Total Before Sale]]+$F$3:F46,0)))))/tblRegister[[#This Row],[OUT Quantity]],"")</f>
        <v/>
      </c>
      <c r="J47" s="63" t="str">
        <f ca="1">IFERROR(tblRegister[[#This Row],[OUT Book Price]]*tblRegister[[#This Row],[OUT Quantity]]/tblRegister[[#This Row],[IN Quantity]],"")</f>
        <v/>
      </c>
      <c r="K47" s="63" t="str">
        <f>IFERROR(IF(tblRegister[[#This Row],[IN Token]]=DefCurrency,tblRegister[[#This Row],[IN Quantity]]*(1-tblRegister[[#This Row],[IN Price]]),""),"")</f>
        <v/>
      </c>
      <c r="L47" s="52" t="str">
        <f t="array" aca="1" ref="L4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7" s="52" t="str">
        <f t="array" ref="N47">IF(tblRegister[[#This Row],[Batch]]="","",tblRegister[[#This Row],[OUT Total After Sale]]-tblRegister[[#This Row],[OUT Quantity]])</f>
        <v/>
      </c>
      <c r="O47" s="53" t="str">
        <f t="array" aca="1" ref="O4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8" spans="2:15" x14ac:dyDescent="0.25">
      <c r="B48" s="50">
        <f>ROW()-ROW(tblRegister[[#Headers],[Ind]])</f>
        <v>45</v>
      </c>
      <c r="C48" s="60" t="str">
        <f>IF(ISBLANK(tblRegister[[#This Row],[IN Token]]),"",tblRegister[[#This Row],[Ind]])</f>
        <v/>
      </c>
      <c r="D48" s="118"/>
      <c r="E48" s="51"/>
      <c r="F48" s="111"/>
      <c r="G48" s="51"/>
      <c r="H48" s="111"/>
      <c r="I48" s="63" t="str">
        <f t="array" aca="1" ref="I48" ca="1">IFERROR(IF(tblRegister[[#This Row],[OUT Token]]=DefCurrency,tblRegister[[#This Row],[OUT Quantity]],
      SUMPRODUCT($J$3:J47,
      IF(IF($E$3:E47 = tblRegister[[#This Row],[OUT Token]],tblRegister[[#This Row],[OUT Quantity]]-$L$3:L47+tblRegister[[#This Row],[OUT Total Before Sale]]+$F$3:F47,0)  &gt; IF(ISERROR(IF($E$3:E47 = tblRegister[[#This Row],[OUT Token]],$L$3:L47,N/A)-tblRegister[[#This Row],[OUT Total Before Sale]]),0,
            IF(IF($E$3:E47 = tblRegister[[#This Row],[OUT Token]],$L$3:L47,N/A)-tblRegister[[#This Row],[OUT Total Before Sale]]&lt;0,0,
                  IF(IF($E$3:E47 = tblRegister[[#This Row],[OUT Token]],$L$3:L47,tblRegister[[#This Row],[OUT Total Before Sale]])-tblRegister[[#This Row],[OUT Total Before Sale]]&lt;IF($E$3:E47 = tblRegister[[#This Row],[OUT Token]],$F$3:F47,0),
                        IF($E$3:E47 = tblRegister[[#This Row],[OUT Token]],$L$3:L47 - tblRegister[[#This Row],[OUT Total Before Sale]],0),
                        IF($E$3:E47 = tblRegister[[#This Row],[OUT Token]],$F$3:F47,0)
                  )
            )
      ),
     IF(ISERROR(IF($E$3:E47 = tblRegister[[#This Row],[OUT Token]],$L$3:L47,N/A)-tblRegister[[#This Row],[OUT Total Before Sale]]),0,
            IF(IF($E$3:E47 = tblRegister[[#This Row],[OUT Token]],$L$3:L47,N/A)-tblRegister[[#This Row],[OUT Total Before Sale]]&lt;0,0,
                  IF(IF($E$3:E47 = tblRegister[[#This Row],[OUT Token]],$L$3:L47,tblRegister[[#This Row],[OUT Total Before Sale]])-tblRegister[[#This Row],[OUT Total Before Sale]]&lt;IF($E$3:E47 = tblRegister[[#This Row],[OUT Token]],$F$3:F47,0),
                        IF($E$3:E47 = tblRegister[[#This Row],[OUT Token]],$L$3:L47 - tblRegister[[#This Row],[OUT Total Before Sale]],0),
                        IF($E$3:E47 = tblRegister[[#This Row],[OUT Token]],$F$3:F47,0)
                  )
            )
      ),
      IF(IF($E$3:E47 = tblRegister[[#This Row],[OUT Token]],tblRegister[[#This Row],[OUT Quantity]]-$L$3:L47+tblRegister[[#This Row],[OUT Total Before Sale]]+$F$3:F47,1) &lt;0,0,
           IF($E$3:E47 = tblRegister[[#This Row],[OUT Token]],tblRegister[[#This Row],[OUT Quantity]]-$L$3:L47+tblRegister[[#This Row],[OUT Total Before Sale]]+$F$3:F47,0)))))/tblRegister[[#This Row],[OUT Quantity]],"")</f>
        <v/>
      </c>
      <c r="J48" s="63" t="str">
        <f ca="1">IFERROR(tblRegister[[#This Row],[OUT Book Price]]*tblRegister[[#This Row],[OUT Quantity]]/tblRegister[[#This Row],[IN Quantity]],"")</f>
        <v/>
      </c>
      <c r="K48" s="63" t="str">
        <f>IFERROR(IF(tblRegister[[#This Row],[IN Token]]=DefCurrency,tblRegister[[#This Row],[IN Quantity]]*(1-tblRegister[[#This Row],[IN Price]]),""),"")</f>
        <v/>
      </c>
      <c r="L48" s="52" t="str">
        <f t="array" aca="1" ref="L4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8" s="52" t="str">
        <f t="array" ref="N48">IF(tblRegister[[#This Row],[Batch]]="","",tblRegister[[#This Row],[OUT Total After Sale]]-tblRegister[[#This Row],[OUT Quantity]])</f>
        <v/>
      </c>
      <c r="O48" s="53" t="str">
        <f t="array" aca="1" ref="O4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49" spans="2:15" x14ac:dyDescent="0.25">
      <c r="B49" s="50">
        <f>ROW()-ROW(tblRegister[[#Headers],[Ind]])</f>
        <v>46</v>
      </c>
      <c r="C49" s="60" t="str">
        <f>IF(ISBLANK(tblRegister[[#This Row],[IN Token]]),"",tblRegister[[#This Row],[Ind]])</f>
        <v/>
      </c>
      <c r="D49" s="118"/>
      <c r="E49" s="51"/>
      <c r="F49" s="111"/>
      <c r="G49" s="51"/>
      <c r="H49" s="111"/>
      <c r="I49" s="63" t="str">
        <f t="array" aca="1" ref="I49" ca="1">IFERROR(IF(tblRegister[[#This Row],[OUT Token]]=DefCurrency,tblRegister[[#This Row],[OUT Quantity]],
      SUMPRODUCT($J$3:J48,
      IF(IF($E$3:E48 = tblRegister[[#This Row],[OUT Token]],tblRegister[[#This Row],[OUT Quantity]]-$L$3:L48+tblRegister[[#This Row],[OUT Total Before Sale]]+$F$3:F48,0)  &gt; IF(ISERROR(IF($E$3:E48 = tblRegister[[#This Row],[OUT Token]],$L$3:L48,N/A)-tblRegister[[#This Row],[OUT Total Before Sale]]),0,
            IF(IF($E$3:E48 = tblRegister[[#This Row],[OUT Token]],$L$3:L48,N/A)-tblRegister[[#This Row],[OUT Total Before Sale]]&lt;0,0,
                  IF(IF($E$3:E48 = tblRegister[[#This Row],[OUT Token]],$L$3:L48,tblRegister[[#This Row],[OUT Total Before Sale]])-tblRegister[[#This Row],[OUT Total Before Sale]]&lt;IF($E$3:E48 = tblRegister[[#This Row],[OUT Token]],$F$3:F48,0),
                        IF($E$3:E48 = tblRegister[[#This Row],[OUT Token]],$L$3:L48 - tblRegister[[#This Row],[OUT Total Before Sale]],0),
                        IF($E$3:E48 = tblRegister[[#This Row],[OUT Token]],$F$3:F48,0)
                  )
            )
      ),
     IF(ISERROR(IF($E$3:E48 = tblRegister[[#This Row],[OUT Token]],$L$3:L48,N/A)-tblRegister[[#This Row],[OUT Total Before Sale]]),0,
            IF(IF($E$3:E48 = tblRegister[[#This Row],[OUT Token]],$L$3:L48,N/A)-tblRegister[[#This Row],[OUT Total Before Sale]]&lt;0,0,
                  IF(IF($E$3:E48 = tblRegister[[#This Row],[OUT Token]],$L$3:L48,tblRegister[[#This Row],[OUT Total Before Sale]])-tblRegister[[#This Row],[OUT Total Before Sale]]&lt;IF($E$3:E48 = tblRegister[[#This Row],[OUT Token]],$F$3:F48,0),
                        IF($E$3:E48 = tblRegister[[#This Row],[OUT Token]],$L$3:L48 - tblRegister[[#This Row],[OUT Total Before Sale]],0),
                        IF($E$3:E48 = tblRegister[[#This Row],[OUT Token]],$F$3:F48,0)
                  )
            )
      ),
      IF(IF($E$3:E48 = tblRegister[[#This Row],[OUT Token]],tblRegister[[#This Row],[OUT Quantity]]-$L$3:L48+tblRegister[[#This Row],[OUT Total Before Sale]]+$F$3:F48,1) &lt;0,0,
           IF($E$3:E48 = tblRegister[[#This Row],[OUT Token]],tblRegister[[#This Row],[OUT Quantity]]-$L$3:L48+tblRegister[[#This Row],[OUT Total Before Sale]]+$F$3:F48,0)))))/tblRegister[[#This Row],[OUT Quantity]],"")</f>
        <v/>
      </c>
      <c r="J49" s="63" t="str">
        <f ca="1">IFERROR(tblRegister[[#This Row],[OUT Book Price]]*tblRegister[[#This Row],[OUT Quantity]]/tblRegister[[#This Row],[IN Quantity]],"")</f>
        <v/>
      </c>
      <c r="K49" s="63" t="str">
        <f>IFERROR(IF(tblRegister[[#This Row],[IN Token]]=DefCurrency,tblRegister[[#This Row],[IN Quantity]]*(1-tblRegister[[#This Row],[IN Price]]),""),"")</f>
        <v/>
      </c>
      <c r="L49" s="52" t="str">
        <f t="array" aca="1" ref="L4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4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49" s="52" t="str">
        <f t="array" ref="N49">IF(tblRegister[[#This Row],[Batch]]="","",tblRegister[[#This Row],[OUT Total After Sale]]-tblRegister[[#This Row],[OUT Quantity]])</f>
        <v/>
      </c>
      <c r="O49" s="53" t="str">
        <f t="array" aca="1" ref="O4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0" spans="2:15" x14ac:dyDescent="0.25">
      <c r="B50" s="50">
        <f>ROW()-ROW(tblRegister[[#Headers],[Ind]])</f>
        <v>47</v>
      </c>
      <c r="C50" s="60" t="str">
        <f>IF(ISBLANK(tblRegister[[#This Row],[IN Token]]),"",tblRegister[[#This Row],[Ind]])</f>
        <v/>
      </c>
      <c r="D50" s="118"/>
      <c r="E50" s="51"/>
      <c r="F50" s="111"/>
      <c r="G50" s="51"/>
      <c r="H50" s="111"/>
      <c r="I50" s="63" t="str">
        <f t="array" aca="1" ref="I50" ca="1">IFERROR(IF(tblRegister[[#This Row],[OUT Token]]=DefCurrency,tblRegister[[#This Row],[OUT Quantity]],
      SUMPRODUCT($J$3:J49,
      IF(IF($E$3:E49 = tblRegister[[#This Row],[OUT Token]],tblRegister[[#This Row],[OUT Quantity]]-$L$3:L49+tblRegister[[#This Row],[OUT Total Before Sale]]+$F$3:F49,0)  &gt; IF(ISERROR(IF($E$3:E49 = tblRegister[[#This Row],[OUT Token]],$L$3:L49,N/A)-tblRegister[[#This Row],[OUT Total Before Sale]]),0,
            IF(IF($E$3:E49 = tblRegister[[#This Row],[OUT Token]],$L$3:L49,N/A)-tblRegister[[#This Row],[OUT Total Before Sale]]&lt;0,0,
                  IF(IF($E$3:E49 = tblRegister[[#This Row],[OUT Token]],$L$3:L49,tblRegister[[#This Row],[OUT Total Before Sale]])-tblRegister[[#This Row],[OUT Total Before Sale]]&lt;IF($E$3:E49 = tblRegister[[#This Row],[OUT Token]],$F$3:F49,0),
                        IF($E$3:E49 = tblRegister[[#This Row],[OUT Token]],$L$3:L49 - tblRegister[[#This Row],[OUT Total Before Sale]],0),
                        IF($E$3:E49 = tblRegister[[#This Row],[OUT Token]],$F$3:F49,0)
                  )
            )
      ),
     IF(ISERROR(IF($E$3:E49 = tblRegister[[#This Row],[OUT Token]],$L$3:L49,N/A)-tblRegister[[#This Row],[OUT Total Before Sale]]),0,
            IF(IF($E$3:E49 = tblRegister[[#This Row],[OUT Token]],$L$3:L49,N/A)-tblRegister[[#This Row],[OUT Total Before Sale]]&lt;0,0,
                  IF(IF($E$3:E49 = tblRegister[[#This Row],[OUT Token]],$L$3:L49,tblRegister[[#This Row],[OUT Total Before Sale]])-tblRegister[[#This Row],[OUT Total Before Sale]]&lt;IF($E$3:E49 = tblRegister[[#This Row],[OUT Token]],$F$3:F49,0),
                        IF($E$3:E49 = tblRegister[[#This Row],[OUT Token]],$L$3:L49 - tblRegister[[#This Row],[OUT Total Before Sale]],0),
                        IF($E$3:E49 = tblRegister[[#This Row],[OUT Token]],$F$3:F49,0)
                  )
            )
      ),
      IF(IF($E$3:E49 = tblRegister[[#This Row],[OUT Token]],tblRegister[[#This Row],[OUT Quantity]]-$L$3:L49+tblRegister[[#This Row],[OUT Total Before Sale]]+$F$3:F49,1) &lt;0,0,
           IF($E$3:E49 = tblRegister[[#This Row],[OUT Token]],tblRegister[[#This Row],[OUT Quantity]]-$L$3:L49+tblRegister[[#This Row],[OUT Total Before Sale]]+$F$3:F49,0)))))/tblRegister[[#This Row],[OUT Quantity]],"")</f>
        <v/>
      </c>
      <c r="J50" s="63" t="str">
        <f ca="1">IFERROR(tblRegister[[#This Row],[OUT Book Price]]*tblRegister[[#This Row],[OUT Quantity]]/tblRegister[[#This Row],[IN Quantity]],"")</f>
        <v/>
      </c>
      <c r="K50" s="63" t="str">
        <f>IFERROR(IF(tblRegister[[#This Row],[IN Token]]=DefCurrency,tblRegister[[#This Row],[IN Quantity]]*(1-tblRegister[[#This Row],[IN Price]]),""),"")</f>
        <v/>
      </c>
      <c r="L50" s="52" t="str">
        <f t="array" aca="1" ref="L5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0" s="52" t="str">
        <f t="array" ref="N50">IF(tblRegister[[#This Row],[Batch]]="","",tblRegister[[#This Row],[OUT Total After Sale]]-tblRegister[[#This Row],[OUT Quantity]])</f>
        <v/>
      </c>
      <c r="O50" s="53" t="str">
        <f t="array" aca="1" ref="O5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1" spans="2:15" x14ac:dyDescent="0.25">
      <c r="B51" s="50">
        <f>ROW()-ROW(tblRegister[[#Headers],[Ind]])</f>
        <v>48</v>
      </c>
      <c r="C51" s="60" t="str">
        <f>IF(ISBLANK(tblRegister[[#This Row],[IN Token]]),"",tblRegister[[#This Row],[Ind]])</f>
        <v/>
      </c>
      <c r="D51" s="118"/>
      <c r="E51" s="51"/>
      <c r="F51" s="111"/>
      <c r="G51" s="51"/>
      <c r="H51" s="111"/>
      <c r="I51" s="63" t="str">
        <f t="array" aca="1" ref="I51" ca="1">IFERROR(IF(tblRegister[[#This Row],[OUT Token]]=DefCurrency,tblRegister[[#This Row],[OUT Quantity]],
      SUMPRODUCT($J$3:J50,
      IF(IF($E$3:E50 = tblRegister[[#This Row],[OUT Token]],tblRegister[[#This Row],[OUT Quantity]]-$L$3:L50+tblRegister[[#This Row],[OUT Total Before Sale]]+$F$3:F50,0)  &gt; IF(ISERROR(IF($E$3:E50 = tblRegister[[#This Row],[OUT Token]],$L$3:L50,N/A)-tblRegister[[#This Row],[OUT Total Before Sale]]),0,
            IF(IF($E$3:E50 = tblRegister[[#This Row],[OUT Token]],$L$3:L50,N/A)-tblRegister[[#This Row],[OUT Total Before Sale]]&lt;0,0,
                  IF(IF($E$3:E50 = tblRegister[[#This Row],[OUT Token]],$L$3:L50,tblRegister[[#This Row],[OUT Total Before Sale]])-tblRegister[[#This Row],[OUT Total Before Sale]]&lt;IF($E$3:E50 = tblRegister[[#This Row],[OUT Token]],$F$3:F50,0),
                        IF($E$3:E50 = tblRegister[[#This Row],[OUT Token]],$L$3:L50 - tblRegister[[#This Row],[OUT Total Before Sale]],0),
                        IF($E$3:E50 = tblRegister[[#This Row],[OUT Token]],$F$3:F50,0)
                  )
            )
      ),
     IF(ISERROR(IF($E$3:E50 = tblRegister[[#This Row],[OUT Token]],$L$3:L50,N/A)-tblRegister[[#This Row],[OUT Total Before Sale]]),0,
            IF(IF($E$3:E50 = tblRegister[[#This Row],[OUT Token]],$L$3:L50,N/A)-tblRegister[[#This Row],[OUT Total Before Sale]]&lt;0,0,
                  IF(IF($E$3:E50 = tblRegister[[#This Row],[OUT Token]],$L$3:L50,tblRegister[[#This Row],[OUT Total Before Sale]])-tblRegister[[#This Row],[OUT Total Before Sale]]&lt;IF($E$3:E50 = tblRegister[[#This Row],[OUT Token]],$F$3:F50,0),
                        IF($E$3:E50 = tblRegister[[#This Row],[OUT Token]],$L$3:L50 - tblRegister[[#This Row],[OUT Total Before Sale]],0),
                        IF($E$3:E50 = tblRegister[[#This Row],[OUT Token]],$F$3:F50,0)
                  )
            )
      ),
      IF(IF($E$3:E50 = tblRegister[[#This Row],[OUT Token]],tblRegister[[#This Row],[OUT Quantity]]-$L$3:L50+tblRegister[[#This Row],[OUT Total Before Sale]]+$F$3:F50,1) &lt;0,0,
           IF($E$3:E50 = tblRegister[[#This Row],[OUT Token]],tblRegister[[#This Row],[OUT Quantity]]-$L$3:L50+tblRegister[[#This Row],[OUT Total Before Sale]]+$F$3:F50,0)))))/tblRegister[[#This Row],[OUT Quantity]],"")</f>
        <v/>
      </c>
      <c r="J51" s="63" t="str">
        <f ca="1">IFERROR(tblRegister[[#This Row],[OUT Book Price]]*tblRegister[[#This Row],[OUT Quantity]]/tblRegister[[#This Row],[IN Quantity]],"")</f>
        <v/>
      </c>
      <c r="K51" s="63" t="str">
        <f>IFERROR(IF(tblRegister[[#This Row],[IN Token]]=DefCurrency,tblRegister[[#This Row],[IN Quantity]]*(1-tblRegister[[#This Row],[IN Price]]),""),"")</f>
        <v/>
      </c>
      <c r="L51" s="52" t="str">
        <f t="array" aca="1" ref="L5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1" s="52" t="str">
        <f t="array" ref="N51">IF(tblRegister[[#This Row],[Batch]]="","",tblRegister[[#This Row],[OUT Total After Sale]]-tblRegister[[#This Row],[OUT Quantity]])</f>
        <v/>
      </c>
      <c r="O51" s="53" t="str">
        <f t="array" aca="1" ref="O5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2" spans="2:15" x14ac:dyDescent="0.25">
      <c r="B52" s="50">
        <f>ROW()-ROW(tblRegister[[#Headers],[Ind]])</f>
        <v>49</v>
      </c>
      <c r="C52" s="60" t="str">
        <f>IF(ISBLANK(tblRegister[[#This Row],[IN Token]]),"",tblRegister[[#This Row],[Ind]])</f>
        <v/>
      </c>
      <c r="D52" s="118"/>
      <c r="E52" s="51"/>
      <c r="F52" s="111"/>
      <c r="G52" s="51"/>
      <c r="H52" s="111"/>
      <c r="I52" s="63" t="str">
        <f t="array" aca="1" ref="I52" ca="1">IFERROR(IF(tblRegister[[#This Row],[OUT Token]]=DefCurrency,tblRegister[[#This Row],[OUT Quantity]],
      SUMPRODUCT($J$3:J51,
      IF(IF($E$3:E51 = tblRegister[[#This Row],[OUT Token]],tblRegister[[#This Row],[OUT Quantity]]-$L$3:L51+tblRegister[[#This Row],[OUT Total Before Sale]]+$F$3:F51,0)  &gt; IF(ISERROR(IF($E$3:E51 = tblRegister[[#This Row],[OUT Token]],$L$3:L51,N/A)-tblRegister[[#This Row],[OUT Total Before Sale]]),0,
            IF(IF($E$3:E51 = tblRegister[[#This Row],[OUT Token]],$L$3:L51,N/A)-tblRegister[[#This Row],[OUT Total Before Sale]]&lt;0,0,
                  IF(IF($E$3:E51 = tblRegister[[#This Row],[OUT Token]],$L$3:L51,tblRegister[[#This Row],[OUT Total Before Sale]])-tblRegister[[#This Row],[OUT Total Before Sale]]&lt;IF($E$3:E51 = tblRegister[[#This Row],[OUT Token]],$F$3:F51,0),
                        IF($E$3:E51 = tblRegister[[#This Row],[OUT Token]],$L$3:L51 - tblRegister[[#This Row],[OUT Total Before Sale]],0),
                        IF($E$3:E51 = tblRegister[[#This Row],[OUT Token]],$F$3:F51,0)
                  )
            )
      ),
     IF(ISERROR(IF($E$3:E51 = tblRegister[[#This Row],[OUT Token]],$L$3:L51,N/A)-tblRegister[[#This Row],[OUT Total Before Sale]]),0,
            IF(IF($E$3:E51 = tblRegister[[#This Row],[OUT Token]],$L$3:L51,N/A)-tblRegister[[#This Row],[OUT Total Before Sale]]&lt;0,0,
                  IF(IF($E$3:E51 = tblRegister[[#This Row],[OUT Token]],$L$3:L51,tblRegister[[#This Row],[OUT Total Before Sale]])-tblRegister[[#This Row],[OUT Total Before Sale]]&lt;IF($E$3:E51 = tblRegister[[#This Row],[OUT Token]],$F$3:F51,0),
                        IF($E$3:E51 = tblRegister[[#This Row],[OUT Token]],$L$3:L51 - tblRegister[[#This Row],[OUT Total Before Sale]],0),
                        IF($E$3:E51 = tblRegister[[#This Row],[OUT Token]],$F$3:F51,0)
                  )
            )
      ),
      IF(IF($E$3:E51 = tblRegister[[#This Row],[OUT Token]],tblRegister[[#This Row],[OUT Quantity]]-$L$3:L51+tblRegister[[#This Row],[OUT Total Before Sale]]+$F$3:F51,1) &lt;0,0,
           IF($E$3:E51 = tblRegister[[#This Row],[OUT Token]],tblRegister[[#This Row],[OUT Quantity]]-$L$3:L51+tblRegister[[#This Row],[OUT Total Before Sale]]+$F$3:F51,0)))))/tblRegister[[#This Row],[OUT Quantity]],"")</f>
        <v/>
      </c>
      <c r="J52" s="63" t="str">
        <f ca="1">IFERROR(tblRegister[[#This Row],[OUT Book Price]]*tblRegister[[#This Row],[OUT Quantity]]/tblRegister[[#This Row],[IN Quantity]],"")</f>
        <v/>
      </c>
      <c r="K52" s="63" t="str">
        <f>IFERROR(IF(tblRegister[[#This Row],[IN Token]]=DefCurrency,tblRegister[[#This Row],[IN Quantity]]*(1-tblRegister[[#This Row],[IN Price]]),""),"")</f>
        <v/>
      </c>
      <c r="L52" s="52" t="str">
        <f t="array" aca="1" ref="L5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2" s="52" t="str">
        <f t="array" ref="N52">IF(tblRegister[[#This Row],[Batch]]="","",tblRegister[[#This Row],[OUT Total After Sale]]-tblRegister[[#This Row],[OUT Quantity]])</f>
        <v/>
      </c>
      <c r="O52" s="53" t="str">
        <f t="array" aca="1" ref="O5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3" spans="2:15" x14ac:dyDescent="0.25">
      <c r="B53" s="50">
        <f>ROW()-ROW(tblRegister[[#Headers],[Ind]])</f>
        <v>50</v>
      </c>
      <c r="C53" s="60" t="str">
        <f>IF(ISBLANK(tblRegister[[#This Row],[IN Token]]),"",tblRegister[[#This Row],[Ind]])</f>
        <v/>
      </c>
      <c r="D53" s="118"/>
      <c r="E53" s="51"/>
      <c r="F53" s="111"/>
      <c r="G53" s="51"/>
      <c r="H53" s="111"/>
      <c r="I53" s="63" t="str">
        <f t="array" aca="1" ref="I53" ca="1">IFERROR(IF(tblRegister[[#This Row],[OUT Token]]=DefCurrency,tblRegister[[#This Row],[OUT Quantity]],
      SUMPRODUCT($J$3:J52,
      IF(IF($E$3:E52 = tblRegister[[#This Row],[OUT Token]],tblRegister[[#This Row],[OUT Quantity]]-$L$3:L52+tblRegister[[#This Row],[OUT Total Before Sale]]+$F$3:F52,0)  &gt; IF(ISERROR(IF($E$3:E52 = tblRegister[[#This Row],[OUT Token]],$L$3:L52,N/A)-tblRegister[[#This Row],[OUT Total Before Sale]]),0,
            IF(IF($E$3:E52 = tblRegister[[#This Row],[OUT Token]],$L$3:L52,N/A)-tblRegister[[#This Row],[OUT Total Before Sale]]&lt;0,0,
                  IF(IF($E$3:E52 = tblRegister[[#This Row],[OUT Token]],$L$3:L52,tblRegister[[#This Row],[OUT Total Before Sale]])-tblRegister[[#This Row],[OUT Total Before Sale]]&lt;IF($E$3:E52 = tblRegister[[#This Row],[OUT Token]],$F$3:F52,0),
                        IF($E$3:E52 = tblRegister[[#This Row],[OUT Token]],$L$3:L52 - tblRegister[[#This Row],[OUT Total Before Sale]],0),
                        IF($E$3:E52 = tblRegister[[#This Row],[OUT Token]],$F$3:F52,0)
                  )
            )
      ),
     IF(ISERROR(IF($E$3:E52 = tblRegister[[#This Row],[OUT Token]],$L$3:L52,N/A)-tblRegister[[#This Row],[OUT Total Before Sale]]),0,
            IF(IF($E$3:E52 = tblRegister[[#This Row],[OUT Token]],$L$3:L52,N/A)-tblRegister[[#This Row],[OUT Total Before Sale]]&lt;0,0,
                  IF(IF($E$3:E52 = tblRegister[[#This Row],[OUT Token]],$L$3:L52,tblRegister[[#This Row],[OUT Total Before Sale]])-tblRegister[[#This Row],[OUT Total Before Sale]]&lt;IF($E$3:E52 = tblRegister[[#This Row],[OUT Token]],$F$3:F52,0),
                        IF($E$3:E52 = tblRegister[[#This Row],[OUT Token]],$L$3:L52 - tblRegister[[#This Row],[OUT Total Before Sale]],0),
                        IF($E$3:E52 = tblRegister[[#This Row],[OUT Token]],$F$3:F52,0)
                  )
            )
      ),
      IF(IF($E$3:E52 = tblRegister[[#This Row],[OUT Token]],tblRegister[[#This Row],[OUT Quantity]]-$L$3:L52+tblRegister[[#This Row],[OUT Total Before Sale]]+$F$3:F52,1) &lt;0,0,
           IF($E$3:E52 = tblRegister[[#This Row],[OUT Token]],tblRegister[[#This Row],[OUT Quantity]]-$L$3:L52+tblRegister[[#This Row],[OUT Total Before Sale]]+$F$3:F52,0)))))/tblRegister[[#This Row],[OUT Quantity]],"")</f>
        <v/>
      </c>
      <c r="J53" s="63" t="str">
        <f ca="1">IFERROR(tblRegister[[#This Row],[OUT Book Price]]*tblRegister[[#This Row],[OUT Quantity]]/tblRegister[[#This Row],[IN Quantity]],"")</f>
        <v/>
      </c>
      <c r="K53" s="63" t="str">
        <f>IFERROR(IF(tblRegister[[#This Row],[IN Token]]=DefCurrency,tblRegister[[#This Row],[IN Quantity]]*(1-tblRegister[[#This Row],[IN Price]]),""),"")</f>
        <v/>
      </c>
      <c r="L53" s="52" t="str">
        <f t="array" aca="1" ref="L5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3" s="52" t="str">
        <f t="array" ref="N53">IF(tblRegister[[#This Row],[Batch]]="","",tblRegister[[#This Row],[OUT Total After Sale]]-tblRegister[[#This Row],[OUT Quantity]])</f>
        <v/>
      </c>
      <c r="O53" s="53" t="str">
        <f t="array" aca="1" ref="O5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4" spans="2:15" x14ac:dyDescent="0.25">
      <c r="B54" s="50">
        <f>ROW()-ROW(tblRegister[[#Headers],[Ind]])</f>
        <v>51</v>
      </c>
      <c r="C54" s="60" t="str">
        <f>IF(ISBLANK(tblRegister[[#This Row],[IN Token]]),"",tblRegister[[#This Row],[Ind]])</f>
        <v/>
      </c>
      <c r="D54" s="118"/>
      <c r="E54" s="51"/>
      <c r="F54" s="111"/>
      <c r="G54" s="51"/>
      <c r="H54" s="111"/>
      <c r="I54" s="63" t="str">
        <f t="array" aca="1" ref="I54" ca="1">IFERROR(IF(tblRegister[[#This Row],[OUT Token]]=DefCurrency,tblRegister[[#This Row],[OUT Quantity]],
      SUMPRODUCT($J$3:J53,
      IF(IF($E$3:E53 = tblRegister[[#This Row],[OUT Token]],tblRegister[[#This Row],[OUT Quantity]]-$L$3:L53+tblRegister[[#This Row],[OUT Total Before Sale]]+$F$3:F53,0)  &gt; IF(ISERROR(IF($E$3:E53 = tblRegister[[#This Row],[OUT Token]],$L$3:L53,N/A)-tblRegister[[#This Row],[OUT Total Before Sale]]),0,
            IF(IF($E$3:E53 = tblRegister[[#This Row],[OUT Token]],$L$3:L53,N/A)-tblRegister[[#This Row],[OUT Total Before Sale]]&lt;0,0,
                  IF(IF($E$3:E53 = tblRegister[[#This Row],[OUT Token]],$L$3:L53,tblRegister[[#This Row],[OUT Total Before Sale]])-tblRegister[[#This Row],[OUT Total Before Sale]]&lt;IF($E$3:E53 = tblRegister[[#This Row],[OUT Token]],$F$3:F53,0),
                        IF($E$3:E53 = tblRegister[[#This Row],[OUT Token]],$L$3:L53 - tblRegister[[#This Row],[OUT Total Before Sale]],0),
                        IF($E$3:E53 = tblRegister[[#This Row],[OUT Token]],$F$3:F53,0)
                  )
            )
      ),
     IF(ISERROR(IF($E$3:E53 = tblRegister[[#This Row],[OUT Token]],$L$3:L53,N/A)-tblRegister[[#This Row],[OUT Total Before Sale]]),0,
            IF(IF($E$3:E53 = tblRegister[[#This Row],[OUT Token]],$L$3:L53,N/A)-tblRegister[[#This Row],[OUT Total Before Sale]]&lt;0,0,
                  IF(IF($E$3:E53 = tblRegister[[#This Row],[OUT Token]],$L$3:L53,tblRegister[[#This Row],[OUT Total Before Sale]])-tblRegister[[#This Row],[OUT Total Before Sale]]&lt;IF($E$3:E53 = tblRegister[[#This Row],[OUT Token]],$F$3:F53,0),
                        IF($E$3:E53 = tblRegister[[#This Row],[OUT Token]],$L$3:L53 - tblRegister[[#This Row],[OUT Total Before Sale]],0),
                        IF($E$3:E53 = tblRegister[[#This Row],[OUT Token]],$F$3:F53,0)
                  )
            )
      ),
      IF(IF($E$3:E53 = tblRegister[[#This Row],[OUT Token]],tblRegister[[#This Row],[OUT Quantity]]-$L$3:L53+tblRegister[[#This Row],[OUT Total Before Sale]]+$F$3:F53,1) &lt;0,0,
           IF($E$3:E53 = tblRegister[[#This Row],[OUT Token]],tblRegister[[#This Row],[OUT Quantity]]-$L$3:L53+tblRegister[[#This Row],[OUT Total Before Sale]]+$F$3:F53,0)))))/tblRegister[[#This Row],[OUT Quantity]],"")</f>
        <v/>
      </c>
      <c r="J54" s="63" t="str">
        <f ca="1">IFERROR(tblRegister[[#This Row],[OUT Book Price]]*tblRegister[[#This Row],[OUT Quantity]]/tblRegister[[#This Row],[IN Quantity]],"")</f>
        <v/>
      </c>
      <c r="K54" s="63" t="str">
        <f>IFERROR(IF(tblRegister[[#This Row],[IN Token]]=DefCurrency,tblRegister[[#This Row],[IN Quantity]]*(1-tblRegister[[#This Row],[IN Price]]),""),"")</f>
        <v/>
      </c>
      <c r="L54" s="52" t="str">
        <f t="array" aca="1" ref="L5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4" s="52" t="str">
        <f t="array" ref="N54">IF(tblRegister[[#This Row],[Batch]]="","",tblRegister[[#This Row],[OUT Total After Sale]]-tblRegister[[#This Row],[OUT Quantity]])</f>
        <v/>
      </c>
      <c r="O54" s="53" t="str">
        <f t="array" aca="1" ref="O5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5" spans="2:15" x14ac:dyDescent="0.25">
      <c r="B55" s="50">
        <f>ROW()-ROW(tblRegister[[#Headers],[Ind]])</f>
        <v>52</v>
      </c>
      <c r="C55" s="60" t="str">
        <f>IF(ISBLANK(tblRegister[[#This Row],[IN Token]]),"",tblRegister[[#This Row],[Ind]])</f>
        <v/>
      </c>
      <c r="D55" s="118"/>
      <c r="E55" s="51"/>
      <c r="F55" s="111"/>
      <c r="G55" s="51"/>
      <c r="H55" s="111"/>
      <c r="I55" s="63" t="str">
        <f t="array" aca="1" ref="I55" ca="1">IFERROR(IF(tblRegister[[#This Row],[OUT Token]]=DefCurrency,tblRegister[[#This Row],[OUT Quantity]],
      SUMPRODUCT($J$3:J54,
      IF(IF($E$3:E54 = tblRegister[[#This Row],[OUT Token]],tblRegister[[#This Row],[OUT Quantity]]-$L$3:L54+tblRegister[[#This Row],[OUT Total Before Sale]]+$F$3:F54,0)  &gt; IF(ISERROR(IF($E$3:E54 = tblRegister[[#This Row],[OUT Token]],$L$3:L54,N/A)-tblRegister[[#This Row],[OUT Total Before Sale]]),0,
            IF(IF($E$3:E54 = tblRegister[[#This Row],[OUT Token]],$L$3:L54,N/A)-tblRegister[[#This Row],[OUT Total Before Sale]]&lt;0,0,
                  IF(IF($E$3:E54 = tblRegister[[#This Row],[OUT Token]],$L$3:L54,tblRegister[[#This Row],[OUT Total Before Sale]])-tblRegister[[#This Row],[OUT Total Before Sale]]&lt;IF($E$3:E54 = tblRegister[[#This Row],[OUT Token]],$F$3:F54,0),
                        IF($E$3:E54 = tblRegister[[#This Row],[OUT Token]],$L$3:L54 - tblRegister[[#This Row],[OUT Total Before Sale]],0),
                        IF($E$3:E54 = tblRegister[[#This Row],[OUT Token]],$F$3:F54,0)
                  )
            )
      ),
     IF(ISERROR(IF($E$3:E54 = tblRegister[[#This Row],[OUT Token]],$L$3:L54,N/A)-tblRegister[[#This Row],[OUT Total Before Sale]]),0,
            IF(IF($E$3:E54 = tblRegister[[#This Row],[OUT Token]],$L$3:L54,N/A)-tblRegister[[#This Row],[OUT Total Before Sale]]&lt;0,0,
                  IF(IF($E$3:E54 = tblRegister[[#This Row],[OUT Token]],$L$3:L54,tblRegister[[#This Row],[OUT Total Before Sale]])-tblRegister[[#This Row],[OUT Total Before Sale]]&lt;IF($E$3:E54 = tblRegister[[#This Row],[OUT Token]],$F$3:F54,0),
                        IF($E$3:E54 = tblRegister[[#This Row],[OUT Token]],$L$3:L54 - tblRegister[[#This Row],[OUT Total Before Sale]],0),
                        IF($E$3:E54 = tblRegister[[#This Row],[OUT Token]],$F$3:F54,0)
                  )
            )
      ),
      IF(IF($E$3:E54 = tblRegister[[#This Row],[OUT Token]],tblRegister[[#This Row],[OUT Quantity]]-$L$3:L54+tblRegister[[#This Row],[OUT Total Before Sale]]+$F$3:F54,1) &lt;0,0,
           IF($E$3:E54 = tblRegister[[#This Row],[OUT Token]],tblRegister[[#This Row],[OUT Quantity]]-$L$3:L54+tblRegister[[#This Row],[OUT Total Before Sale]]+$F$3:F54,0)))))/tblRegister[[#This Row],[OUT Quantity]],"")</f>
        <v/>
      </c>
      <c r="J55" s="63" t="str">
        <f ca="1">IFERROR(tblRegister[[#This Row],[OUT Book Price]]*tblRegister[[#This Row],[OUT Quantity]]/tblRegister[[#This Row],[IN Quantity]],"")</f>
        <v/>
      </c>
      <c r="K55" s="63" t="str">
        <f>IFERROR(IF(tblRegister[[#This Row],[IN Token]]=DefCurrency,tblRegister[[#This Row],[IN Quantity]]*(1-tblRegister[[#This Row],[IN Price]]),""),"")</f>
        <v/>
      </c>
      <c r="L55" s="52" t="str">
        <f t="array" aca="1" ref="L5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5" s="52" t="str">
        <f t="array" ref="N55">IF(tblRegister[[#This Row],[Batch]]="","",tblRegister[[#This Row],[OUT Total After Sale]]-tblRegister[[#This Row],[OUT Quantity]])</f>
        <v/>
      </c>
      <c r="O55" s="53" t="str">
        <f t="array" aca="1" ref="O5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6" spans="2:15" x14ac:dyDescent="0.25">
      <c r="B56" s="50">
        <f>ROW()-ROW(tblRegister[[#Headers],[Ind]])</f>
        <v>53</v>
      </c>
      <c r="C56" s="60" t="str">
        <f>IF(ISBLANK(tblRegister[[#This Row],[IN Token]]),"",tblRegister[[#This Row],[Ind]])</f>
        <v/>
      </c>
      <c r="D56" s="118"/>
      <c r="E56" s="51"/>
      <c r="F56" s="111"/>
      <c r="G56" s="51"/>
      <c r="H56" s="111"/>
      <c r="I56" s="63" t="str">
        <f t="array" aca="1" ref="I56" ca="1">IFERROR(IF(tblRegister[[#This Row],[OUT Token]]=DefCurrency,tblRegister[[#This Row],[OUT Quantity]],
      SUMPRODUCT($J$3:J55,
      IF(IF($E$3:E55 = tblRegister[[#This Row],[OUT Token]],tblRegister[[#This Row],[OUT Quantity]]-$L$3:L55+tblRegister[[#This Row],[OUT Total Before Sale]]+$F$3:F55,0)  &gt; IF(ISERROR(IF($E$3:E55 = tblRegister[[#This Row],[OUT Token]],$L$3:L55,N/A)-tblRegister[[#This Row],[OUT Total Before Sale]]),0,
            IF(IF($E$3:E55 = tblRegister[[#This Row],[OUT Token]],$L$3:L55,N/A)-tblRegister[[#This Row],[OUT Total Before Sale]]&lt;0,0,
                  IF(IF($E$3:E55 = tblRegister[[#This Row],[OUT Token]],$L$3:L55,tblRegister[[#This Row],[OUT Total Before Sale]])-tblRegister[[#This Row],[OUT Total Before Sale]]&lt;IF($E$3:E55 = tblRegister[[#This Row],[OUT Token]],$F$3:F55,0),
                        IF($E$3:E55 = tblRegister[[#This Row],[OUT Token]],$L$3:L55 - tblRegister[[#This Row],[OUT Total Before Sale]],0),
                        IF($E$3:E55 = tblRegister[[#This Row],[OUT Token]],$F$3:F55,0)
                  )
            )
      ),
     IF(ISERROR(IF($E$3:E55 = tblRegister[[#This Row],[OUT Token]],$L$3:L55,N/A)-tblRegister[[#This Row],[OUT Total Before Sale]]),0,
            IF(IF($E$3:E55 = tblRegister[[#This Row],[OUT Token]],$L$3:L55,N/A)-tblRegister[[#This Row],[OUT Total Before Sale]]&lt;0,0,
                  IF(IF($E$3:E55 = tblRegister[[#This Row],[OUT Token]],$L$3:L55,tblRegister[[#This Row],[OUT Total Before Sale]])-tblRegister[[#This Row],[OUT Total Before Sale]]&lt;IF($E$3:E55 = tblRegister[[#This Row],[OUT Token]],$F$3:F55,0),
                        IF($E$3:E55 = tblRegister[[#This Row],[OUT Token]],$L$3:L55 - tblRegister[[#This Row],[OUT Total Before Sale]],0),
                        IF($E$3:E55 = tblRegister[[#This Row],[OUT Token]],$F$3:F55,0)
                  )
            )
      ),
      IF(IF($E$3:E55 = tblRegister[[#This Row],[OUT Token]],tblRegister[[#This Row],[OUT Quantity]]-$L$3:L55+tblRegister[[#This Row],[OUT Total Before Sale]]+$F$3:F55,1) &lt;0,0,
           IF($E$3:E55 = tblRegister[[#This Row],[OUT Token]],tblRegister[[#This Row],[OUT Quantity]]-$L$3:L55+tblRegister[[#This Row],[OUT Total Before Sale]]+$F$3:F55,0)))))/tblRegister[[#This Row],[OUT Quantity]],"")</f>
        <v/>
      </c>
      <c r="J56" s="63" t="str">
        <f ca="1">IFERROR(tblRegister[[#This Row],[OUT Book Price]]*tblRegister[[#This Row],[OUT Quantity]]/tblRegister[[#This Row],[IN Quantity]],"")</f>
        <v/>
      </c>
      <c r="K56" s="63" t="str">
        <f>IFERROR(IF(tblRegister[[#This Row],[IN Token]]=DefCurrency,tblRegister[[#This Row],[IN Quantity]]*(1-tblRegister[[#This Row],[IN Price]]),""),"")</f>
        <v/>
      </c>
      <c r="L56" s="52" t="str">
        <f t="array" aca="1" ref="L5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6" s="52" t="str">
        <f t="array" ref="N56">IF(tblRegister[[#This Row],[Batch]]="","",tblRegister[[#This Row],[OUT Total After Sale]]-tblRegister[[#This Row],[OUT Quantity]])</f>
        <v/>
      </c>
      <c r="O56" s="53" t="str">
        <f t="array" aca="1" ref="O5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7" spans="2:15" x14ac:dyDescent="0.25">
      <c r="B57" s="50">
        <f>ROW()-ROW(tblRegister[[#Headers],[Ind]])</f>
        <v>54</v>
      </c>
      <c r="C57" s="60" t="str">
        <f>IF(ISBLANK(tblRegister[[#This Row],[IN Token]]),"",tblRegister[[#This Row],[Ind]])</f>
        <v/>
      </c>
      <c r="D57" s="118"/>
      <c r="E57" s="51"/>
      <c r="F57" s="111"/>
      <c r="G57" s="51"/>
      <c r="H57" s="111"/>
      <c r="I57" s="63" t="str">
        <f t="array" aca="1" ref="I57" ca="1">IFERROR(IF(tblRegister[[#This Row],[OUT Token]]=DefCurrency,tblRegister[[#This Row],[OUT Quantity]],
      SUMPRODUCT($J$3:J56,
      IF(IF($E$3:E56 = tblRegister[[#This Row],[OUT Token]],tblRegister[[#This Row],[OUT Quantity]]-$L$3:L56+tblRegister[[#This Row],[OUT Total Before Sale]]+$F$3:F56,0)  &gt; IF(ISERROR(IF($E$3:E56 = tblRegister[[#This Row],[OUT Token]],$L$3:L56,N/A)-tblRegister[[#This Row],[OUT Total Before Sale]]),0,
            IF(IF($E$3:E56 = tblRegister[[#This Row],[OUT Token]],$L$3:L56,N/A)-tblRegister[[#This Row],[OUT Total Before Sale]]&lt;0,0,
                  IF(IF($E$3:E56 = tblRegister[[#This Row],[OUT Token]],$L$3:L56,tblRegister[[#This Row],[OUT Total Before Sale]])-tblRegister[[#This Row],[OUT Total Before Sale]]&lt;IF($E$3:E56 = tblRegister[[#This Row],[OUT Token]],$F$3:F56,0),
                        IF($E$3:E56 = tblRegister[[#This Row],[OUT Token]],$L$3:L56 - tblRegister[[#This Row],[OUT Total Before Sale]],0),
                        IF($E$3:E56 = tblRegister[[#This Row],[OUT Token]],$F$3:F56,0)
                  )
            )
      ),
     IF(ISERROR(IF($E$3:E56 = tblRegister[[#This Row],[OUT Token]],$L$3:L56,N/A)-tblRegister[[#This Row],[OUT Total Before Sale]]),0,
            IF(IF($E$3:E56 = tblRegister[[#This Row],[OUT Token]],$L$3:L56,N/A)-tblRegister[[#This Row],[OUT Total Before Sale]]&lt;0,0,
                  IF(IF($E$3:E56 = tblRegister[[#This Row],[OUT Token]],$L$3:L56,tblRegister[[#This Row],[OUT Total Before Sale]])-tblRegister[[#This Row],[OUT Total Before Sale]]&lt;IF($E$3:E56 = tblRegister[[#This Row],[OUT Token]],$F$3:F56,0),
                        IF($E$3:E56 = tblRegister[[#This Row],[OUT Token]],$L$3:L56 - tblRegister[[#This Row],[OUT Total Before Sale]],0),
                        IF($E$3:E56 = tblRegister[[#This Row],[OUT Token]],$F$3:F56,0)
                  )
            )
      ),
      IF(IF($E$3:E56 = tblRegister[[#This Row],[OUT Token]],tblRegister[[#This Row],[OUT Quantity]]-$L$3:L56+tblRegister[[#This Row],[OUT Total Before Sale]]+$F$3:F56,1) &lt;0,0,
           IF($E$3:E56 = tblRegister[[#This Row],[OUT Token]],tblRegister[[#This Row],[OUT Quantity]]-$L$3:L56+tblRegister[[#This Row],[OUT Total Before Sale]]+$F$3:F56,0)))))/tblRegister[[#This Row],[OUT Quantity]],"")</f>
        <v/>
      </c>
      <c r="J57" s="63" t="str">
        <f ca="1">IFERROR(tblRegister[[#This Row],[OUT Book Price]]*tblRegister[[#This Row],[OUT Quantity]]/tblRegister[[#This Row],[IN Quantity]],"")</f>
        <v/>
      </c>
      <c r="K57" s="63" t="str">
        <f>IFERROR(IF(tblRegister[[#This Row],[IN Token]]=DefCurrency,tblRegister[[#This Row],[IN Quantity]]*(1-tblRegister[[#This Row],[IN Price]]),""),"")</f>
        <v/>
      </c>
      <c r="L57" s="52" t="str">
        <f t="array" aca="1" ref="L5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7" s="52" t="str">
        <f t="array" ref="N57">IF(tblRegister[[#This Row],[Batch]]="","",tblRegister[[#This Row],[OUT Total After Sale]]-tblRegister[[#This Row],[OUT Quantity]])</f>
        <v/>
      </c>
      <c r="O57" s="53" t="str">
        <f t="array" aca="1" ref="O5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8" spans="2:15" x14ac:dyDescent="0.25">
      <c r="B58" s="50">
        <f>ROW()-ROW(tblRegister[[#Headers],[Ind]])</f>
        <v>55</v>
      </c>
      <c r="C58" s="60" t="str">
        <f>IF(ISBLANK(tblRegister[[#This Row],[IN Token]]),"",tblRegister[[#This Row],[Ind]])</f>
        <v/>
      </c>
      <c r="D58" s="118"/>
      <c r="E58" s="51"/>
      <c r="F58" s="111"/>
      <c r="G58" s="51"/>
      <c r="H58" s="111"/>
      <c r="I58" s="63" t="str">
        <f t="array" aca="1" ref="I58" ca="1">IFERROR(IF(tblRegister[[#This Row],[OUT Token]]=DefCurrency,tblRegister[[#This Row],[OUT Quantity]],
      SUMPRODUCT($J$3:J57,
      IF(IF($E$3:E57 = tblRegister[[#This Row],[OUT Token]],tblRegister[[#This Row],[OUT Quantity]]-$L$3:L57+tblRegister[[#This Row],[OUT Total Before Sale]]+$F$3:F57,0)  &gt; IF(ISERROR(IF($E$3:E57 = tblRegister[[#This Row],[OUT Token]],$L$3:L57,N/A)-tblRegister[[#This Row],[OUT Total Before Sale]]),0,
            IF(IF($E$3:E57 = tblRegister[[#This Row],[OUT Token]],$L$3:L57,N/A)-tblRegister[[#This Row],[OUT Total Before Sale]]&lt;0,0,
                  IF(IF($E$3:E57 = tblRegister[[#This Row],[OUT Token]],$L$3:L57,tblRegister[[#This Row],[OUT Total Before Sale]])-tblRegister[[#This Row],[OUT Total Before Sale]]&lt;IF($E$3:E57 = tblRegister[[#This Row],[OUT Token]],$F$3:F57,0),
                        IF($E$3:E57 = tblRegister[[#This Row],[OUT Token]],$L$3:L57 - tblRegister[[#This Row],[OUT Total Before Sale]],0),
                        IF($E$3:E57 = tblRegister[[#This Row],[OUT Token]],$F$3:F57,0)
                  )
            )
      ),
     IF(ISERROR(IF($E$3:E57 = tblRegister[[#This Row],[OUT Token]],$L$3:L57,N/A)-tblRegister[[#This Row],[OUT Total Before Sale]]),0,
            IF(IF($E$3:E57 = tblRegister[[#This Row],[OUT Token]],$L$3:L57,N/A)-tblRegister[[#This Row],[OUT Total Before Sale]]&lt;0,0,
                  IF(IF($E$3:E57 = tblRegister[[#This Row],[OUT Token]],$L$3:L57,tblRegister[[#This Row],[OUT Total Before Sale]])-tblRegister[[#This Row],[OUT Total Before Sale]]&lt;IF($E$3:E57 = tblRegister[[#This Row],[OUT Token]],$F$3:F57,0),
                        IF($E$3:E57 = tblRegister[[#This Row],[OUT Token]],$L$3:L57 - tblRegister[[#This Row],[OUT Total Before Sale]],0),
                        IF($E$3:E57 = tblRegister[[#This Row],[OUT Token]],$F$3:F57,0)
                  )
            )
      ),
      IF(IF($E$3:E57 = tblRegister[[#This Row],[OUT Token]],tblRegister[[#This Row],[OUT Quantity]]-$L$3:L57+tblRegister[[#This Row],[OUT Total Before Sale]]+$F$3:F57,1) &lt;0,0,
           IF($E$3:E57 = tblRegister[[#This Row],[OUT Token]],tblRegister[[#This Row],[OUT Quantity]]-$L$3:L57+tblRegister[[#This Row],[OUT Total Before Sale]]+$F$3:F57,0)))))/tblRegister[[#This Row],[OUT Quantity]],"")</f>
        <v/>
      </c>
      <c r="J58" s="63" t="str">
        <f ca="1">IFERROR(tblRegister[[#This Row],[OUT Book Price]]*tblRegister[[#This Row],[OUT Quantity]]/tblRegister[[#This Row],[IN Quantity]],"")</f>
        <v/>
      </c>
      <c r="K58" s="63" t="str">
        <f>IFERROR(IF(tblRegister[[#This Row],[IN Token]]=DefCurrency,tblRegister[[#This Row],[IN Quantity]]*(1-tblRegister[[#This Row],[IN Price]]),""),"")</f>
        <v/>
      </c>
      <c r="L58" s="52" t="str">
        <f t="array" aca="1" ref="L5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8" s="52" t="str">
        <f t="array" ref="N58">IF(tblRegister[[#This Row],[Batch]]="","",tblRegister[[#This Row],[OUT Total After Sale]]-tblRegister[[#This Row],[OUT Quantity]])</f>
        <v/>
      </c>
      <c r="O58" s="53" t="str">
        <f t="array" aca="1" ref="O5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59" spans="2:15" x14ac:dyDescent="0.25">
      <c r="B59" s="50">
        <f>ROW()-ROW(tblRegister[[#Headers],[Ind]])</f>
        <v>56</v>
      </c>
      <c r="C59" s="60" t="str">
        <f>IF(ISBLANK(tblRegister[[#This Row],[IN Token]]),"",tblRegister[[#This Row],[Ind]])</f>
        <v/>
      </c>
      <c r="D59" s="118"/>
      <c r="E59" s="51"/>
      <c r="F59" s="111"/>
      <c r="G59" s="51"/>
      <c r="H59" s="111"/>
      <c r="I59" s="63" t="str">
        <f t="array" aca="1" ref="I59" ca="1">IFERROR(IF(tblRegister[[#This Row],[OUT Token]]=DefCurrency,tblRegister[[#This Row],[OUT Quantity]],
      SUMPRODUCT($J$3:J58,
      IF(IF($E$3:E58 = tblRegister[[#This Row],[OUT Token]],tblRegister[[#This Row],[OUT Quantity]]-$L$3:L58+tblRegister[[#This Row],[OUT Total Before Sale]]+$F$3:F58,0)  &gt; IF(ISERROR(IF($E$3:E58 = tblRegister[[#This Row],[OUT Token]],$L$3:L58,N/A)-tblRegister[[#This Row],[OUT Total Before Sale]]),0,
            IF(IF($E$3:E58 = tblRegister[[#This Row],[OUT Token]],$L$3:L58,N/A)-tblRegister[[#This Row],[OUT Total Before Sale]]&lt;0,0,
                  IF(IF($E$3:E58 = tblRegister[[#This Row],[OUT Token]],$L$3:L58,tblRegister[[#This Row],[OUT Total Before Sale]])-tblRegister[[#This Row],[OUT Total Before Sale]]&lt;IF($E$3:E58 = tblRegister[[#This Row],[OUT Token]],$F$3:F58,0),
                        IF($E$3:E58 = tblRegister[[#This Row],[OUT Token]],$L$3:L58 - tblRegister[[#This Row],[OUT Total Before Sale]],0),
                        IF($E$3:E58 = tblRegister[[#This Row],[OUT Token]],$F$3:F58,0)
                  )
            )
      ),
     IF(ISERROR(IF($E$3:E58 = tblRegister[[#This Row],[OUT Token]],$L$3:L58,N/A)-tblRegister[[#This Row],[OUT Total Before Sale]]),0,
            IF(IF($E$3:E58 = tblRegister[[#This Row],[OUT Token]],$L$3:L58,N/A)-tblRegister[[#This Row],[OUT Total Before Sale]]&lt;0,0,
                  IF(IF($E$3:E58 = tblRegister[[#This Row],[OUT Token]],$L$3:L58,tblRegister[[#This Row],[OUT Total Before Sale]])-tblRegister[[#This Row],[OUT Total Before Sale]]&lt;IF($E$3:E58 = tblRegister[[#This Row],[OUT Token]],$F$3:F58,0),
                        IF($E$3:E58 = tblRegister[[#This Row],[OUT Token]],$L$3:L58 - tblRegister[[#This Row],[OUT Total Before Sale]],0),
                        IF($E$3:E58 = tblRegister[[#This Row],[OUT Token]],$F$3:F58,0)
                  )
            )
      ),
      IF(IF($E$3:E58 = tblRegister[[#This Row],[OUT Token]],tblRegister[[#This Row],[OUT Quantity]]-$L$3:L58+tblRegister[[#This Row],[OUT Total Before Sale]]+$F$3:F58,1) &lt;0,0,
           IF($E$3:E58 = tblRegister[[#This Row],[OUT Token]],tblRegister[[#This Row],[OUT Quantity]]-$L$3:L58+tblRegister[[#This Row],[OUT Total Before Sale]]+$F$3:F58,0)))))/tblRegister[[#This Row],[OUT Quantity]],"")</f>
        <v/>
      </c>
      <c r="J59" s="63" t="str">
        <f ca="1">IFERROR(tblRegister[[#This Row],[OUT Book Price]]*tblRegister[[#This Row],[OUT Quantity]]/tblRegister[[#This Row],[IN Quantity]],"")</f>
        <v/>
      </c>
      <c r="K59" s="63" t="str">
        <f>IFERROR(IF(tblRegister[[#This Row],[IN Token]]=DefCurrency,tblRegister[[#This Row],[IN Quantity]]*(1-tblRegister[[#This Row],[IN Price]]),""),"")</f>
        <v/>
      </c>
      <c r="L59" s="52" t="str">
        <f t="array" aca="1" ref="L5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5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59" s="52" t="str">
        <f t="array" ref="N59">IF(tblRegister[[#This Row],[Batch]]="","",tblRegister[[#This Row],[OUT Total After Sale]]-tblRegister[[#This Row],[OUT Quantity]])</f>
        <v/>
      </c>
      <c r="O59" s="53" t="str">
        <f t="array" aca="1" ref="O5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0" spans="2:15" x14ac:dyDescent="0.25">
      <c r="B60" s="50">
        <f>ROW()-ROW(tblRegister[[#Headers],[Ind]])</f>
        <v>57</v>
      </c>
      <c r="C60" s="60" t="str">
        <f>IF(ISBLANK(tblRegister[[#This Row],[IN Token]]),"",tblRegister[[#This Row],[Ind]])</f>
        <v/>
      </c>
      <c r="D60" s="118"/>
      <c r="E60" s="51"/>
      <c r="F60" s="111"/>
      <c r="G60" s="51"/>
      <c r="H60" s="111"/>
      <c r="I60" s="63" t="str">
        <f t="array" aca="1" ref="I60" ca="1">IFERROR(IF(tblRegister[[#This Row],[OUT Token]]=DefCurrency,tblRegister[[#This Row],[OUT Quantity]],
      SUMPRODUCT($J$3:J59,
      IF(IF($E$3:E59 = tblRegister[[#This Row],[OUT Token]],tblRegister[[#This Row],[OUT Quantity]]-$L$3:L59+tblRegister[[#This Row],[OUT Total Before Sale]]+$F$3:F59,0)  &gt; IF(ISERROR(IF($E$3:E59 = tblRegister[[#This Row],[OUT Token]],$L$3:L59,N/A)-tblRegister[[#This Row],[OUT Total Before Sale]]),0,
            IF(IF($E$3:E59 = tblRegister[[#This Row],[OUT Token]],$L$3:L59,N/A)-tblRegister[[#This Row],[OUT Total Before Sale]]&lt;0,0,
                  IF(IF($E$3:E59 = tblRegister[[#This Row],[OUT Token]],$L$3:L59,tblRegister[[#This Row],[OUT Total Before Sale]])-tblRegister[[#This Row],[OUT Total Before Sale]]&lt;IF($E$3:E59 = tblRegister[[#This Row],[OUT Token]],$F$3:F59,0),
                        IF($E$3:E59 = tblRegister[[#This Row],[OUT Token]],$L$3:L59 - tblRegister[[#This Row],[OUT Total Before Sale]],0),
                        IF($E$3:E59 = tblRegister[[#This Row],[OUT Token]],$F$3:F59,0)
                  )
            )
      ),
     IF(ISERROR(IF($E$3:E59 = tblRegister[[#This Row],[OUT Token]],$L$3:L59,N/A)-tblRegister[[#This Row],[OUT Total Before Sale]]),0,
            IF(IF($E$3:E59 = tblRegister[[#This Row],[OUT Token]],$L$3:L59,N/A)-tblRegister[[#This Row],[OUT Total Before Sale]]&lt;0,0,
                  IF(IF($E$3:E59 = tblRegister[[#This Row],[OUT Token]],$L$3:L59,tblRegister[[#This Row],[OUT Total Before Sale]])-tblRegister[[#This Row],[OUT Total Before Sale]]&lt;IF($E$3:E59 = tblRegister[[#This Row],[OUT Token]],$F$3:F59,0),
                        IF($E$3:E59 = tblRegister[[#This Row],[OUT Token]],$L$3:L59 - tblRegister[[#This Row],[OUT Total Before Sale]],0),
                        IF($E$3:E59 = tblRegister[[#This Row],[OUT Token]],$F$3:F59,0)
                  )
            )
      ),
      IF(IF($E$3:E59 = tblRegister[[#This Row],[OUT Token]],tblRegister[[#This Row],[OUT Quantity]]-$L$3:L59+tblRegister[[#This Row],[OUT Total Before Sale]]+$F$3:F59,1) &lt;0,0,
           IF($E$3:E59 = tblRegister[[#This Row],[OUT Token]],tblRegister[[#This Row],[OUT Quantity]]-$L$3:L59+tblRegister[[#This Row],[OUT Total Before Sale]]+$F$3:F59,0)))))/tblRegister[[#This Row],[OUT Quantity]],"")</f>
        <v/>
      </c>
      <c r="J60" s="63" t="str">
        <f ca="1">IFERROR(tblRegister[[#This Row],[OUT Book Price]]*tblRegister[[#This Row],[OUT Quantity]]/tblRegister[[#This Row],[IN Quantity]],"")</f>
        <v/>
      </c>
      <c r="K60" s="63" t="str">
        <f>IFERROR(IF(tblRegister[[#This Row],[IN Token]]=DefCurrency,tblRegister[[#This Row],[IN Quantity]]*(1-tblRegister[[#This Row],[IN Price]]),""),"")</f>
        <v/>
      </c>
      <c r="L60" s="52" t="str">
        <f t="array" aca="1" ref="L6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0" s="52" t="str">
        <f t="array" ref="N60">IF(tblRegister[[#This Row],[Batch]]="","",tblRegister[[#This Row],[OUT Total After Sale]]-tblRegister[[#This Row],[OUT Quantity]])</f>
        <v/>
      </c>
      <c r="O60" s="53" t="str">
        <f t="array" aca="1" ref="O6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1" spans="2:15" x14ac:dyDescent="0.25">
      <c r="B61" s="50">
        <f>ROW()-ROW(tblRegister[[#Headers],[Ind]])</f>
        <v>58</v>
      </c>
      <c r="C61" s="60" t="str">
        <f>IF(ISBLANK(tblRegister[[#This Row],[IN Token]]),"",tblRegister[[#This Row],[Ind]])</f>
        <v/>
      </c>
      <c r="D61" s="118"/>
      <c r="E61" s="51"/>
      <c r="F61" s="111"/>
      <c r="G61" s="51"/>
      <c r="H61" s="111"/>
      <c r="I61" s="63" t="str">
        <f t="array" aca="1" ref="I61" ca="1">IFERROR(IF(tblRegister[[#This Row],[OUT Token]]=DefCurrency,tblRegister[[#This Row],[OUT Quantity]],
      SUMPRODUCT($J$3:J60,
      IF(IF($E$3:E60 = tblRegister[[#This Row],[OUT Token]],tblRegister[[#This Row],[OUT Quantity]]-$L$3:L60+tblRegister[[#This Row],[OUT Total Before Sale]]+$F$3:F60,0)  &gt; IF(ISERROR(IF($E$3:E60 = tblRegister[[#This Row],[OUT Token]],$L$3:L60,N/A)-tblRegister[[#This Row],[OUT Total Before Sale]]),0,
            IF(IF($E$3:E60 = tblRegister[[#This Row],[OUT Token]],$L$3:L60,N/A)-tblRegister[[#This Row],[OUT Total Before Sale]]&lt;0,0,
                  IF(IF($E$3:E60 = tblRegister[[#This Row],[OUT Token]],$L$3:L60,tblRegister[[#This Row],[OUT Total Before Sale]])-tblRegister[[#This Row],[OUT Total Before Sale]]&lt;IF($E$3:E60 = tblRegister[[#This Row],[OUT Token]],$F$3:F60,0),
                        IF($E$3:E60 = tblRegister[[#This Row],[OUT Token]],$L$3:L60 - tblRegister[[#This Row],[OUT Total Before Sale]],0),
                        IF($E$3:E60 = tblRegister[[#This Row],[OUT Token]],$F$3:F60,0)
                  )
            )
      ),
     IF(ISERROR(IF($E$3:E60 = tblRegister[[#This Row],[OUT Token]],$L$3:L60,N/A)-tblRegister[[#This Row],[OUT Total Before Sale]]),0,
            IF(IF($E$3:E60 = tblRegister[[#This Row],[OUT Token]],$L$3:L60,N/A)-tblRegister[[#This Row],[OUT Total Before Sale]]&lt;0,0,
                  IF(IF($E$3:E60 = tblRegister[[#This Row],[OUT Token]],$L$3:L60,tblRegister[[#This Row],[OUT Total Before Sale]])-tblRegister[[#This Row],[OUT Total Before Sale]]&lt;IF($E$3:E60 = tblRegister[[#This Row],[OUT Token]],$F$3:F60,0),
                        IF($E$3:E60 = tblRegister[[#This Row],[OUT Token]],$L$3:L60 - tblRegister[[#This Row],[OUT Total Before Sale]],0),
                        IF($E$3:E60 = tblRegister[[#This Row],[OUT Token]],$F$3:F60,0)
                  )
            )
      ),
      IF(IF($E$3:E60 = tblRegister[[#This Row],[OUT Token]],tblRegister[[#This Row],[OUT Quantity]]-$L$3:L60+tblRegister[[#This Row],[OUT Total Before Sale]]+$F$3:F60,1) &lt;0,0,
           IF($E$3:E60 = tblRegister[[#This Row],[OUT Token]],tblRegister[[#This Row],[OUT Quantity]]-$L$3:L60+tblRegister[[#This Row],[OUT Total Before Sale]]+$F$3:F60,0)))))/tblRegister[[#This Row],[OUT Quantity]],"")</f>
        <v/>
      </c>
      <c r="J61" s="63" t="str">
        <f ca="1">IFERROR(tblRegister[[#This Row],[OUT Book Price]]*tblRegister[[#This Row],[OUT Quantity]]/tblRegister[[#This Row],[IN Quantity]],"")</f>
        <v/>
      </c>
      <c r="K61" s="63" t="str">
        <f>IFERROR(IF(tblRegister[[#This Row],[IN Token]]=DefCurrency,tblRegister[[#This Row],[IN Quantity]]*(1-tblRegister[[#This Row],[IN Price]]),""),"")</f>
        <v/>
      </c>
      <c r="L61" s="52" t="str">
        <f t="array" aca="1" ref="L6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1" s="52" t="str">
        <f t="array" ref="N61">IF(tblRegister[[#This Row],[Batch]]="","",tblRegister[[#This Row],[OUT Total After Sale]]-tblRegister[[#This Row],[OUT Quantity]])</f>
        <v/>
      </c>
      <c r="O61" s="53" t="str">
        <f t="array" aca="1" ref="O6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2" spans="2:15" x14ac:dyDescent="0.25">
      <c r="B62" s="50">
        <f>ROW()-ROW(tblRegister[[#Headers],[Ind]])</f>
        <v>59</v>
      </c>
      <c r="C62" s="60" t="str">
        <f>IF(ISBLANK(tblRegister[[#This Row],[IN Token]]),"",tblRegister[[#This Row],[Ind]])</f>
        <v/>
      </c>
      <c r="D62" s="118"/>
      <c r="E62" s="51"/>
      <c r="F62" s="111"/>
      <c r="G62" s="51"/>
      <c r="H62" s="111"/>
      <c r="I62" s="63" t="str">
        <f t="array" aca="1" ref="I62" ca="1">IFERROR(IF(tblRegister[[#This Row],[OUT Token]]=DefCurrency,tblRegister[[#This Row],[OUT Quantity]],
      SUMPRODUCT($J$3:J61,
      IF(IF($E$3:E61 = tblRegister[[#This Row],[OUT Token]],tblRegister[[#This Row],[OUT Quantity]]-$L$3:L61+tblRegister[[#This Row],[OUT Total Before Sale]]+$F$3:F61,0)  &gt; IF(ISERROR(IF($E$3:E61 = tblRegister[[#This Row],[OUT Token]],$L$3:L61,N/A)-tblRegister[[#This Row],[OUT Total Before Sale]]),0,
            IF(IF($E$3:E61 = tblRegister[[#This Row],[OUT Token]],$L$3:L61,N/A)-tblRegister[[#This Row],[OUT Total Before Sale]]&lt;0,0,
                  IF(IF($E$3:E61 = tblRegister[[#This Row],[OUT Token]],$L$3:L61,tblRegister[[#This Row],[OUT Total Before Sale]])-tblRegister[[#This Row],[OUT Total Before Sale]]&lt;IF($E$3:E61 = tblRegister[[#This Row],[OUT Token]],$F$3:F61,0),
                        IF($E$3:E61 = tblRegister[[#This Row],[OUT Token]],$L$3:L61 - tblRegister[[#This Row],[OUT Total Before Sale]],0),
                        IF($E$3:E61 = tblRegister[[#This Row],[OUT Token]],$F$3:F61,0)
                  )
            )
      ),
     IF(ISERROR(IF($E$3:E61 = tblRegister[[#This Row],[OUT Token]],$L$3:L61,N/A)-tblRegister[[#This Row],[OUT Total Before Sale]]),0,
            IF(IF($E$3:E61 = tblRegister[[#This Row],[OUT Token]],$L$3:L61,N/A)-tblRegister[[#This Row],[OUT Total Before Sale]]&lt;0,0,
                  IF(IF($E$3:E61 = tblRegister[[#This Row],[OUT Token]],$L$3:L61,tblRegister[[#This Row],[OUT Total Before Sale]])-tblRegister[[#This Row],[OUT Total Before Sale]]&lt;IF($E$3:E61 = tblRegister[[#This Row],[OUT Token]],$F$3:F61,0),
                        IF($E$3:E61 = tblRegister[[#This Row],[OUT Token]],$L$3:L61 - tblRegister[[#This Row],[OUT Total Before Sale]],0),
                        IF($E$3:E61 = tblRegister[[#This Row],[OUT Token]],$F$3:F61,0)
                  )
            )
      ),
      IF(IF($E$3:E61 = tblRegister[[#This Row],[OUT Token]],tblRegister[[#This Row],[OUT Quantity]]-$L$3:L61+tblRegister[[#This Row],[OUT Total Before Sale]]+$F$3:F61,1) &lt;0,0,
           IF($E$3:E61 = tblRegister[[#This Row],[OUT Token]],tblRegister[[#This Row],[OUT Quantity]]-$L$3:L61+tblRegister[[#This Row],[OUT Total Before Sale]]+$F$3:F61,0)))))/tblRegister[[#This Row],[OUT Quantity]],"")</f>
        <v/>
      </c>
      <c r="J62" s="63" t="str">
        <f ca="1">IFERROR(tblRegister[[#This Row],[OUT Book Price]]*tblRegister[[#This Row],[OUT Quantity]]/tblRegister[[#This Row],[IN Quantity]],"")</f>
        <v/>
      </c>
      <c r="K62" s="63" t="str">
        <f>IFERROR(IF(tblRegister[[#This Row],[IN Token]]=DefCurrency,tblRegister[[#This Row],[IN Quantity]]*(1-tblRegister[[#This Row],[IN Price]]),""),"")</f>
        <v/>
      </c>
      <c r="L62" s="52" t="str">
        <f t="array" aca="1" ref="L6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2" s="52" t="str">
        <f t="array" ref="N62">IF(tblRegister[[#This Row],[Batch]]="","",tblRegister[[#This Row],[OUT Total After Sale]]-tblRegister[[#This Row],[OUT Quantity]])</f>
        <v/>
      </c>
      <c r="O62" s="53" t="str">
        <f t="array" aca="1" ref="O6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3" spans="2:15" x14ac:dyDescent="0.25">
      <c r="B63" s="50">
        <f>ROW()-ROW(tblRegister[[#Headers],[Ind]])</f>
        <v>60</v>
      </c>
      <c r="C63" s="60" t="str">
        <f>IF(ISBLANK(tblRegister[[#This Row],[IN Token]]),"",tblRegister[[#This Row],[Ind]])</f>
        <v/>
      </c>
      <c r="D63" s="118"/>
      <c r="E63" s="51"/>
      <c r="F63" s="111"/>
      <c r="G63" s="51"/>
      <c r="H63" s="111"/>
      <c r="I63" s="63" t="str">
        <f t="array" aca="1" ref="I63" ca="1">IFERROR(IF(tblRegister[[#This Row],[OUT Token]]=DefCurrency,tblRegister[[#This Row],[OUT Quantity]],
      SUMPRODUCT($J$3:J62,
      IF(IF($E$3:E62 = tblRegister[[#This Row],[OUT Token]],tblRegister[[#This Row],[OUT Quantity]]-$L$3:L62+tblRegister[[#This Row],[OUT Total Before Sale]]+$F$3:F62,0)  &gt; IF(ISERROR(IF($E$3:E62 = tblRegister[[#This Row],[OUT Token]],$L$3:L62,N/A)-tblRegister[[#This Row],[OUT Total Before Sale]]),0,
            IF(IF($E$3:E62 = tblRegister[[#This Row],[OUT Token]],$L$3:L62,N/A)-tblRegister[[#This Row],[OUT Total Before Sale]]&lt;0,0,
                  IF(IF($E$3:E62 = tblRegister[[#This Row],[OUT Token]],$L$3:L62,tblRegister[[#This Row],[OUT Total Before Sale]])-tblRegister[[#This Row],[OUT Total Before Sale]]&lt;IF($E$3:E62 = tblRegister[[#This Row],[OUT Token]],$F$3:F62,0),
                        IF($E$3:E62 = tblRegister[[#This Row],[OUT Token]],$L$3:L62 - tblRegister[[#This Row],[OUT Total Before Sale]],0),
                        IF($E$3:E62 = tblRegister[[#This Row],[OUT Token]],$F$3:F62,0)
                  )
            )
      ),
     IF(ISERROR(IF($E$3:E62 = tblRegister[[#This Row],[OUT Token]],$L$3:L62,N/A)-tblRegister[[#This Row],[OUT Total Before Sale]]),0,
            IF(IF($E$3:E62 = tblRegister[[#This Row],[OUT Token]],$L$3:L62,N/A)-tblRegister[[#This Row],[OUT Total Before Sale]]&lt;0,0,
                  IF(IF($E$3:E62 = tblRegister[[#This Row],[OUT Token]],$L$3:L62,tblRegister[[#This Row],[OUT Total Before Sale]])-tblRegister[[#This Row],[OUT Total Before Sale]]&lt;IF($E$3:E62 = tblRegister[[#This Row],[OUT Token]],$F$3:F62,0),
                        IF($E$3:E62 = tblRegister[[#This Row],[OUT Token]],$L$3:L62 - tblRegister[[#This Row],[OUT Total Before Sale]],0),
                        IF($E$3:E62 = tblRegister[[#This Row],[OUT Token]],$F$3:F62,0)
                  )
            )
      ),
      IF(IF($E$3:E62 = tblRegister[[#This Row],[OUT Token]],tblRegister[[#This Row],[OUT Quantity]]-$L$3:L62+tblRegister[[#This Row],[OUT Total Before Sale]]+$F$3:F62,1) &lt;0,0,
           IF($E$3:E62 = tblRegister[[#This Row],[OUT Token]],tblRegister[[#This Row],[OUT Quantity]]-$L$3:L62+tblRegister[[#This Row],[OUT Total Before Sale]]+$F$3:F62,0)))))/tblRegister[[#This Row],[OUT Quantity]],"")</f>
        <v/>
      </c>
      <c r="J63" s="63" t="str">
        <f ca="1">IFERROR(tblRegister[[#This Row],[OUT Book Price]]*tblRegister[[#This Row],[OUT Quantity]]/tblRegister[[#This Row],[IN Quantity]],"")</f>
        <v/>
      </c>
      <c r="K63" s="63" t="str">
        <f>IFERROR(IF(tblRegister[[#This Row],[IN Token]]=DefCurrency,tblRegister[[#This Row],[IN Quantity]]*(1-tblRegister[[#This Row],[IN Price]]),""),"")</f>
        <v/>
      </c>
      <c r="L63" s="52" t="str">
        <f t="array" aca="1" ref="L6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3" s="52" t="str">
        <f t="array" ref="N63">IF(tblRegister[[#This Row],[Batch]]="","",tblRegister[[#This Row],[OUT Total After Sale]]-tblRegister[[#This Row],[OUT Quantity]])</f>
        <v/>
      </c>
      <c r="O63" s="53" t="str">
        <f t="array" aca="1" ref="O6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4" spans="2:15" x14ac:dyDescent="0.25">
      <c r="B64" s="50">
        <f>ROW()-ROW(tblRegister[[#Headers],[Ind]])</f>
        <v>61</v>
      </c>
      <c r="C64" s="60" t="str">
        <f>IF(ISBLANK(tblRegister[[#This Row],[IN Token]]),"",tblRegister[[#This Row],[Ind]])</f>
        <v/>
      </c>
      <c r="D64" s="118"/>
      <c r="E64" s="51"/>
      <c r="F64" s="111"/>
      <c r="G64" s="51"/>
      <c r="H64" s="111"/>
      <c r="I64" s="63" t="str">
        <f t="array" aca="1" ref="I64" ca="1">IFERROR(IF(tblRegister[[#This Row],[OUT Token]]=DefCurrency,tblRegister[[#This Row],[OUT Quantity]],
      SUMPRODUCT($J$3:J63,
      IF(IF($E$3:E63 = tblRegister[[#This Row],[OUT Token]],tblRegister[[#This Row],[OUT Quantity]]-$L$3:L63+tblRegister[[#This Row],[OUT Total Before Sale]]+$F$3:F63,0)  &gt; IF(ISERROR(IF($E$3:E63 = tblRegister[[#This Row],[OUT Token]],$L$3:L63,N/A)-tblRegister[[#This Row],[OUT Total Before Sale]]),0,
            IF(IF($E$3:E63 = tblRegister[[#This Row],[OUT Token]],$L$3:L63,N/A)-tblRegister[[#This Row],[OUT Total Before Sale]]&lt;0,0,
                  IF(IF($E$3:E63 = tblRegister[[#This Row],[OUT Token]],$L$3:L63,tblRegister[[#This Row],[OUT Total Before Sale]])-tblRegister[[#This Row],[OUT Total Before Sale]]&lt;IF($E$3:E63 = tblRegister[[#This Row],[OUT Token]],$F$3:F63,0),
                        IF($E$3:E63 = tblRegister[[#This Row],[OUT Token]],$L$3:L63 - tblRegister[[#This Row],[OUT Total Before Sale]],0),
                        IF($E$3:E63 = tblRegister[[#This Row],[OUT Token]],$F$3:F63,0)
                  )
            )
      ),
     IF(ISERROR(IF($E$3:E63 = tblRegister[[#This Row],[OUT Token]],$L$3:L63,N/A)-tblRegister[[#This Row],[OUT Total Before Sale]]),0,
            IF(IF($E$3:E63 = tblRegister[[#This Row],[OUT Token]],$L$3:L63,N/A)-tblRegister[[#This Row],[OUT Total Before Sale]]&lt;0,0,
                  IF(IF($E$3:E63 = tblRegister[[#This Row],[OUT Token]],$L$3:L63,tblRegister[[#This Row],[OUT Total Before Sale]])-tblRegister[[#This Row],[OUT Total Before Sale]]&lt;IF($E$3:E63 = tblRegister[[#This Row],[OUT Token]],$F$3:F63,0),
                        IF($E$3:E63 = tblRegister[[#This Row],[OUT Token]],$L$3:L63 - tblRegister[[#This Row],[OUT Total Before Sale]],0),
                        IF($E$3:E63 = tblRegister[[#This Row],[OUT Token]],$F$3:F63,0)
                  )
            )
      ),
      IF(IF($E$3:E63 = tblRegister[[#This Row],[OUT Token]],tblRegister[[#This Row],[OUT Quantity]]-$L$3:L63+tblRegister[[#This Row],[OUT Total Before Sale]]+$F$3:F63,1) &lt;0,0,
           IF($E$3:E63 = tblRegister[[#This Row],[OUT Token]],tblRegister[[#This Row],[OUT Quantity]]-$L$3:L63+tblRegister[[#This Row],[OUT Total Before Sale]]+$F$3:F63,0)))))/tblRegister[[#This Row],[OUT Quantity]],"")</f>
        <v/>
      </c>
      <c r="J64" s="63" t="str">
        <f ca="1">IFERROR(tblRegister[[#This Row],[OUT Book Price]]*tblRegister[[#This Row],[OUT Quantity]]/tblRegister[[#This Row],[IN Quantity]],"")</f>
        <v/>
      </c>
      <c r="K64" s="63" t="str">
        <f>IFERROR(IF(tblRegister[[#This Row],[IN Token]]=DefCurrency,tblRegister[[#This Row],[IN Quantity]]*(1-tblRegister[[#This Row],[IN Price]]),""),"")</f>
        <v/>
      </c>
      <c r="L64" s="52" t="str">
        <f t="array" aca="1" ref="L6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4" s="52" t="str">
        <f t="array" ref="N64">IF(tblRegister[[#This Row],[Batch]]="","",tblRegister[[#This Row],[OUT Total After Sale]]-tblRegister[[#This Row],[OUT Quantity]])</f>
        <v/>
      </c>
      <c r="O64" s="53" t="str">
        <f t="array" aca="1" ref="O6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5" spans="2:15" x14ac:dyDescent="0.25">
      <c r="B65" s="50">
        <f>ROW()-ROW(tblRegister[[#Headers],[Ind]])</f>
        <v>62</v>
      </c>
      <c r="C65" s="60" t="str">
        <f>IF(ISBLANK(tblRegister[[#This Row],[IN Token]]),"",tblRegister[[#This Row],[Ind]])</f>
        <v/>
      </c>
      <c r="D65" s="118"/>
      <c r="E65" s="51"/>
      <c r="F65" s="111"/>
      <c r="G65" s="51"/>
      <c r="H65" s="111"/>
      <c r="I65" s="63" t="str">
        <f t="array" aca="1" ref="I65" ca="1">IFERROR(IF(tblRegister[[#This Row],[OUT Token]]=DefCurrency,tblRegister[[#This Row],[OUT Quantity]],
      SUMPRODUCT($J$3:J64,
      IF(IF($E$3:E64 = tblRegister[[#This Row],[OUT Token]],tblRegister[[#This Row],[OUT Quantity]]-$L$3:L64+tblRegister[[#This Row],[OUT Total Before Sale]]+$F$3:F64,0)  &gt; IF(ISERROR(IF($E$3:E64 = tblRegister[[#This Row],[OUT Token]],$L$3:L64,N/A)-tblRegister[[#This Row],[OUT Total Before Sale]]),0,
            IF(IF($E$3:E64 = tblRegister[[#This Row],[OUT Token]],$L$3:L64,N/A)-tblRegister[[#This Row],[OUT Total Before Sale]]&lt;0,0,
                  IF(IF($E$3:E64 = tblRegister[[#This Row],[OUT Token]],$L$3:L64,tblRegister[[#This Row],[OUT Total Before Sale]])-tblRegister[[#This Row],[OUT Total Before Sale]]&lt;IF($E$3:E64 = tblRegister[[#This Row],[OUT Token]],$F$3:F64,0),
                        IF($E$3:E64 = tblRegister[[#This Row],[OUT Token]],$L$3:L64 - tblRegister[[#This Row],[OUT Total Before Sale]],0),
                        IF($E$3:E64 = tblRegister[[#This Row],[OUT Token]],$F$3:F64,0)
                  )
            )
      ),
     IF(ISERROR(IF($E$3:E64 = tblRegister[[#This Row],[OUT Token]],$L$3:L64,N/A)-tblRegister[[#This Row],[OUT Total Before Sale]]),0,
            IF(IF($E$3:E64 = tblRegister[[#This Row],[OUT Token]],$L$3:L64,N/A)-tblRegister[[#This Row],[OUT Total Before Sale]]&lt;0,0,
                  IF(IF($E$3:E64 = tblRegister[[#This Row],[OUT Token]],$L$3:L64,tblRegister[[#This Row],[OUT Total Before Sale]])-tblRegister[[#This Row],[OUT Total Before Sale]]&lt;IF($E$3:E64 = tblRegister[[#This Row],[OUT Token]],$F$3:F64,0),
                        IF($E$3:E64 = tblRegister[[#This Row],[OUT Token]],$L$3:L64 - tblRegister[[#This Row],[OUT Total Before Sale]],0),
                        IF($E$3:E64 = tblRegister[[#This Row],[OUT Token]],$F$3:F64,0)
                  )
            )
      ),
      IF(IF($E$3:E64 = tblRegister[[#This Row],[OUT Token]],tblRegister[[#This Row],[OUT Quantity]]-$L$3:L64+tblRegister[[#This Row],[OUT Total Before Sale]]+$F$3:F64,1) &lt;0,0,
           IF($E$3:E64 = tblRegister[[#This Row],[OUT Token]],tblRegister[[#This Row],[OUT Quantity]]-$L$3:L64+tblRegister[[#This Row],[OUT Total Before Sale]]+$F$3:F64,0)))))/tblRegister[[#This Row],[OUT Quantity]],"")</f>
        <v/>
      </c>
      <c r="J65" s="63" t="str">
        <f ca="1">IFERROR(tblRegister[[#This Row],[OUT Book Price]]*tblRegister[[#This Row],[OUT Quantity]]/tblRegister[[#This Row],[IN Quantity]],"")</f>
        <v/>
      </c>
      <c r="K65" s="63" t="str">
        <f>IFERROR(IF(tblRegister[[#This Row],[IN Token]]=DefCurrency,tblRegister[[#This Row],[IN Quantity]]*(1-tblRegister[[#This Row],[IN Price]]),""),"")</f>
        <v/>
      </c>
      <c r="L65" s="52" t="str">
        <f t="array" aca="1" ref="L6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5" s="52" t="str">
        <f t="array" ref="N65">IF(tblRegister[[#This Row],[Batch]]="","",tblRegister[[#This Row],[OUT Total After Sale]]-tblRegister[[#This Row],[OUT Quantity]])</f>
        <v/>
      </c>
      <c r="O65" s="53" t="str">
        <f t="array" aca="1" ref="O6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6" spans="2:15" x14ac:dyDescent="0.25">
      <c r="B66" s="50">
        <f>ROW()-ROW(tblRegister[[#Headers],[Ind]])</f>
        <v>63</v>
      </c>
      <c r="C66" s="60" t="str">
        <f>IF(ISBLANK(tblRegister[[#This Row],[IN Token]]),"",tblRegister[[#This Row],[Ind]])</f>
        <v/>
      </c>
      <c r="D66" s="118"/>
      <c r="E66" s="51"/>
      <c r="F66" s="111"/>
      <c r="G66" s="51"/>
      <c r="H66" s="111"/>
      <c r="I66" s="63" t="str">
        <f t="array" aca="1" ref="I66" ca="1">IFERROR(IF(tblRegister[[#This Row],[OUT Token]]=DefCurrency,tblRegister[[#This Row],[OUT Quantity]],
      SUMPRODUCT($J$3:J65,
      IF(IF($E$3:E65 = tblRegister[[#This Row],[OUT Token]],tblRegister[[#This Row],[OUT Quantity]]-$L$3:L65+tblRegister[[#This Row],[OUT Total Before Sale]]+$F$3:F65,0)  &gt; IF(ISERROR(IF($E$3:E65 = tblRegister[[#This Row],[OUT Token]],$L$3:L65,N/A)-tblRegister[[#This Row],[OUT Total Before Sale]]),0,
            IF(IF($E$3:E65 = tblRegister[[#This Row],[OUT Token]],$L$3:L65,N/A)-tblRegister[[#This Row],[OUT Total Before Sale]]&lt;0,0,
                  IF(IF($E$3:E65 = tblRegister[[#This Row],[OUT Token]],$L$3:L65,tblRegister[[#This Row],[OUT Total Before Sale]])-tblRegister[[#This Row],[OUT Total Before Sale]]&lt;IF($E$3:E65 = tblRegister[[#This Row],[OUT Token]],$F$3:F65,0),
                        IF($E$3:E65 = tblRegister[[#This Row],[OUT Token]],$L$3:L65 - tblRegister[[#This Row],[OUT Total Before Sale]],0),
                        IF($E$3:E65 = tblRegister[[#This Row],[OUT Token]],$F$3:F65,0)
                  )
            )
      ),
     IF(ISERROR(IF($E$3:E65 = tblRegister[[#This Row],[OUT Token]],$L$3:L65,N/A)-tblRegister[[#This Row],[OUT Total Before Sale]]),0,
            IF(IF($E$3:E65 = tblRegister[[#This Row],[OUT Token]],$L$3:L65,N/A)-tblRegister[[#This Row],[OUT Total Before Sale]]&lt;0,0,
                  IF(IF($E$3:E65 = tblRegister[[#This Row],[OUT Token]],$L$3:L65,tblRegister[[#This Row],[OUT Total Before Sale]])-tblRegister[[#This Row],[OUT Total Before Sale]]&lt;IF($E$3:E65 = tblRegister[[#This Row],[OUT Token]],$F$3:F65,0),
                        IF($E$3:E65 = tblRegister[[#This Row],[OUT Token]],$L$3:L65 - tblRegister[[#This Row],[OUT Total Before Sale]],0),
                        IF($E$3:E65 = tblRegister[[#This Row],[OUT Token]],$F$3:F65,0)
                  )
            )
      ),
      IF(IF($E$3:E65 = tblRegister[[#This Row],[OUT Token]],tblRegister[[#This Row],[OUT Quantity]]-$L$3:L65+tblRegister[[#This Row],[OUT Total Before Sale]]+$F$3:F65,1) &lt;0,0,
           IF($E$3:E65 = tblRegister[[#This Row],[OUT Token]],tblRegister[[#This Row],[OUT Quantity]]-$L$3:L65+tblRegister[[#This Row],[OUT Total Before Sale]]+$F$3:F65,0)))))/tblRegister[[#This Row],[OUT Quantity]],"")</f>
        <v/>
      </c>
      <c r="J66" s="63" t="str">
        <f ca="1">IFERROR(tblRegister[[#This Row],[OUT Book Price]]*tblRegister[[#This Row],[OUT Quantity]]/tblRegister[[#This Row],[IN Quantity]],"")</f>
        <v/>
      </c>
      <c r="K66" s="63" t="str">
        <f>IFERROR(IF(tblRegister[[#This Row],[IN Token]]=DefCurrency,tblRegister[[#This Row],[IN Quantity]]*(1-tblRegister[[#This Row],[IN Price]]),""),"")</f>
        <v/>
      </c>
      <c r="L66" s="52" t="str">
        <f t="array" aca="1" ref="L6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6" s="52" t="str">
        <f t="array" ref="N66">IF(tblRegister[[#This Row],[Batch]]="","",tblRegister[[#This Row],[OUT Total After Sale]]-tblRegister[[#This Row],[OUT Quantity]])</f>
        <v/>
      </c>
      <c r="O66" s="53" t="str">
        <f t="array" aca="1" ref="O6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7" spans="2:15" x14ac:dyDescent="0.25">
      <c r="B67" s="50">
        <f>ROW()-ROW(tblRegister[[#Headers],[Ind]])</f>
        <v>64</v>
      </c>
      <c r="C67" s="60" t="str">
        <f>IF(ISBLANK(tblRegister[[#This Row],[IN Token]]),"",tblRegister[[#This Row],[Ind]])</f>
        <v/>
      </c>
      <c r="D67" s="118"/>
      <c r="E67" s="51"/>
      <c r="F67" s="111"/>
      <c r="G67" s="51"/>
      <c r="H67" s="111"/>
      <c r="I67" s="63" t="str">
        <f t="array" aca="1" ref="I67" ca="1">IFERROR(IF(tblRegister[[#This Row],[OUT Token]]=DefCurrency,tblRegister[[#This Row],[OUT Quantity]],
      SUMPRODUCT($J$3:J66,
      IF(IF($E$3:E66 = tblRegister[[#This Row],[OUT Token]],tblRegister[[#This Row],[OUT Quantity]]-$L$3:L66+tblRegister[[#This Row],[OUT Total Before Sale]]+$F$3:F66,0)  &gt; IF(ISERROR(IF($E$3:E66 = tblRegister[[#This Row],[OUT Token]],$L$3:L66,N/A)-tblRegister[[#This Row],[OUT Total Before Sale]]),0,
            IF(IF($E$3:E66 = tblRegister[[#This Row],[OUT Token]],$L$3:L66,N/A)-tblRegister[[#This Row],[OUT Total Before Sale]]&lt;0,0,
                  IF(IF($E$3:E66 = tblRegister[[#This Row],[OUT Token]],$L$3:L66,tblRegister[[#This Row],[OUT Total Before Sale]])-tblRegister[[#This Row],[OUT Total Before Sale]]&lt;IF($E$3:E66 = tblRegister[[#This Row],[OUT Token]],$F$3:F66,0),
                        IF($E$3:E66 = tblRegister[[#This Row],[OUT Token]],$L$3:L66 - tblRegister[[#This Row],[OUT Total Before Sale]],0),
                        IF($E$3:E66 = tblRegister[[#This Row],[OUT Token]],$F$3:F66,0)
                  )
            )
      ),
     IF(ISERROR(IF($E$3:E66 = tblRegister[[#This Row],[OUT Token]],$L$3:L66,N/A)-tblRegister[[#This Row],[OUT Total Before Sale]]),0,
            IF(IF($E$3:E66 = tblRegister[[#This Row],[OUT Token]],$L$3:L66,N/A)-tblRegister[[#This Row],[OUT Total Before Sale]]&lt;0,0,
                  IF(IF($E$3:E66 = tblRegister[[#This Row],[OUT Token]],$L$3:L66,tblRegister[[#This Row],[OUT Total Before Sale]])-tblRegister[[#This Row],[OUT Total Before Sale]]&lt;IF($E$3:E66 = tblRegister[[#This Row],[OUT Token]],$F$3:F66,0),
                        IF($E$3:E66 = tblRegister[[#This Row],[OUT Token]],$L$3:L66 - tblRegister[[#This Row],[OUT Total Before Sale]],0),
                        IF($E$3:E66 = tblRegister[[#This Row],[OUT Token]],$F$3:F66,0)
                  )
            )
      ),
      IF(IF($E$3:E66 = tblRegister[[#This Row],[OUT Token]],tblRegister[[#This Row],[OUT Quantity]]-$L$3:L66+tblRegister[[#This Row],[OUT Total Before Sale]]+$F$3:F66,1) &lt;0,0,
           IF($E$3:E66 = tblRegister[[#This Row],[OUT Token]],tblRegister[[#This Row],[OUT Quantity]]-$L$3:L66+tblRegister[[#This Row],[OUT Total Before Sale]]+$F$3:F66,0)))))/tblRegister[[#This Row],[OUT Quantity]],"")</f>
        <v/>
      </c>
      <c r="J67" s="63" t="str">
        <f ca="1">IFERROR(tblRegister[[#This Row],[OUT Book Price]]*tblRegister[[#This Row],[OUT Quantity]]/tblRegister[[#This Row],[IN Quantity]],"")</f>
        <v/>
      </c>
      <c r="K67" s="63" t="str">
        <f>IFERROR(IF(tblRegister[[#This Row],[IN Token]]=DefCurrency,tblRegister[[#This Row],[IN Quantity]]*(1-tblRegister[[#This Row],[IN Price]]),""),"")</f>
        <v/>
      </c>
      <c r="L67" s="52" t="str">
        <f t="array" aca="1" ref="L6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7" s="52" t="str">
        <f t="array" ref="N67">IF(tblRegister[[#This Row],[Batch]]="","",tblRegister[[#This Row],[OUT Total After Sale]]-tblRegister[[#This Row],[OUT Quantity]])</f>
        <v/>
      </c>
      <c r="O67" s="53" t="str">
        <f t="array" aca="1" ref="O6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8" spans="2:15" x14ac:dyDescent="0.25">
      <c r="B68" s="50">
        <f>ROW()-ROW(tblRegister[[#Headers],[Ind]])</f>
        <v>65</v>
      </c>
      <c r="C68" s="60" t="str">
        <f>IF(ISBLANK(tblRegister[[#This Row],[IN Token]]),"",tblRegister[[#This Row],[Ind]])</f>
        <v/>
      </c>
      <c r="D68" s="118"/>
      <c r="E68" s="51"/>
      <c r="F68" s="111"/>
      <c r="G68" s="51"/>
      <c r="H68" s="111"/>
      <c r="I68" s="63" t="str">
        <f t="array" aca="1" ref="I68" ca="1">IFERROR(IF(tblRegister[[#This Row],[OUT Token]]=DefCurrency,tblRegister[[#This Row],[OUT Quantity]],
      SUMPRODUCT($J$3:J67,
      IF(IF($E$3:E67 = tblRegister[[#This Row],[OUT Token]],tblRegister[[#This Row],[OUT Quantity]]-$L$3:L67+tblRegister[[#This Row],[OUT Total Before Sale]]+$F$3:F67,0)  &gt; IF(ISERROR(IF($E$3:E67 = tblRegister[[#This Row],[OUT Token]],$L$3:L67,N/A)-tblRegister[[#This Row],[OUT Total Before Sale]]),0,
            IF(IF($E$3:E67 = tblRegister[[#This Row],[OUT Token]],$L$3:L67,N/A)-tblRegister[[#This Row],[OUT Total Before Sale]]&lt;0,0,
                  IF(IF($E$3:E67 = tblRegister[[#This Row],[OUT Token]],$L$3:L67,tblRegister[[#This Row],[OUT Total Before Sale]])-tblRegister[[#This Row],[OUT Total Before Sale]]&lt;IF($E$3:E67 = tblRegister[[#This Row],[OUT Token]],$F$3:F67,0),
                        IF($E$3:E67 = tblRegister[[#This Row],[OUT Token]],$L$3:L67 - tblRegister[[#This Row],[OUT Total Before Sale]],0),
                        IF($E$3:E67 = tblRegister[[#This Row],[OUT Token]],$F$3:F67,0)
                  )
            )
      ),
     IF(ISERROR(IF($E$3:E67 = tblRegister[[#This Row],[OUT Token]],$L$3:L67,N/A)-tblRegister[[#This Row],[OUT Total Before Sale]]),0,
            IF(IF($E$3:E67 = tblRegister[[#This Row],[OUT Token]],$L$3:L67,N/A)-tblRegister[[#This Row],[OUT Total Before Sale]]&lt;0,0,
                  IF(IF($E$3:E67 = tblRegister[[#This Row],[OUT Token]],$L$3:L67,tblRegister[[#This Row],[OUT Total Before Sale]])-tblRegister[[#This Row],[OUT Total Before Sale]]&lt;IF($E$3:E67 = tblRegister[[#This Row],[OUT Token]],$F$3:F67,0),
                        IF($E$3:E67 = tblRegister[[#This Row],[OUT Token]],$L$3:L67 - tblRegister[[#This Row],[OUT Total Before Sale]],0),
                        IF($E$3:E67 = tblRegister[[#This Row],[OUT Token]],$F$3:F67,0)
                  )
            )
      ),
      IF(IF($E$3:E67 = tblRegister[[#This Row],[OUT Token]],tblRegister[[#This Row],[OUT Quantity]]-$L$3:L67+tblRegister[[#This Row],[OUT Total Before Sale]]+$F$3:F67,1) &lt;0,0,
           IF($E$3:E67 = tblRegister[[#This Row],[OUT Token]],tblRegister[[#This Row],[OUT Quantity]]-$L$3:L67+tblRegister[[#This Row],[OUT Total Before Sale]]+$F$3:F67,0)))))/tblRegister[[#This Row],[OUT Quantity]],"")</f>
        <v/>
      </c>
      <c r="J68" s="63" t="str">
        <f ca="1">IFERROR(tblRegister[[#This Row],[OUT Book Price]]*tblRegister[[#This Row],[OUT Quantity]]/tblRegister[[#This Row],[IN Quantity]],"")</f>
        <v/>
      </c>
      <c r="K68" s="63" t="str">
        <f>IFERROR(IF(tblRegister[[#This Row],[IN Token]]=DefCurrency,tblRegister[[#This Row],[IN Quantity]]*(1-tblRegister[[#This Row],[IN Price]]),""),"")</f>
        <v/>
      </c>
      <c r="L68" s="52" t="str">
        <f t="array" aca="1" ref="L6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8" s="52" t="str">
        <f t="array" ref="N68">IF(tblRegister[[#This Row],[Batch]]="","",tblRegister[[#This Row],[OUT Total After Sale]]-tblRegister[[#This Row],[OUT Quantity]])</f>
        <v/>
      </c>
      <c r="O68" s="53" t="str">
        <f t="array" aca="1" ref="O6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69" spans="2:15" x14ac:dyDescent="0.25">
      <c r="B69" s="50">
        <f>ROW()-ROW(tblRegister[[#Headers],[Ind]])</f>
        <v>66</v>
      </c>
      <c r="C69" s="60" t="str">
        <f>IF(ISBLANK(tblRegister[[#This Row],[IN Token]]),"",tblRegister[[#This Row],[Ind]])</f>
        <v/>
      </c>
      <c r="D69" s="118"/>
      <c r="E69" s="51"/>
      <c r="F69" s="111"/>
      <c r="G69" s="51"/>
      <c r="H69" s="111"/>
      <c r="I69" s="63" t="str">
        <f t="array" aca="1" ref="I69" ca="1">IFERROR(IF(tblRegister[[#This Row],[OUT Token]]=DefCurrency,tblRegister[[#This Row],[OUT Quantity]],
      SUMPRODUCT($J$3:J68,
      IF(IF($E$3:E68 = tblRegister[[#This Row],[OUT Token]],tblRegister[[#This Row],[OUT Quantity]]-$L$3:L68+tblRegister[[#This Row],[OUT Total Before Sale]]+$F$3:F68,0)  &gt; IF(ISERROR(IF($E$3:E68 = tblRegister[[#This Row],[OUT Token]],$L$3:L68,N/A)-tblRegister[[#This Row],[OUT Total Before Sale]]),0,
            IF(IF($E$3:E68 = tblRegister[[#This Row],[OUT Token]],$L$3:L68,N/A)-tblRegister[[#This Row],[OUT Total Before Sale]]&lt;0,0,
                  IF(IF($E$3:E68 = tblRegister[[#This Row],[OUT Token]],$L$3:L68,tblRegister[[#This Row],[OUT Total Before Sale]])-tblRegister[[#This Row],[OUT Total Before Sale]]&lt;IF($E$3:E68 = tblRegister[[#This Row],[OUT Token]],$F$3:F68,0),
                        IF($E$3:E68 = tblRegister[[#This Row],[OUT Token]],$L$3:L68 - tblRegister[[#This Row],[OUT Total Before Sale]],0),
                        IF($E$3:E68 = tblRegister[[#This Row],[OUT Token]],$F$3:F68,0)
                  )
            )
      ),
     IF(ISERROR(IF($E$3:E68 = tblRegister[[#This Row],[OUT Token]],$L$3:L68,N/A)-tblRegister[[#This Row],[OUT Total Before Sale]]),0,
            IF(IF($E$3:E68 = tblRegister[[#This Row],[OUT Token]],$L$3:L68,N/A)-tblRegister[[#This Row],[OUT Total Before Sale]]&lt;0,0,
                  IF(IF($E$3:E68 = tblRegister[[#This Row],[OUT Token]],$L$3:L68,tblRegister[[#This Row],[OUT Total Before Sale]])-tblRegister[[#This Row],[OUT Total Before Sale]]&lt;IF($E$3:E68 = tblRegister[[#This Row],[OUT Token]],$F$3:F68,0),
                        IF($E$3:E68 = tblRegister[[#This Row],[OUT Token]],$L$3:L68 - tblRegister[[#This Row],[OUT Total Before Sale]],0),
                        IF($E$3:E68 = tblRegister[[#This Row],[OUT Token]],$F$3:F68,0)
                  )
            )
      ),
      IF(IF($E$3:E68 = tblRegister[[#This Row],[OUT Token]],tblRegister[[#This Row],[OUT Quantity]]-$L$3:L68+tblRegister[[#This Row],[OUT Total Before Sale]]+$F$3:F68,1) &lt;0,0,
           IF($E$3:E68 = tblRegister[[#This Row],[OUT Token]],tblRegister[[#This Row],[OUT Quantity]]-$L$3:L68+tblRegister[[#This Row],[OUT Total Before Sale]]+$F$3:F68,0)))))/tblRegister[[#This Row],[OUT Quantity]],"")</f>
        <v/>
      </c>
      <c r="J69" s="63" t="str">
        <f ca="1">IFERROR(tblRegister[[#This Row],[OUT Book Price]]*tblRegister[[#This Row],[OUT Quantity]]/tblRegister[[#This Row],[IN Quantity]],"")</f>
        <v/>
      </c>
      <c r="K69" s="63" t="str">
        <f>IFERROR(IF(tblRegister[[#This Row],[IN Token]]=DefCurrency,tblRegister[[#This Row],[IN Quantity]]*(1-tblRegister[[#This Row],[IN Price]]),""),"")</f>
        <v/>
      </c>
      <c r="L69" s="52" t="str">
        <f t="array" aca="1" ref="L6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6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69" s="52" t="str">
        <f t="array" ref="N69">IF(tblRegister[[#This Row],[Batch]]="","",tblRegister[[#This Row],[OUT Total After Sale]]-tblRegister[[#This Row],[OUT Quantity]])</f>
        <v/>
      </c>
      <c r="O69" s="53" t="str">
        <f t="array" aca="1" ref="O6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0" spans="2:15" x14ac:dyDescent="0.25">
      <c r="B70" s="50">
        <f>ROW()-ROW(tblRegister[[#Headers],[Ind]])</f>
        <v>67</v>
      </c>
      <c r="C70" s="60" t="str">
        <f>IF(ISBLANK(tblRegister[[#This Row],[IN Token]]),"",tblRegister[[#This Row],[Ind]])</f>
        <v/>
      </c>
      <c r="D70" s="118"/>
      <c r="E70" s="51"/>
      <c r="F70" s="111"/>
      <c r="G70" s="51"/>
      <c r="H70" s="111"/>
      <c r="I70" s="63" t="str">
        <f t="array" aca="1" ref="I70" ca="1">IFERROR(IF(tblRegister[[#This Row],[OUT Token]]=DefCurrency,tblRegister[[#This Row],[OUT Quantity]],
      SUMPRODUCT($J$3:J69,
      IF(IF($E$3:E69 = tblRegister[[#This Row],[OUT Token]],tblRegister[[#This Row],[OUT Quantity]]-$L$3:L69+tblRegister[[#This Row],[OUT Total Before Sale]]+$F$3:F69,0)  &gt; IF(ISERROR(IF($E$3:E69 = tblRegister[[#This Row],[OUT Token]],$L$3:L69,N/A)-tblRegister[[#This Row],[OUT Total Before Sale]]),0,
            IF(IF($E$3:E69 = tblRegister[[#This Row],[OUT Token]],$L$3:L69,N/A)-tblRegister[[#This Row],[OUT Total Before Sale]]&lt;0,0,
                  IF(IF($E$3:E69 = tblRegister[[#This Row],[OUT Token]],$L$3:L69,tblRegister[[#This Row],[OUT Total Before Sale]])-tblRegister[[#This Row],[OUT Total Before Sale]]&lt;IF($E$3:E69 = tblRegister[[#This Row],[OUT Token]],$F$3:F69,0),
                        IF($E$3:E69 = tblRegister[[#This Row],[OUT Token]],$L$3:L69 - tblRegister[[#This Row],[OUT Total Before Sale]],0),
                        IF($E$3:E69 = tblRegister[[#This Row],[OUT Token]],$F$3:F69,0)
                  )
            )
      ),
     IF(ISERROR(IF($E$3:E69 = tblRegister[[#This Row],[OUT Token]],$L$3:L69,N/A)-tblRegister[[#This Row],[OUT Total Before Sale]]),0,
            IF(IF($E$3:E69 = tblRegister[[#This Row],[OUT Token]],$L$3:L69,N/A)-tblRegister[[#This Row],[OUT Total Before Sale]]&lt;0,0,
                  IF(IF($E$3:E69 = tblRegister[[#This Row],[OUT Token]],$L$3:L69,tblRegister[[#This Row],[OUT Total Before Sale]])-tblRegister[[#This Row],[OUT Total Before Sale]]&lt;IF($E$3:E69 = tblRegister[[#This Row],[OUT Token]],$F$3:F69,0),
                        IF($E$3:E69 = tblRegister[[#This Row],[OUT Token]],$L$3:L69 - tblRegister[[#This Row],[OUT Total Before Sale]],0),
                        IF($E$3:E69 = tblRegister[[#This Row],[OUT Token]],$F$3:F69,0)
                  )
            )
      ),
      IF(IF($E$3:E69 = tblRegister[[#This Row],[OUT Token]],tblRegister[[#This Row],[OUT Quantity]]-$L$3:L69+tblRegister[[#This Row],[OUT Total Before Sale]]+$F$3:F69,1) &lt;0,0,
           IF($E$3:E69 = tblRegister[[#This Row],[OUT Token]],tblRegister[[#This Row],[OUT Quantity]]-$L$3:L69+tblRegister[[#This Row],[OUT Total Before Sale]]+$F$3:F69,0)))))/tblRegister[[#This Row],[OUT Quantity]],"")</f>
        <v/>
      </c>
      <c r="J70" s="63" t="str">
        <f ca="1">IFERROR(tblRegister[[#This Row],[OUT Book Price]]*tblRegister[[#This Row],[OUT Quantity]]/tblRegister[[#This Row],[IN Quantity]],"")</f>
        <v/>
      </c>
      <c r="K70" s="63" t="str">
        <f>IFERROR(IF(tblRegister[[#This Row],[IN Token]]=DefCurrency,tblRegister[[#This Row],[IN Quantity]]*(1-tblRegister[[#This Row],[IN Price]]),""),"")</f>
        <v/>
      </c>
      <c r="L70" s="52" t="str">
        <f t="array" aca="1" ref="L7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0" s="52" t="str">
        <f t="array" ref="N70">IF(tblRegister[[#This Row],[Batch]]="","",tblRegister[[#This Row],[OUT Total After Sale]]-tblRegister[[#This Row],[OUT Quantity]])</f>
        <v/>
      </c>
      <c r="O70" s="53" t="str">
        <f t="array" aca="1" ref="O7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1" spans="2:15" x14ac:dyDescent="0.25">
      <c r="B71" s="50">
        <f>ROW()-ROW(tblRegister[[#Headers],[Ind]])</f>
        <v>68</v>
      </c>
      <c r="C71" s="60" t="str">
        <f>IF(ISBLANK(tblRegister[[#This Row],[IN Token]]),"",tblRegister[[#This Row],[Ind]])</f>
        <v/>
      </c>
      <c r="D71" s="118"/>
      <c r="E71" s="51"/>
      <c r="F71" s="111"/>
      <c r="G71" s="51"/>
      <c r="H71" s="111"/>
      <c r="I71" s="63" t="str">
        <f t="array" aca="1" ref="I71" ca="1">IFERROR(IF(tblRegister[[#This Row],[OUT Token]]=DefCurrency,tblRegister[[#This Row],[OUT Quantity]],
      SUMPRODUCT($J$3:J70,
      IF(IF($E$3:E70 = tblRegister[[#This Row],[OUT Token]],tblRegister[[#This Row],[OUT Quantity]]-$L$3:L70+tblRegister[[#This Row],[OUT Total Before Sale]]+$F$3:F70,0)  &gt; IF(ISERROR(IF($E$3:E70 = tblRegister[[#This Row],[OUT Token]],$L$3:L70,N/A)-tblRegister[[#This Row],[OUT Total Before Sale]]),0,
            IF(IF($E$3:E70 = tblRegister[[#This Row],[OUT Token]],$L$3:L70,N/A)-tblRegister[[#This Row],[OUT Total Before Sale]]&lt;0,0,
                  IF(IF($E$3:E70 = tblRegister[[#This Row],[OUT Token]],$L$3:L70,tblRegister[[#This Row],[OUT Total Before Sale]])-tblRegister[[#This Row],[OUT Total Before Sale]]&lt;IF($E$3:E70 = tblRegister[[#This Row],[OUT Token]],$F$3:F70,0),
                        IF($E$3:E70 = tblRegister[[#This Row],[OUT Token]],$L$3:L70 - tblRegister[[#This Row],[OUT Total Before Sale]],0),
                        IF($E$3:E70 = tblRegister[[#This Row],[OUT Token]],$F$3:F70,0)
                  )
            )
      ),
     IF(ISERROR(IF($E$3:E70 = tblRegister[[#This Row],[OUT Token]],$L$3:L70,N/A)-tblRegister[[#This Row],[OUT Total Before Sale]]),0,
            IF(IF($E$3:E70 = tblRegister[[#This Row],[OUT Token]],$L$3:L70,N/A)-tblRegister[[#This Row],[OUT Total Before Sale]]&lt;0,0,
                  IF(IF($E$3:E70 = tblRegister[[#This Row],[OUT Token]],$L$3:L70,tblRegister[[#This Row],[OUT Total Before Sale]])-tblRegister[[#This Row],[OUT Total Before Sale]]&lt;IF($E$3:E70 = tblRegister[[#This Row],[OUT Token]],$F$3:F70,0),
                        IF($E$3:E70 = tblRegister[[#This Row],[OUT Token]],$L$3:L70 - tblRegister[[#This Row],[OUT Total Before Sale]],0),
                        IF($E$3:E70 = tblRegister[[#This Row],[OUT Token]],$F$3:F70,0)
                  )
            )
      ),
      IF(IF($E$3:E70 = tblRegister[[#This Row],[OUT Token]],tblRegister[[#This Row],[OUT Quantity]]-$L$3:L70+tblRegister[[#This Row],[OUT Total Before Sale]]+$F$3:F70,1) &lt;0,0,
           IF($E$3:E70 = tblRegister[[#This Row],[OUT Token]],tblRegister[[#This Row],[OUT Quantity]]-$L$3:L70+tblRegister[[#This Row],[OUT Total Before Sale]]+$F$3:F70,0)))))/tblRegister[[#This Row],[OUT Quantity]],"")</f>
        <v/>
      </c>
      <c r="J71" s="63" t="str">
        <f ca="1">IFERROR(tblRegister[[#This Row],[OUT Book Price]]*tblRegister[[#This Row],[OUT Quantity]]/tblRegister[[#This Row],[IN Quantity]],"")</f>
        <v/>
      </c>
      <c r="K71" s="63" t="str">
        <f>IFERROR(IF(tblRegister[[#This Row],[IN Token]]=DefCurrency,tblRegister[[#This Row],[IN Quantity]]*(1-tblRegister[[#This Row],[IN Price]]),""),"")</f>
        <v/>
      </c>
      <c r="L71" s="52" t="str">
        <f t="array" aca="1" ref="L7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1" s="52" t="str">
        <f t="array" ref="N71">IF(tblRegister[[#This Row],[Batch]]="","",tblRegister[[#This Row],[OUT Total After Sale]]-tblRegister[[#This Row],[OUT Quantity]])</f>
        <v/>
      </c>
      <c r="O71" s="53" t="str">
        <f t="array" aca="1" ref="O7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2" spans="2:15" x14ac:dyDescent="0.25">
      <c r="B72" s="50">
        <f>ROW()-ROW(tblRegister[[#Headers],[Ind]])</f>
        <v>69</v>
      </c>
      <c r="C72" s="60" t="str">
        <f>IF(ISBLANK(tblRegister[[#This Row],[IN Token]]),"",tblRegister[[#This Row],[Ind]])</f>
        <v/>
      </c>
      <c r="D72" s="118"/>
      <c r="E72" s="51"/>
      <c r="F72" s="111"/>
      <c r="G72" s="51"/>
      <c r="H72" s="111"/>
      <c r="I72" s="63" t="str">
        <f t="array" aca="1" ref="I72" ca="1">IFERROR(IF(tblRegister[[#This Row],[OUT Token]]=DefCurrency,tblRegister[[#This Row],[OUT Quantity]],
      SUMPRODUCT($J$3:J71,
      IF(IF($E$3:E71 = tblRegister[[#This Row],[OUT Token]],tblRegister[[#This Row],[OUT Quantity]]-$L$3:L71+tblRegister[[#This Row],[OUT Total Before Sale]]+$F$3:F71,0)  &gt; IF(ISERROR(IF($E$3:E71 = tblRegister[[#This Row],[OUT Token]],$L$3:L71,N/A)-tblRegister[[#This Row],[OUT Total Before Sale]]),0,
            IF(IF($E$3:E71 = tblRegister[[#This Row],[OUT Token]],$L$3:L71,N/A)-tblRegister[[#This Row],[OUT Total Before Sale]]&lt;0,0,
                  IF(IF($E$3:E71 = tblRegister[[#This Row],[OUT Token]],$L$3:L71,tblRegister[[#This Row],[OUT Total Before Sale]])-tblRegister[[#This Row],[OUT Total Before Sale]]&lt;IF($E$3:E71 = tblRegister[[#This Row],[OUT Token]],$F$3:F71,0),
                        IF($E$3:E71 = tblRegister[[#This Row],[OUT Token]],$L$3:L71 - tblRegister[[#This Row],[OUT Total Before Sale]],0),
                        IF($E$3:E71 = tblRegister[[#This Row],[OUT Token]],$F$3:F71,0)
                  )
            )
      ),
     IF(ISERROR(IF($E$3:E71 = tblRegister[[#This Row],[OUT Token]],$L$3:L71,N/A)-tblRegister[[#This Row],[OUT Total Before Sale]]),0,
            IF(IF($E$3:E71 = tblRegister[[#This Row],[OUT Token]],$L$3:L71,N/A)-tblRegister[[#This Row],[OUT Total Before Sale]]&lt;0,0,
                  IF(IF($E$3:E71 = tblRegister[[#This Row],[OUT Token]],$L$3:L71,tblRegister[[#This Row],[OUT Total Before Sale]])-tblRegister[[#This Row],[OUT Total Before Sale]]&lt;IF($E$3:E71 = tblRegister[[#This Row],[OUT Token]],$F$3:F71,0),
                        IF($E$3:E71 = tblRegister[[#This Row],[OUT Token]],$L$3:L71 - tblRegister[[#This Row],[OUT Total Before Sale]],0),
                        IF($E$3:E71 = tblRegister[[#This Row],[OUT Token]],$F$3:F71,0)
                  )
            )
      ),
      IF(IF($E$3:E71 = tblRegister[[#This Row],[OUT Token]],tblRegister[[#This Row],[OUT Quantity]]-$L$3:L71+tblRegister[[#This Row],[OUT Total Before Sale]]+$F$3:F71,1) &lt;0,0,
           IF($E$3:E71 = tblRegister[[#This Row],[OUT Token]],tblRegister[[#This Row],[OUT Quantity]]-$L$3:L71+tblRegister[[#This Row],[OUT Total Before Sale]]+$F$3:F71,0)))))/tblRegister[[#This Row],[OUT Quantity]],"")</f>
        <v/>
      </c>
      <c r="J72" s="63" t="str">
        <f ca="1">IFERROR(tblRegister[[#This Row],[OUT Book Price]]*tblRegister[[#This Row],[OUT Quantity]]/tblRegister[[#This Row],[IN Quantity]],"")</f>
        <v/>
      </c>
      <c r="K72" s="63" t="str">
        <f>IFERROR(IF(tblRegister[[#This Row],[IN Token]]=DefCurrency,tblRegister[[#This Row],[IN Quantity]]*(1-tblRegister[[#This Row],[IN Price]]),""),"")</f>
        <v/>
      </c>
      <c r="L72" s="52" t="str">
        <f t="array" aca="1" ref="L7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2" s="52" t="str">
        <f t="array" ref="N72">IF(tblRegister[[#This Row],[Batch]]="","",tblRegister[[#This Row],[OUT Total After Sale]]-tblRegister[[#This Row],[OUT Quantity]])</f>
        <v/>
      </c>
      <c r="O72" s="53" t="str">
        <f t="array" aca="1" ref="O7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3" spans="2:15" x14ac:dyDescent="0.25">
      <c r="B73" s="50">
        <f>ROW()-ROW(tblRegister[[#Headers],[Ind]])</f>
        <v>70</v>
      </c>
      <c r="C73" s="60" t="str">
        <f>IF(ISBLANK(tblRegister[[#This Row],[IN Token]]),"",tblRegister[[#This Row],[Ind]])</f>
        <v/>
      </c>
      <c r="D73" s="118"/>
      <c r="E73" s="51"/>
      <c r="F73" s="111"/>
      <c r="G73" s="51"/>
      <c r="H73" s="111"/>
      <c r="I73" s="63" t="str">
        <f t="array" aca="1" ref="I73" ca="1">IFERROR(IF(tblRegister[[#This Row],[OUT Token]]=DefCurrency,tblRegister[[#This Row],[OUT Quantity]],
      SUMPRODUCT($J$3:J72,
      IF(IF($E$3:E72 = tblRegister[[#This Row],[OUT Token]],tblRegister[[#This Row],[OUT Quantity]]-$L$3:L72+tblRegister[[#This Row],[OUT Total Before Sale]]+$F$3:F72,0)  &gt; IF(ISERROR(IF($E$3:E72 = tblRegister[[#This Row],[OUT Token]],$L$3:L72,N/A)-tblRegister[[#This Row],[OUT Total Before Sale]]),0,
            IF(IF($E$3:E72 = tblRegister[[#This Row],[OUT Token]],$L$3:L72,N/A)-tblRegister[[#This Row],[OUT Total Before Sale]]&lt;0,0,
                  IF(IF($E$3:E72 = tblRegister[[#This Row],[OUT Token]],$L$3:L72,tblRegister[[#This Row],[OUT Total Before Sale]])-tblRegister[[#This Row],[OUT Total Before Sale]]&lt;IF($E$3:E72 = tblRegister[[#This Row],[OUT Token]],$F$3:F72,0),
                        IF($E$3:E72 = tblRegister[[#This Row],[OUT Token]],$L$3:L72 - tblRegister[[#This Row],[OUT Total Before Sale]],0),
                        IF($E$3:E72 = tblRegister[[#This Row],[OUT Token]],$F$3:F72,0)
                  )
            )
      ),
     IF(ISERROR(IF($E$3:E72 = tblRegister[[#This Row],[OUT Token]],$L$3:L72,N/A)-tblRegister[[#This Row],[OUT Total Before Sale]]),0,
            IF(IF($E$3:E72 = tblRegister[[#This Row],[OUT Token]],$L$3:L72,N/A)-tblRegister[[#This Row],[OUT Total Before Sale]]&lt;0,0,
                  IF(IF($E$3:E72 = tblRegister[[#This Row],[OUT Token]],$L$3:L72,tblRegister[[#This Row],[OUT Total Before Sale]])-tblRegister[[#This Row],[OUT Total Before Sale]]&lt;IF($E$3:E72 = tblRegister[[#This Row],[OUT Token]],$F$3:F72,0),
                        IF($E$3:E72 = tblRegister[[#This Row],[OUT Token]],$L$3:L72 - tblRegister[[#This Row],[OUT Total Before Sale]],0),
                        IF($E$3:E72 = tblRegister[[#This Row],[OUT Token]],$F$3:F72,0)
                  )
            )
      ),
      IF(IF($E$3:E72 = tblRegister[[#This Row],[OUT Token]],tblRegister[[#This Row],[OUT Quantity]]-$L$3:L72+tblRegister[[#This Row],[OUT Total Before Sale]]+$F$3:F72,1) &lt;0,0,
           IF($E$3:E72 = tblRegister[[#This Row],[OUT Token]],tblRegister[[#This Row],[OUT Quantity]]-$L$3:L72+tblRegister[[#This Row],[OUT Total Before Sale]]+$F$3:F72,0)))))/tblRegister[[#This Row],[OUT Quantity]],"")</f>
        <v/>
      </c>
      <c r="J73" s="63" t="str">
        <f ca="1">IFERROR(tblRegister[[#This Row],[OUT Book Price]]*tblRegister[[#This Row],[OUT Quantity]]/tblRegister[[#This Row],[IN Quantity]],"")</f>
        <v/>
      </c>
      <c r="K73" s="63" t="str">
        <f>IFERROR(IF(tblRegister[[#This Row],[IN Token]]=DefCurrency,tblRegister[[#This Row],[IN Quantity]]*(1-tblRegister[[#This Row],[IN Price]]),""),"")</f>
        <v/>
      </c>
      <c r="L73" s="52" t="str">
        <f t="array" aca="1" ref="L7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3" s="52" t="str">
        <f t="array" ref="N73">IF(tblRegister[[#This Row],[Batch]]="","",tblRegister[[#This Row],[OUT Total After Sale]]-tblRegister[[#This Row],[OUT Quantity]])</f>
        <v/>
      </c>
      <c r="O73" s="53" t="str">
        <f t="array" aca="1" ref="O7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4" spans="2:15" x14ac:dyDescent="0.25">
      <c r="B74" s="50">
        <f>ROW()-ROW(tblRegister[[#Headers],[Ind]])</f>
        <v>71</v>
      </c>
      <c r="C74" s="60" t="str">
        <f>IF(ISBLANK(tblRegister[[#This Row],[IN Token]]),"",tblRegister[[#This Row],[Ind]])</f>
        <v/>
      </c>
      <c r="D74" s="118"/>
      <c r="E74" s="51"/>
      <c r="F74" s="111"/>
      <c r="G74" s="51"/>
      <c r="H74" s="111"/>
      <c r="I74" s="63" t="str">
        <f t="array" aca="1" ref="I74" ca="1">IFERROR(IF(tblRegister[[#This Row],[OUT Token]]=DefCurrency,tblRegister[[#This Row],[OUT Quantity]],
      SUMPRODUCT($J$3:J73,
      IF(IF($E$3:E73 = tblRegister[[#This Row],[OUT Token]],tblRegister[[#This Row],[OUT Quantity]]-$L$3:L73+tblRegister[[#This Row],[OUT Total Before Sale]]+$F$3:F73,0)  &gt; IF(ISERROR(IF($E$3:E73 = tblRegister[[#This Row],[OUT Token]],$L$3:L73,N/A)-tblRegister[[#This Row],[OUT Total Before Sale]]),0,
            IF(IF($E$3:E73 = tblRegister[[#This Row],[OUT Token]],$L$3:L73,N/A)-tblRegister[[#This Row],[OUT Total Before Sale]]&lt;0,0,
                  IF(IF($E$3:E73 = tblRegister[[#This Row],[OUT Token]],$L$3:L73,tblRegister[[#This Row],[OUT Total Before Sale]])-tblRegister[[#This Row],[OUT Total Before Sale]]&lt;IF($E$3:E73 = tblRegister[[#This Row],[OUT Token]],$F$3:F73,0),
                        IF($E$3:E73 = tblRegister[[#This Row],[OUT Token]],$L$3:L73 - tblRegister[[#This Row],[OUT Total Before Sale]],0),
                        IF($E$3:E73 = tblRegister[[#This Row],[OUT Token]],$F$3:F73,0)
                  )
            )
      ),
     IF(ISERROR(IF($E$3:E73 = tblRegister[[#This Row],[OUT Token]],$L$3:L73,N/A)-tblRegister[[#This Row],[OUT Total Before Sale]]),0,
            IF(IF($E$3:E73 = tblRegister[[#This Row],[OUT Token]],$L$3:L73,N/A)-tblRegister[[#This Row],[OUT Total Before Sale]]&lt;0,0,
                  IF(IF($E$3:E73 = tblRegister[[#This Row],[OUT Token]],$L$3:L73,tblRegister[[#This Row],[OUT Total Before Sale]])-tblRegister[[#This Row],[OUT Total Before Sale]]&lt;IF($E$3:E73 = tblRegister[[#This Row],[OUT Token]],$F$3:F73,0),
                        IF($E$3:E73 = tblRegister[[#This Row],[OUT Token]],$L$3:L73 - tblRegister[[#This Row],[OUT Total Before Sale]],0),
                        IF($E$3:E73 = tblRegister[[#This Row],[OUT Token]],$F$3:F73,0)
                  )
            )
      ),
      IF(IF($E$3:E73 = tblRegister[[#This Row],[OUT Token]],tblRegister[[#This Row],[OUT Quantity]]-$L$3:L73+tblRegister[[#This Row],[OUT Total Before Sale]]+$F$3:F73,1) &lt;0,0,
           IF($E$3:E73 = tblRegister[[#This Row],[OUT Token]],tblRegister[[#This Row],[OUT Quantity]]-$L$3:L73+tblRegister[[#This Row],[OUT Total Before Sale]]+$F$3:F73,0)))))/tblRegister[[#This Row],[OUT Quantity]],"")</f>
        <v/>
      </c>
      <c r="J74" s="63" t="str">
        <f ca="1">IFERROR(tblRegister[[#This Row],[OUT Book Price]]*tblRegister[[#This Row],[OUT Quantity]]/tblRegister[[#This Row],[IN Quantity]],"")</f>
        <v/>
      </c>
      <c r="K74" s="63" t="str">
        <f>IFERROR(IF(tblRegister[[#This Row],[IN Token]]=DefCurrency,tblRegister[[#This Row],[IN Quantity]]*(1-tblRegister[[#This Row],[IN Price]]),""),"")</f>
        <v/>
      </c>
      <c r="L74" s="52" t="str">
        <f t="array" aca="1" ref="L7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4" s="52" t="str">
        <f t="array" ref="N74">IF(tblRegister[[#This Row],[Batch]]="","",tblRegister[[#This Row],[OUT Total After Sale]]-tblRegister[[#This Row],[OUT Quantity]])</f>
        <v/>
      </c>
      <c r="O74" s="53" t="str">
        <f t="array" aca="1" ref="O7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5" spans="2:15" x14ac:dyDescent="0.25">
      <c r="B75" s="50">
        <f>ROW()-ROW(tblRegister[[#Headers],[Ind]])</f>
        <v>72</v>
      </c>
      <c r="C75" s="60" t="str">
        <f>IF(ISBLANK(tblRegister[[#This Row],[IN Token]]),"",tblRegister[[#This Row],[Ind]])</f>
        <v/>
      </c>
      <c r="D75" s="118"/>
      <c r="E75" s="51"/>
      <c r="F75" s="111"/>
      <c r="G75" s="51"/>
      <c r="H75" s="111"/>
      <c r="I75" s="63" t="str">
        <f t="array" aca="1" ref="I75" ca="1">IFERROR(IF(tblRegister[[#This Row],[OUT Token]]=DefCurrency,tblRegister[[#This Row],[OUT Quantity]],
      SUMPRODUCT($J$3:J74,
      IF(IF($E$3:E74 = tblRegister[[#This Row],[OUT Token]],tblRegister[[#This Row],[OUT Quantity]]-$L$3:L74+tblRegister[[#This Row],[OUT Total Before Sale]]+$F$3:F74,0)  &gt; IF(ISERROR(IF($E$3:E74 = tblRegister[[#This Row],[OUT Token]],$L$3:L74,N/A)-tblRegister[[#This Row],[OUT Total Before Sale]]),0,
            IF(IF($E$3:E74 = tblRegister[[#This Row],[OUT Token]],$L$3:L74,N/A)-tblRegister[[#This Row],[OUT Total Before Sale]]&lt;0,0,
                  IF(IF($E$3:E74 = tblRegister[[#This Row],[OUT Token]],$L$3:L74,tblRegister[[#This Row],[OUT Total Before Sale]])-tblRegister[[#This Row],[OUT Total Before Sale]]&lt;IF($E$3:E74 = tblRegister[[#This Row],[OUT Token]],$F$3:F74,0),
                        IF($E$3:E74 = tblRegister[[#This Row],[OUT Token]],$L$3:L74 - tblRegister[[#This Row],[OUT Total Before Sale]],0),
                        IF($E$3:E74 = tblRegister[[#This Row],[OUT Token]],$F$3:F74,0)
                  )
            )
      ),
     IF(ISERROR(IF($E$3:E74 = tblRegister[[#This Row],[OUT Token]],$L$3:L74,N/A)-tblRegister[[#This Row],[OUT Total Before Sale]]),0,
            IF(IF($E$3:E74 = tblRegister[[#This Row],[OUT Token]],$L$3:L74,N/A)-tblRegister[[#This Row],[OUT Total Before Sale]]&lt;0,0,
                  IF(IF($E$3:E74 = tblRegister[[#This Row],[OUT Token]],$L$3:L74,tblRegister[[#This Row],[OUT Total Before Sale]])-tblRegister[[#This Row],[OUT Total Before Sale]]&lt;IF($E$3:E74 = tblRegister[[#This Row],[OUT Token]],$F$3:F74,0),
                        IF($E$3:E74 = tblRegister[[#This Row],[OUT Token]],$L$3:L74 - tblRegister[[#This Row],[OUT Total Before Sale]],0),
                        IF($E$3:E74 = tblRegister[[#This Row],[OUT Token]],$F$3:F74,0)
                  )
            )
      ),
      IF(IF($E$3:E74 = tblRegister[[#This Row],[OUT Token]],tblRegister[[#This Row],[OUT Quantity]]-$L$3:L74+tblRegister[[#This Row],[OUT Total Before Sale]]+$F$3:F74,1) &lt;0,0,
           IF($E$3:E74 = tblRegister[[#This Row],[OUT Token]],tblRegister[[#This Row],[OUT Quantity]]-$L$3:L74+tblRegister[[#This Row],[OUT Total Before Sale]]+$F$3:F74,0)))))/tblRegister[[#This Row],[OUT Quantity]],"")</f>
        <v/>
      </c>
      <c r="J75" s="63" t="str">
        <f ca="1">IFERROR(tblRegister[[#This Row],[OUT Book Price]]*tblRegister[[#This Row],[OUT Quantity]]/tblRegister[[#This Row],[IN Quantity]],"")</f>
        <v/>
      </c>
      <c r="K75" s="63" t="str">
        <f>IFERROR(IF(tblRegister[[#This Row],[IN Token]]=DefCurrency,tblRegister[[#This Row],[IN Quantity]]*(1-tblRegister[[#This Row],[IN Price]]),""),"")</f>
        <v/>
      </c>
      <c r="L75" s="52" t="str">
        <f t="array" aca="1" ref="L7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5" s="52" t="str">
        <f t="array" ref="N75">IF(tblRegister[[#This Row],[Batch]]="","",tblRegister[[#This Row],[OUT Total After Sale]]-tblRegister[[#This Row],[OUT Quantity]])</f>
        <v/>
      </c>
      <c r="O75" s="53" t="str">
        <f t="array" aca="1" ref="O7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6" spans="2:15" x14ac:dyDescent="0.25">
      <c r="B76" s="50">
        <f>ROW()-ROW(tblRegister[[#Headers],[Ind]])</f>
        <v>73</v>
      </c>
      <c r="C76" s="60" t="str">
        <f>IF(ISBLANK(tblRegister[[#This Row],[IN Token]]),"",tblRegister[[#This Row],[Ind]])</f>
        <v/>
      </c>
      <c r="D76" s="118"/>
      <c r="E76" s="51"/>
      <c r="F76" s="111"/>
      <c r="G76" s="51"/>
      <c r="H76" s="111"/>
      <c r="I76" s="63" t="str">
        <f t="array" aca="1" ref="I76" ca="1">IFERROR(IF(tblRegister[[#This Row],[OUT Token]]=DefCurrency,tblRegister[[#This Row],[OUT Quantity]],
      SUMPRODUCT($J$3:J75,
      IF(IF($E$3:E75 = tblRegister[[#This Row],[OUT Token]],tblRegister[[#This Row],[OUT Quantity]]-$L$3:L75+tblRegister[[#This Row],[OUT Total Before Sale]]+$F$3:F75,0)  &gt; IF(ISERROR(IF($E$3:E75 = tblRegister[[#This Row],[OUT Token]],$L$3:L75,N/A)-tblRegister[[#This Row],[OUT Total Before Sale]]),0,
            IF(IF($E$3:E75 = tblRegister[[#This Row],[OUT Token]],$L$3:L75,N/A)-tblRegister[[#This Row],[OUT Total Before Sale]]&lt;0,0,
                  IF(IF($E$3:E75 = tblRegister[[#This Row],[OUT Token]],$L$3:L75,tblRegister[[#This Row],[OUT Total Before Sale]])-tblRegister[[#This Row],[OUT Total Before Sale]]&lt;IF($E$3:E75 = tblRegister[[#This Row],[OUT Token]],$F$3:F75,0),
                        IF($E$3:E75 = tblRegister[[#This Row],[OUT Token]],$L$3:L75 - tblRegister[[#This Row],[OUT Total Before Sale]],0),
                        IF($E$3:E75 = tblRegister[[#This Row],[OUT Token]],$F$3:F75,0)
                  )
            )
      ),
     IF(ISERROR(IF($E$3:E75 = tblRegister[[#This Row],[OUT Token]],$L$3:L75,N/A)-tblRegister[[#This Row],[OUT Total Before Sale]]),0,
            IF(IF($E$3:E75 = tblRegister[[#This Row],[OUT Token]],$L$3:L75,N/A)-tblRegister[[#This Row],[OUT Total Before Sale]]&lt;0,0,
                  IF(IF($E$3:E75 = tblRegister[[#This Row],[OUT Token]],$L$3:L75,tblRegister[[#This Row],[OUT Total Before Sale]])-tblRegister[[#This Row],[OUT Total Before Sale]]&lt;IF($E$3:E75 = tblRegister[[#This Row],[OUT Token]],$F$3:F75,0),
                        IF($E$3:E75 = tblRegister[[#This Row],[OUT Token]],$L$3:L75 - tblRegister[[#This Row],[OUT Total Before Sale]],0),
                        IF($E$3:E75 = tblRegister[[#This Row],[OUT Token]],$F$3:F75,0)
                  )
            )
      ),
      IF(IF($E$3:E75 = tblRegister[[#This Row],[OUT Token]],tblRegister[[#This Row],[OUT Quantity]]-$L$3:L75+tblRegister[[#This Row],[OUT Total Before Sale]]+$F$3:F75,1) &lt;0,0,
           IF($E$3:E75 = tblRegister[[#This Row],[OUT Token]],tblRegister[[#This Row],[OUT Quantity]]-$L$3:L75+tblRegister[[#This Row],[OUT Total Before Sale]]+$F$3:F75,0)))))/tblRegister[[#This Row],[OUT Quantity]],"")</f>
        <v/>
      </c>
      <c r="J76" s="63" t="str">
        <f ca="1">IFERROR(tblRegister[[#This Row],[OUT Book Price]]*tblRegister[[#This Row],[OUT Quantity]]/tblRegister[[#This Row],[IN Quantity]],"")</f>
        <v/>
      </c>
      <c r="K76" s="63" t="str">
        <f>IFERROR(IF(tblRegister[[#This Row],[IN Token]]=DefCurrency,tblRegister[[#This Row],[IN Quantity]]*(1-tblRegister[[#This Row],[IN Price]]),""),"")</f>
        <v/>
      </c>
      <c r="L76" s="52" t="str">
        <f t="array" aca="1" ref="L7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6" s="52" t="str">
        <f t="array" ref="N76">IF(tblRegister[[#This Row],[Batch]]="","",tblRegister[[#This Row],[OUT Total After Sale]]-tblRegister[[#This Row],[OUT Quantity]])</f>
        <v/>
      </c>
      <c r="O76" s="53" t="str">
        <f t="array" aca="1" ref="O7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7" spans="2:15" x14ac:dyDescent="0.25">
      <c r="B77" s="50">
        <f>ROW()-ROW(tblRegister[[#Headers],[Ind]])</f>
        <v>74</v>
      </c>
      <c r="C77" s="60" t="str">
        <f>IF(ISBLANK(tblRegister[[#This Row],[IN Token]]),"",tblRegister[[#This Row],[Ind]])</f>
        <v/>
      </c>
      <c r="D77" s="118"/>
      <c r="E77" s="51"/>
      <c r="F77" s="111"/>
      <c r="G77" s="51"/>
      <c r="H77" s="111"/>
      <c r="I77" s="63" t="str">
        <f t="array" aca="1" ref="I77" ca="1">IFERROR(IF(tblRegister[[#This Row],[OUT Token]]=DefCurrency,tblRegister[[#This Row],[OUT Quantity]],
      SUMPRODUCT($J$3:J76,
      IF(IF($E$3:E76 = tblRegister[[#This Row],[OUT Token]],tblRegister[[#This Row],[OUT Quantity]]-$L$3:L76+tblRegister[[#This Row],[OUT Total Before Sale]]+$F$3:F76,0)  &gt; IF(ISERROR(IF($E$3:E76 = tblRegister[[#This Row],[OUT Token]],$L$3:L76,N/A)-tblRegister[[#This Row],[OUT Total Before Sale]]),0,
            IF(IF($E$3:E76 = tblRegister[[#This Row],[OUT Token]],$L$3:L76,N/A)-tblRegister[[#This Row],[OUT Total Before Sale]]&lt;0,0,
                  IF(IF($E$3:E76 = tblRegister[[#This Row],[OUT Token]],$L$3:L76,tblRegister[[#This Row],[OUT Total Before Sale]])-tblRegister[[#This Row],[OUT Total Before Sale]]&lt;IF($E$3:E76 = tblRegister[[#This Row],[OUT Token]],$F$3:F76,0),
                        IF($E$3:E76 = tblRegister[[#This Row],[OUT Token]],$L$3:L76 - tblRegister[[#This Row],[OUT Total Before Sale]],0),
                        IF($E$3:E76 = tblRegister[[#This Row],[OUT Token]],$F$3:F76,0)
                  )
            )
      ),
     IF(ISERROR(IF($E$3:E76 = tblRegister[[#This Row],[OUT Token]],$L$3:L76,N/A)-tblRegister[[#This Row],[OUT Total Before Sale]]),0,
            IF(IF($E$3:E76 = tblRegister[[#This Row],[OUT Token]],$L$3:L76,N/A)-tblRegister[[#This Row],[OUT Total Before Sale]]&lt;0,0,
                  IF(IF($E$3:E76 = tblRegister[[#This Row],[OUT Token]],$L$3:L76,tblRegister[[#This Row],[OUT Total Before Sale]])-tblRegister[[#This Row],[OUT Total Before Sale]]&lt;IF($E$3:E76 = tblRegister[[#This Row],[OUT Token]],$F$3:F76,0),
                        IF($E$3:E76 = tblRegister[[#This Row],[OUT Token]],$L$3:L76 - tblRegister[[#This Row],[OUT Total Before Sale]],0),
                        IF($E$3:E76 = tblRegister[[#This Row],[OUT Token]],$F$3:F76,0)
                  )
            )
      ),
      IF(IF($E$3:E76 = tblRegister[[#This Row],[OUT Token]],tblRegister[[#This Row],[OUT Quantity]]-$L$3:L76+tblRegister[[#This Row],[OUT Total Before Sale]]+$F$3:F76,1) &lt;0,0,
           IF($E$3:E76 = tblRegister[[#This Row],[OUT Token]],tblRegister[[#This Row],[OUT Quantity]]-$L$3:L76+tblRegister[[#This Row],[OUT Total Before Sale]]+$F$3:F76,0)))))/tblRegister[[#This Row],[OUT Quantity]],"")</f>
        <v/>
      </c>
      <c r="J77" s="63" t="str">
        <f ca="1">IFERROR(tblRegister[[#This Row],[OUT Book Price]]*tblRegister[[#This Row],[OUT Quantity]]/tblRegister[[#This Row],[IN Quantity]],"")</f>
        <v/>
      </c>
      <c r="K77" s="63" t="str">
        <f>IFERROR(IF(tblRegister[[#This Row],[IN Token]]=DefCurrency,tblRegister[[#This Row],[IN Quantity]]*(1-tblRegister[[#This Row],[IN Price]]),""),"")</f>
        <v/>
      </c>
      <c r="L77" s="52" t="str">
        <f t="array" aca="1" ref="L7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7" s="52" t="str">
        <f t="array" ref="N77">IF(tblRegister[[#This Row],[Batch]]="","",tblRegister[[#This Row],[OUT Total After Sale]]-tblRegister[[#This Row],[OUT Quantity]])</f>
        <v/>
      </c>
      <c r="O77" s="53" t="str">
        <f t="array" aca="1" ref="O7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8" spans="2:15" x14ac:dyDescent="0.25">
      <c r="B78" s="50">
        <f>ROW()-ROW(tblRegister[[#Headers],[Ind]])</f>
        <v>75</v>
      </c>
      <c r="C78" s="60" t="str">
        <f>IF(ISBLANK(tblRegister[[#This Row],[IN Token]]),"",tblRegister[[#This Row],[Ind]])</f>
        <v/>
      </c>
      <c r="D78" s="118"/>
      <c r="E78" s="51"/>
      <c r="F78" s="111"/>
      <c r="G78" s="51"/>
      <c r="H78" s="111"/>
      <c r="I78" s="63" t="str">
        <f t="array" aca="1" ref="I78" ca="1">IFERROR(IF(tblRegister[[#This Row],[OUT Token]]=DefCurrency,tblRegister[[#This Row],[OUT Quantity]],
      SUMPRODUCT($J$3:J77,
      IF(IF($E$3:E77 = tblRegister[[#This Row],[OUT Token]],tblRegister[[#This Row],[OUT Quantity]]-$L$3:L77+tblRegister[[#This Row],[OUT Total Before Sale]]+$F$3:F77,0)  &gt; IF(ISERROR(IF($E$3:E77 = tblRegister[[#This Row],[OUT Token]],$L$3:L77,N/A)-tblRegister[[#This Row],[OUT Total Before Sale]]),0,
            IF(IF($E$3:E77 = tblRegister[[#This Row],[OUT Token]],$L$3:L77,N/A)-tblRegister[[#This Row],[OUT Total Before Sale]]&lt;0,0,
                  IF(IF($E$3:E77 = tblRegister[[#This Row],[OUT Token]],$L$3:L77,tblRegister[[#This Row],[OUT Total Before Sale]])-tblRegister[[#This Row],[OUT Total Before Sale]]&lt;IF($E$3:E77 = tblRegister[[#This Row],[OUT Token]],$F$3:F77,0),
                        IF($E$3:E77 = tblRegister[[#This Row],[OUT Token]],$L$3:L77 - tblRegister[[#This Row],[OUT Total Before Sale]],0),
                        IF($E$3:E77 = tblRegister[[#This Row],[OUT Token]],$F$3:F77,0)
                  )
            )
      ),
     IF(ISERROR(IF($E$3:E77 = tblRegister[[#This Row],[OUT Token]],$L$3:L77,N/A)-tblRegister[[#This Row],[OUT Total Before Sale]]),0,
            IF(IF($E$3:E77 = tblRegister[[#This Row],[OUT Token]],$L$3:L77,N/A)-tblRegister[[#This Row],[OUT Total Before Sale]]&lt;0,0,
                  IF(IF($E$3:E77 = tblRegister[[#This Row],[OUT Token]],$L$3:L77,tblRegister[[#This Row],[OUT Total Before Sale]])-tblRegister[[#This Row],[OUT Total Before Sale]]&lt;IF($E$3:E77 = tblRegister[[#This Row],[OUT Token]],$F$3:F77,0),
                        IF($E$3:E77 = tblRegister[[#This Row],[OUT Token]],$L$3:L77 - tblRegister[[#This Row],[OUT Total Before Sale]],0),
                        IF($E$3:E77 = tblRegister[[#This Row],[OUT Token]],$F$3:F77,0)
                  )
            )
      ),
      IF(IF($E$3:E77 = tblRegister[[#This Row],[OUT Token]],tblRegister[[#This Row],[OUT Quantity]]-$L$3:L77+tblRegister[[#This Row],[OUT Total Before Sale]]+$F$3:F77,1) &lt;0,0,
           IF($E$3:E77 = tblRegister[[#This Row],[OUT Token]],tblRegister[[#This Row],[OUT Quantity]]-$L$3:L77+tblRegister[[#This Row],[OUT Total Before Sale]]+$F$3:F77,0)))))/tblRegister[[#This Row],[OUT Quantity]],"")</f>
        <v/>
      </c>
      <c r="J78" s="63" t="str">
        <f ca="1">IFERROR(tblRegister[[#This Row],[OUT Book Price]]*tblRegister[[#This Row],[OUT Quantity]]/tblRegister[[#This Row],[IN Quantity]],"")</f>
        <v/>
      </c>
      <c r="K78" s="63" t="str">
        <f>IFERROR(IF(tblRegister[[#This Row],[IN Token]]=DefCurrency,tblRegister[[#This Row],[IN Quantity]]*(1-tblRegister[[#This Row],[IN Price]]),""),"")</f>
        <v/>
      </c>
      <c r="L78" s="52" t="str">
        <f t="array" aca="1" ref="L7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8" s="52" t="str">
        <f t="array" ref="N78">IF(tblRegister[[#This Row],[Batch]]="","",tblRegister[[#This Row],[OUT Total After Sale]]-tblRegister[[#This Row],[OUT Quantity]])</f>
        <v/>
      </c>
      <c r="O78" s="53" t="str">
        <f t="array" aca="1" ref="O7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79" spans="2:15" x14ac:dyDescent="0.25">
      <c r="B79" s="50">
        <f>ROW()-ROW(tblRegister[[#Headers],[Ind]])</f>
        <v>76</v>
      </c>
      <c r="C79" s="60" t="str">
        <f>IF(ISBLANK(tblRegister[[#This Row],[IN Token]]),"",tblRegister[[#This Row],[Ind]])</f>
        <v/>
      </c>
      <c r="D79" s="118"/>
      <c r="E79" s="51"/>
      <c r="F79" s="111"/>
      <c r="G79" s="51"/>
      <c r="H79" s="111"/>
      <c r="I79" s="63" t="str">
        <f t="array" aca="1" ref="I79" ca="1">IFERROR(IF(tblRegister[[#This Row],[OUT Token]]=DefCurrency,tblRegister[[#This Row],[OUT Quantity]],
      SUMPRODUCT($J$3:J78,
      IF(IF($E$3:E78 = tblRegister[[#This Row],[OUT Token]],tblRegister[[#This Row],[OUT Quantity]]-$L$3:L78+tblRegister[[#This Row],[OUT Total Before Sale]]+$F$3:F78,0)  &gt; IF(ISERROR(IF($E$3:E78 = tblRegister[[#This Row],[OUT Token]],$L$3:L78,N/A)-tblRegister[[#This Row],[OUT Total Before Sale]]),0,
            IF(IF($E$3:E78 = tblRegister[[#This Row],[OUT Token]],$L$3:L78,N/A)-tblRegister[[#This Row],[OUT Total Before Sale]]&lt;0,0,
                  IF(IF($E$3:E78 = tblRegister[[#This Row],[OUT Token]],$L$3:L78,tblRegister[[#This Row],[OUT Total Before Sale]])-tblRegister[[#This Row],[OUT Total Before Sale]]&lt;IF($E$3:E78 = tblRegister[[#This Row],[OUT Token]],$F$3:F78,0),
                        IF($E$3:E78 = tblRegister[[#This Row],[OUT Token]],$L$3:L78 - tblRegister[[#This Row],[OUT Total Before Sale]],0),
                        IF($E$3:E78 = tblRegister[[#This Row],[OUT Token]],$F$3:F78,0)
                  )
            )
      ),
     IF(ISERROR(IF($E$3:E78 = tblRegister[[#This Row],[OUT Token]],$L$3:L78,N/A)-tblRegister[[#This Row],[OUT Total Before Sale]]),0,
            IF(IF($E$3:E78 = tblRegister[[#This Row],[OUT Token]],$L$3:L78,N/A)-tblRegister[[#This Row],[OUT Total Before Sale]]&lt;0,0,
                  IF(IF($E$3:E78 = tblRegister[[#This Row],[OUT Token]],$L$3:L78,tblRegister[[#This Row],[OUT Total Before Sale]])-tblRegister[[#This Row],[OUT Total Before Sale]]&lt;IF($E$3:E78 = tblRegister[[#This Row],[OUT Token]],$F$3:F78,0),
                        IF($E$3:E78 = tblRegister[[#This Row],[OUT Token]],$L$3:L78 - tblRegister[[#This Row],[OUT Total Before Sale]],0),
                        IF($E$3:E78 = tblRegister[[#This Row],[OUT Token]],$F$3:F78,0)
                  )
            )
      ),
      IF(IF($E$3:E78 = tblRegister[[#This Row],[OUT Token]],tblRegister[[#This Row],[OUT Quantity]]-$L$3:L78+tblRegister[[#This Row],[OUT Total Before Sale]]+$F$3:F78,1) &lt;0,0,
           IF($E$3:E78 = tblRegister[[#This Row],[OUT Token]],tblRegister[[#This Row],[OUT Quantity]]-$L$3:L78+tblRegister[[#This Row],[OUT Total Before Sale]]+$F$3:F78,0)))))/tblRegister[[#This Row],[OUT Quantity]],"")</f>
        <v/>
      </c>
      <c r="J79" s="63" t="str">
        <f ca="1">IFERROR(tblRegister[[#This Row],[OUT Book Price]]*tblRegister[[#This Row],[OUT Quantity]]/tblRegister[[#This Row],[IN Quantity]],"")</f>
        <v/>
      </c>
      <c r="K79" s="63" t="str">
        <f>IFERROR(IF(tblRegister[[#This Row],[IN Token]]=DefCurrency,tblRegister[[#This Row],[IN Quantity]]*(1-tblRegister[[#This Row],[IN Price]]),""),"")</f>
        <v/>
      </c>
      <c r="L79" s="52" t="str">
        <f t="array" aca="1" ref="L7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7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79" s="52" t="str">
        <f t="array" ref="N79">IF(tblRegister[[#This Row],[Batch]]="","",tblRegister[[#This Row],[OUT Total After Sale]]-tblRegister[[#This Row],[OUT Quantity]])</f>
        <v/>
      </c>
      <c r="O79" s="53" t="str">
        <f t="array" aca="1" ref="O7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0" spans="2:15" x14ac:dyDescent="0.25">
      <c r="B80" s="50">
        <f>ROW()-ROW(tblRegister[[#Headers],[Ind]])</f>
        <v>77</v>
      </c>
      <c r="C80" s="60" t="str">
        <f>IF(ISBLANK(tblRegister[[#This Row],[IN Token]]),"",tblRegister[[#This Row],[Ind]])</f>
        <v/>
      </c>
      <c r="D80" s="118"/>
      <c r="E80" s="51"/>
      <c r="F80" s="111"/>
      <c r="G80" s="51"/>
      <c r="H80" s="111"/>
      <c r="I80" s="63" t="str">
        <f t="array" aca="1" ref="I80" ca="1">IFERROR(IF(tblRegister[[#This Row],[OUT Token]]=DefCurrency,tblRegister[[#This Row],[OUT Quantity]],
      SUMPRODUCT($J$3:J79,
      IF(IF($E$3:E79 = tblRegister[[#This Row],[OUT Token]],tblRegister[[#This Row],[OUT Quantity]]-$L$3:L79+tblRegister[[#This Row],[OUT Total Before Sale]]+$F$3:F79,0)  &gt; IF(ISERROR(IF($E$3:E79 = tblRegister[[#This Row],[OUT Token]],$L$3:L79,N/A)-tblRegister[[#This Row],[OUT Total Before Sale]]),0,
            IF(IF($E$3:E79 = tblRegister[[#This Row],[OUT Token]],$L$3:L79,N/A)-tblRegister[[#This Row],[OUT Total Before Sale]]&lt;0,0,
                  IF(IF($E$3:E79 = tblRegister[[#This Row],[OUT Token]],$L$3:L79,tblRegister[[#This Row],[OUT Total Before Sale]])-tblRegister[[#This Row],[OUT Total Before Sale]]&lt;IF($E$3:E79 = tblRegister[[#This Row],[OUT Token]],$F$3:F79,0),
                        IF($E$3:E79 = tblRegister[[#This Row],[OUT Token]],$L$3:L79 - tblRegister[[#This Row],[OUT Total Before Sale]],0),
                        IF($E$3:E79 = tblRegister[[#This Row],[OUT Token]],$F$3:F79,0)
                  )
            )
      ),
     IF(ISERROR(IF($E$3:E79 = tblRegister[[#This Row],[OUT Token]],$L$3:L79,N/A)-tblRegister[[#This Row],[OUT Total Before Sale]]),0,
            IF(IF($E$3:E79 = tblRegister[[#This Row],[OUT Token]],$L$3:L79,N/A)-tblRegister[[#This Row],[OUT Total Before Sale]]&lt;0,0,
                  IF(IF($E$3:E79 = tblRegister[[#This Row],[OUT Token]],$L$3:L79,tblRegister[[#This Row],[OUT Total Before Sale]])-tblRegister[[#This Row],[OUT Total Before Sale]]&lt;IF($E$3:E79 = tblRegister[[#This Row],[OUT Token]],$F$3:F79,0),
                        IF($E$3:E79 = tblRegister[[#This Row],[OUT Token]],$L$3:L79 - tblRegister[[#This Row],[OUT Total Before Sale]],0),
                        IF($E$3:E79 = tblRegister[[#This Row],[OUT Token]],$F$3:F79,0)
                  )
            )
      ),
      IF(IF($E$3:E79 = tblRegister[[#This Row],[OUT Token]],tblRegister[[#This Row],[OUT Quantity]]-$L$3:L79+tblRegister[[#This Row],[OUT Total Before Sale]]+$F$3:F79,1) &lt;0,0,
           IF($E$3:E79 = tblRegister[[#This Row],[OUT Token]],tblRegister[[#This Row],[OUT Quantity]]-$L$3:L79+tblRegister[[#This Row],[OUT Total Before Sale]]+$F$3:F79,0)))))/tblRegister[[#This Row],[OUT Quantity]],"")</f>
        <v/>
      </c>
      <c r="J80" s="63" t="str">
        <f ca="1">IFERROR(tblRegister[[#This Row],[OUT Book Price]]*tblRegister[[#This Row],[OUT Quantity]]/tblRegister[[#This Row],[IN Quantity]],"")</f>
        <v/>
      </c>
      <c r="K80" s="63" t="str">
        <f>IFERROR(IF(tblRegister[[#This Row],[IN Token]]=DefCurrency,tblRegister[[#This Row],[IN Quantity]]*(1-tblRegister[[#This Row],[IN Price]]),""),"")</f>
        <v/>
      </c>
      <c r="L80" s="52" t="str">
        <f t="array" aca="1" ref="L8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0" s="52" t="str">
        <f t="array" ref="N80">IF(tblRegister[[#This Row],[Batch]]="","",tblRegister[[#This Row],[OUT Total After Sale]]-tblRegister[[#This Row],[OUT Quantity]])</f>
        <v/>
      </c>
      <c r="O80" s="53" t="str">
        <f t="array" aca="1" ref="O8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1" spans="2:15" x14ac:dyDescent="0.25">
      <c r="B81" s="50">
        <f>ROW()-ROW(tblRegister[[#Headers],[Ind]])</f>
        <v>78</v>
      </c>
      <c r="C81" s="60" t="str">
        <f>IF(ISBLANK(tblRegister[[#This Row],[IN Token]]),"",tblRegister[[#This Row],[Ind]])</f>
        <v/>
      </c>
      <c r="D81" s="118"/>
      <c r="E81" s="51"/>
      <c r="F81" s="111"/>
      <c r="G81" s="51"/>
      <c r="H81" s="111"/>
      <c r="I81" s="63" t="str">
        <f t="array" aca="1" ref="I81" ca="1">IFERROR(IF(tblRegister[[#This Row],[OUT Token]]=DefCurrency,tblRegister[[#This Row],[OUT Quantity]],
      SUMPRODUCT($J$3:J80,
      IF(IF($E$3:E80 = tblRegister[[#This Row],[OUT Token]],tblRegister[[#This Row],[OUT Quantity]]-$L$3:L80+tblRegister[[#This Row],[OUT Total Before Sale]]+$F$3:F80,0)  &gt; IF(ISERROR(IF($E$3:E80 = tblRegister[[#This Row],[OUT Token]],$L$3:L80,N/A)-tblRegister[[#This Row],[OUT Total Before Sale]]),0,
            IF(IF($E$3:E80 = tblRegister[[#This Row],[OUT Token]],$L$3:L80,N/A)-tblRegister[[#This Row],[OUT Total Before Sale]]&lt;0,0,
                  IF(IF($E$3:E80 = tblRegister[[#This Row],[OUT Token]],$L$3:L80,tblRegister[[#This Row],[OUT Total Before Sale]])-tblRegister[[#This Row],[OUT Total Before Sale]]&lt;IF($E$3:E80 = tblRegister[[#This Row],[OUT Token]],$F$3:F80,0),
                        IF($E$3:E80 = tblRegister[[#This Row],[OUT Token]],$L$3:L80 - tblRegister[[#This Row],[OUT Total Before Sale]],0),
                        IF($E$3:E80 = tblRegister[[#This Row],[OUT Token]],$F$3:F80,0)
                  )
            )
      ),
     IF(ISERROR(IF($E$3:E80 = tblRegister[[#This Row],[OUT Token]],$L$3:L80,N/A)-tblRegister[[#This Row],[OUT Total Before Sale]]),0,
            IF(IF($E$3:E80 = tblRegister[[#This Row],[OUT Token]],$L$3:L80,N/A)-tblRegister[[#This Row],[OUT Total Before Sale]]&lt;0,0,
                  IF(IF($E$3:E80 = tblRegister[[#This Row],[OUT Token]],$L$3:L80,tblRegister[[#This Row],[OUT Total Before Sale]])-tblRegister[[#This Row],[OUT Total Before Sale]]&lt;IF($E$3:E80 = tblRegister[[#This Row],[OUT Token]],$F$3:F80,0),
                        IF($E$3:E80 = tblRegister[[#This Row],[OUT Token]],$L$3:L80 - tblRegister[[#This Row],[OUT Total Before Sale]],0),
                        IF($E$3:E80 = tblRegister[[#This Row],[OUT Token]],$F$3:F80,0)
                  )
            )
      ),
      IF(IF($E$3:E80 = tblRegister[[#This Row],[OUT Token]],tblRegister[[#This Row],[OUT Quantity]]-$L$3:L80+tblRegister[[#This Row],[OUT Total Before Sale]]+$F$3:F80,1) &lt;0,0,
           IF($E$3:E80 = tblRegister[[#This Row],[OUT Token]],tblRegister[[#This Row],[OUT Quantity]]-$L$3:L80+tblRegister[[#This Row],[OUT Total Before Sale]]+$F$3:F80,0)))))/tblRegister[[#This Row],[OUT Quantity]],"")</f>
        <v/>
      </c>
      <c r="J81" s="63" t="str">
        <f ca="1">IFERROR(tblRegister[[#This Row],[OUT Book Price]]*tblRegister[[#This Row],[OUT Quantity]]/tblRegister[[#This Row],[IN Quantity]],"")</f>
        <v/>
      </c>
      <c r="K81" s="63" t="str">
        <f>IFERROR(IF(tblRegister[[#This Row],[IN Token]]=DefCurrency,tblRegister[[#This Row],[IN Quantity]]*(1-tblRegister[[#This Row],[IN Price]]),""),"")</f>
        <v/>
      </c>
      <c r="L81" s="52" t="str">
        <f t="array" aca="1" ref="L8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1" s="52" t="str">
        <f t="array" ref="N81">IF(tblRegister[[#This Row],[Batch]]="","",tblRegister[[#This Row],[OUT Total After Sale]]-tblRegister[[#This Row],[OUT Quantity]])</f>
        <v/>
      </c>
      <c r="O81" s="53" t="str">
        <f t="array" aca="1" ref="O8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2" spans="2:15" x14ac:dyDescent="0.25">
      <c r="B82" s="50">
        <f>ROW()-ROW(tblRegister[[#Headers],[Ind]])</f>
        <v>79</v>
      </c>
      <c r="C82" s="60" t="str">
        <f>IF(ISBLANK(tblRegister[[#This Row],[IN Token]]),"",tblRegister[[#This Row],[Ind]])</f>
        <v/>
      </c>
      <c r="D82" s="118"/>
      <c r="E82" s="51"/>
      <c r="F82" s="111"/>
      <c r="G82" s="51"/>
      <c r="H82" s="111"/>
      <c r="I82" s="63" t="str">
        <f t="array" aca="1" ref="I82" ca="1">IFERROR(IF(tblRegister[[#This Row],[OUT Token]]=DefCurrency,tblRegister[[#This Row],[OUT Quantity]],
      SUMPRODUCT($J$3:J81,
      IF(IF($E$3:E81 = tblRegister[[#This Row],[OUT Token]],tblRegister[[#This Row],[OUT Quantity]]-$L$3:L81+tblRegister[[#This Row],[OUT Total Before Sale]]+$F$3:F81,0)  &gt; IF(ISERROR(IF($E$3:E81 = tblRegister[[#This Row],[OUT Token]],$L$3:L81,N/A)-tblRegister[[#This Row],[OUT Total Before Sale]]),0,
            IF(IF($E$3:E81 = tblRegister[[#This Row],[OUT Token]],$L$3:L81,N/A)-tblRegister[[#This Row],[OUT Total Before Sale]]&lt;0,0,
                  IF(IF($E$3:E81 = tblRegister[[#This Row],[OUT Token]],$L$3:L81,tblRegister[[#This Row],[OUT Total Before Sale]])-tblRegister[[#This Row],[OUT Total Before Sale]]&lt;IF($E$3:E81 = tblRegister[[#This Row],[OUT Token]],$F$3:F81,0),
                        IF($E$3:E81 = tblRegister[[#This Row],[OUT Token]],$L$3:L81 - tblRegister[[#This Row],[OUT Total Before Sale]],0),
                        IF($E$3:E81 = tblRegister[[#This Row],[OUT Token]],$F$3:F81,0)
                  )
            )
      ),
     IF(ISERROR(IF($E$3:E81 = tblRegister[[#This Row],[OUT Token]],$L$3:L81,N/A)-tblRegister[[#This Row],[OUT Total Before Sale]]),0,
            IF(IF($E$3:E81 = tblRegister[[#This Row],[OUT Token]],$L$3:L81,N/A)-tblRegister[[#This Row],[OUT Total Before Sale]]&lt;0,0,
                  IF(IF($E$3:E81 = tblRegister[[#This Row],[OUT Token]],$L$3:L81,tblRegister[[#This Row],[OUT Total Before Sale]])-tblRegister[[#This Row],[OUT Total Before Sale]]&lt;IF($E$3:E81 = tblRegister[[#This Row],[OUT Token]],$F$3:F81,0),
                        IF($E$3:E81 = tblRegister[[#This Row],[OUT Token]],$L$3:L81 - tblRegister[[#This Row],[OUT Total Before Sale]],0),
                        IF($E$3:E81 = tblRegister[[#This Row],[OUT Token]],$F$3:F81,0)
                  )
            )
      ),
      IF(IF($E$3:E81 = tblRegister[[#This Row],[OUT Token]],tblRegister[[#This Row],[OUT Quantity]]-$L$3:L81+tblRegister[[#This Row],[OUT Total Before Sale]]+$F$3:F81,1) &lt;0,0,
           IF($E$3:E81 = tblRegister[[#This Row],[OUT Token]],tblRegister[[#This Row],[OUT Quantity]]-$L$3:L81+tblRegister[[#This Row],[OUT Total Before Sale]]+$F$3:F81,0)))))/tblRegister[[#This Row],[OUT Quantity]],"")</f>
        <v/>
      </c>
      <c r="J82" s="63" t="str">
        <f ca="1">IFERROR(tblRegister[[#This Row],[OUT Book Price]]*tblRegister[[#This Row],[OUT Quantity]]/tblRegister[[#This Row],[IN Quantity]],"")</f>
        <v/>
      </c>
      <c r="K82" s="63" t="str">
        <f>IFERROR(IF(tblRegister[[#This Row],[IN Token]]=DefCurrency,tblRegister[[#This Row],[IN Quantity]]*(1-tblRegister[[#This Row],[IN Price]]),""),"")</f>
        <v/>
      </c>
      <c r="L82" s="52" t="str">
        <f t="array" aca="1" ref="L8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2" s="52" t="str">
        <f t="array" ref="N82">IF(tblRegister[[#This Row],[Batch]]="","",tblRegister[[#This Row],[OUT Total After Sale]]-tblRegister[[#This Row],[OUT Quantity]])</f>
        <v/>
      </c>
      <c r="O82" s="53" t="str">
        <f t="array" aca="1" ref="O8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3" spans="2:15" x14ac:dyDescent="0.25">
      <c r="B83" s="50">
        <f>ROW()-ROW(tblRegister[[#Headers],[Ind]])</f>
        <v>80</v>
      </c>
      <c r="C83" s="60" t="str">
        <f>IF(ISBLANK(tblRegister[[#This Row],[IN Token]]),"",tblRegister[[#This Row],[Ind]])</f>
        <v/>
      </c>
      <c r="D83" s="118"/>
      <c r="E83" s="51"/>
      <c r="F83" s="111"/>
      <c r="G83" s="51"/>
      <c r="H83" s="111"/>
      <c r="I83" s="63" t="str">
        <f t="array" aca="1" ref="I83" ca="1">IFERROR(IF(tblRegister[[#This Row],[OUT Token]]=DefCurrency,tblRegister[[#This Row],[OUT Quantity]],
      SUMPRODUCT($J$3:J82,
      IF(IF($E$3:E82 = tblRegister[[#This Row],[OUT Token]],tblRegister[[#This Row],[OUT Quantity]]-$L$3:L82+tblRegister[[#This Row],[OUT Total Before Sale]]+$F$3:F82,0)  &gt; IF(ISERROR(IF($E$3:E82 = tblRegister[[#This Row],[OUT Token]],$L$3:L82,N/A)-tblRegister[[#This Row],[OUT Total Before Sale]]),0,
            IF(IF($E$3:E82 = tblRegister[[#This Row],[OUT Token]],$L$3:L82,N/A)-tblRegister[[#This Row],[OUT Total Before Sale]]&lt;0,0,
                  IF(IF($E$3:E82 = tblRegister[[#This Row],[OUT Token]],$L$3:L82,tblRegister[[#This Row],[OUT Total Before Sale]])-tblRegister[[#This Row],[OUT Total Before Sale]]&lt;IF($E$3:E82 = tblRegister[[#This Row],[OUT Token]],$F$3:F82,0),
                        IF($E$3:E82 = tblRegister[[#This Row],[OUT Token]],$L$3:L82 - tblRegister[[#This Row],[OUT Total Before Sale]],0),
                        IF($E$3:E82 = tblRegister[[#This Row],[OUT Token]],$F$3:F82,0)
                  )
            )
      ),
     IF(ISERROR(IF($E$3:E82 = tblRegister[[#This Row],[OUT Token]],$L$3:L82,N/A)-tblRegister[[#This Row],[OUT Total Before Sale]]),0,
            IF(IF($E$3:E82 = tblRegister[[#This Row],[OUT Token]],$L$3:L82,N/A)-tblRegister[[#This Row],[OUT Total Before Sale]]&lt;0,0,
                  IF(IF($E$3:E82 = tblRegister[[#This Row],[OUT Token]],$L$3:L82,tblRegister[[#This Row],[OUT Total Before Sale]])-tblRegister[[#This Row],[OUT Total Before Sale]]&lt;IF($E$3:E82 = tblRegister[[#This Row],[OUT Token]],$F$3:F82,0),
                        IF($E$3:E82 = tblRegister[[#This Row],[OUT Token]],$L$3:L82 - tblRegister[[#This Row],[OUT Total Before Sale]],0),
                        IF($E$3:E82 = tblRegister[[#This Row],[OUT Token]],$F$3:F82,0)
                  )
            )
      ),
      IF(IF($E$3:E82 = tblRegister[[#This Row],[OUT Token]],tblRegister[[#This Row],[OUT Quantity]]-$L$3:L82+tblRegister[[#This Row],[OUT Total Before Sale]]+$F$3:F82,1) &lt;0,0,
           IF($E$3:E82 = tblRegister[[#This Row],[OUT Token]],tblRegister[[#This Row],[OUT Quantity]]-$L$3:L82+tblRegister[[#This Row],[OUT Total Before Sale]]+$F$3:F82,0)))))/tblRegister[[#This Row],[OUT Quantity]],"")</f>
        <v/>
      </c>
      <c r="J83" s="63" t="str">
        <f ca="1">IFERROR(tblRegister[[#This Row],[OUT Book Price]]*tblRegister[[#This Row],[OUT Quantity]]/tblRegister[[#This Row],[IN Quantity]],"")</f>
        <v/>
      </c>
      <c r="K83" s="63" t="str">
        <f>IFERROR(IF(tblRegister[[#This Row],[IN Token]]=DefCurrency,tblRegister[[#This Row],[IN Quantity]]*(1-tblRegister[[#This Row],[IN Price]]),""),"")</f>
        <v/>
      </c>
      <c r="L83" s="52" t="str">
        <f t="array" aca="1" ref="L8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3" s="52" t="str">
        <f t="array" ref="N83">IF(tblRegister[[#This Row],[Batch]]="","",tblRegister[[#This Row],[OUT Total After Sale]]-tblRegister[[#This Row],[OUT Quantity]])</f>
        <v/>
      </c>
      <c r="O83" s="53" t="str">
        <f t="array" aca="1" ref="O8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4" spans="2:15" x14ac:dyDescent="0.25">
      <c r="B84" s="50">
        <f>ROW()-ROW(tblRegister[[#Headers],[Ind]])</f>
        <v>81</v>
      </c>
      <c r="C84" s="60" t="str">
        <f>IF(ISBLANK(tblRegister[[#This Row],[IN Token]]),"",tblRegister[[#This Row],[Ind]])</f>
        <v/>
      </c>
      <c r="D84" s="118"/>
      <c r="E84" s="51"/>
      <c r="F84" s="111"/>
      <c r="G84" s="51"/>
      <c r="H84" s="111"/>
      <c r="I84" s="63" t="str">
        <f t="array" aca="1" ref="I84" ca="1">IFERROR(IF(tblRegister[[#This Row],[OUT Token]]=DefCurrency,tblRegister[[#This Row],[OUT Quantity]],
      SUMPRODUCT($J$3:J83,
      IF(IF($E$3:E83 = tblRegister[[#This Row],[OUT Token]],tblRegister[[#This Row],[OUT Quantity]]-$L$3:L83+tblRegister[[#This Row],[OUT Total Before Sale]]+$F$3:F83,0)  &gt; IF(ISERROR(IF($E$3:E83 = tblRegister[[#This Row],[OUT Token]],$L$3:L83,N/A)-tblRegister[[#This Row],[OUT Total Before Sale]]),0,
            IF(IF($E$3:E83 = tblRegister[[#This Row],[OUT Token]],$L$3:L83,N/A)-tblRegister[[#This Row],[OUT Total Before Sale]]&lt;0,0,
                  IF(IF($E$3:E83 = tblRegister[[#This Row],[OUT Token]],$L$3:L83,tblRegister[[#This Row],[OUT Total Before Sale]])-tblRegister[[#This Row],[OUT Total Before Sale]]&lt;IF($E$3:E83 = tblRegister[[#This Row],[OUT Token]],$F$3:F83,0),
                        IF($E$3:E83 = tblRegister[[#This Row],[OUT Token]],$L$3:L83 - tblRegister[[#This Row],[OUT Total Before Sale]],0),
                        IF($E$3:E83 = tblRegister[[#This Row],[OUT Token]],$F$3:F83,0)
                  )
            )
      ),
     IF(ISERROR(IF($E$3:E83 = tblRegister[[#This Row],[OUT Token]],$L$3:L83,N/A)-tblRegister[[#This Row],[OUT Total Before Sale]]),0,
            IF(IF($E$3:E83 = tblRegister[[#This Row],[OUT Token]],$L$3:L83,N/A)-tblRegister[[#This Row],[OUT Total Before Sale]]&lt;0,0,
                  IF(IF($E$3:E83 = tblRegister[[#This Row],[OUT Token]],$L$3:L83,tblRegister[[#This Row],[OUT Total Before Sale]])-tblRegister[[#This Row],[OUT Total Before Sale]]&lt;IF($E$3:E83 = tblRegister[[#This Row],[OUT Token]],$F$3:F83,0),
                        IF($E$3:E83 = tblRegister[[#This Row],[OUT Token]],$L$3:L83 - tblRegister[[#This Row],[OUT Total Before Sale]],0),
                        IF($E$3:E83 = tblRegister[[#This Row],[OUT Token]],$F$3:F83,0)
                  )
            )
      ),
      IF(IF($E$3:E83 = tblRegister[[#This Row],[OUT Token]],tblRegister[[#This Row],[OUT Quantity]]-$L$3:L83+tblRegister[[#This Row],[OUT Total Before Sale]]+$F$3:F83,1) &lt;0,0,
           IF($E$3:E83 = tblRegister[[#This Row],[OUT Token]],tblRegister[[#This Row],[OUT Quantity]]-$L$3:L83+tblRegister[[#This Row],[OUT Total Before Sale]]+$F$3:F83,0)))))/tblRegister[[#This Row],[OUT Quantity]],"")</f>
        <v/>
      </c>
      <c r="J84" s="63" t="str">
        <f ca="1">IFERROR(tblRegister[[#This Row],[OUT Book Price]]*tblRegister[[#This Row],[OUT Quantity]]/tblRegister[[#This Row],[IN Quantity]],"")</f>
        <v/>
      </c>
      <c r="K84" s="63" t="str">
        <f>IFERROR(IF(tblRegister[[#This Row],[IN Token]]=DefCurrency,tblRegister[[#This Row],[IN Quantity]]*(1-tblRegister[[#This Row],[IN Price]]),""),"")</f>
        <v/>
      </c>
      <c r="L84" s="52" t="str">
        <f t="array" aca="1" ref="L8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4" s="52" t="str">
        <f t="array" ref="N84">IF(tblRegister[[#This Row],[Batch]]="","",tblRegister[[#This Row],[OUT Total After Sale]]-tblRegister[[#This Row],[OUT Quantity]])</f>
        <v/>
      </c>
      <c r="O84" s="53" t="str">
        <f t="array" aca="1" ref="O8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5" spans="2:15" x14ac:dyDescent="0.25">
      <c r="B85" s="50">
        <f>ROW()-ROW(tblRegister[[#Headers],[Ind]])</f>
        <v>82</v>
      </c>
      <c r="C85" s="60" t="str">
        <f>IF(ISBLANK(tblRegister[[#This Row],[IN Token]]),"",tblRegister[[#This Row],[Ind]])</f>
        <v/>
      </c>
      <c r="D85" s="118"/>
      <c r="E85" s="51"/>
      <c r="F85" s="111"/>
      <c r="G85" s="51"/>
      <c r="H85" s="111"/>
      <c r="I85" s="63" t="str">
        <f t="array" aca="1" ref="I85" ca="1">IFERROR(IF(tblRegister[[#This Row],[OUT Token]]=DefCurrency,tblRegister[[#This Row],[OUT Quantity]],
      SUMPRODUCT($J$3:J84,
      IF(IF($E$3:E84 = tblRegister[[#This Row],[OUT Token]],tblRegister[[#This Row],[OUT Quantity]]-$L$3:L84+tblRegister[[#This Row],[OUT Total Before Sale]]+$F$3:F84,0)  &gt; IF(ISERROR(IF($E$3:E84 = tblRegister[[#This Row],[OUT Token]],$L$3:L84,N/A)-tblRegister[[#This Row],[OUT Total Before Sale]]),0,
            IF(IF($E$3:E84 = tblRegister[[#This Row],[OUT Token]],$L$3:L84,N/A)-tblRegister[[#This Row],[OUT Total Before Sale]]&lt;0,0,
                  IF(IF($E$3:E84 = tblRegister[[#This Row],[OUT Token]],$L$3:L84,tblRegister[[#This Row],[OUT Total Before Sale]])-tblRegister[[#This Row],[OUT Total Before Sale]]&lt;IF($E$3:E84 = tblRegister[[#This Row],[OUT Token]],$F$3:F84,0),
                        IF($E$3:E84 = tblRegister[[#This Row],[OUT Token]],$L$3:L84 - tblRegister[[#This Row],[OUT Total Before Sale]],0),
                        IF($E$3:E84 = tblRegister[[#This Row],[OUT Token]],$F$3:F84,0)
                  )
            )
      ),
     IF(ISERROR(IF($E$3:E84 = tblRegister[[#This Row],[OUT Token]],$L$3:L84,N/A)-tblRegister[[#This Row],[OUT Total Before Sale]]),0,
            IF(IF($E$3:E84 = tblRegister[[#This Row],[OUT Token]],$L$3:L84,N/A)-tblRegister[[#This Row],[OUT Total Before Sale]]&lt;0,0,
                  IF(IF($E$3:E84 = tblRegister[[#This Row],[OUT Token]],$L$3:L84,tblRegister[[#This Row],[OUT Total Before Sale]])-tblRegister[[#This Row],[OUT Total Before Sale]]&lt;IF($E$3:E84 = tblRegister[[#This Row],[OUT Token]],$F$3:F84,0),
                        IF($E$3:E84 = tblRegister[[#This Row],[OUT Token]],$L$3:L84 - tblRegister[[#This Row],[OUT Total Before Sale]],0),
                        IF($E$3:E84 = tblRegister[[#This Row],[OUT Token]],$F$3:F84,0)
                  )
            )
      ),
      IF(IF($E$3:E84 = tblRegister[[#This Row],[OUT Token]],tblRegister[[#This Row],[OUT Quantity]]-$L$3:L84+tblRegister[[#This Row],[OUT Total Before Sale]]+$F$3:F84,1) &lt;0,0,
           IF($E$3:E84 = tblRegister[[#This Row],[OUT Token]],tblRegister[[#This Row],[OUT Quantity]]-$L$3:L84+tblRegister[[#This Row],[OUT Total Before Sale]]+$F$3:F84,0)))))/tblRegister[[#This Row],[OUT Quantity]],"")</f>
        <v/>
      </c>
      <c r="J85" s="63" t="str">
        <f ca="1">IFERROR(tblRegister[[#This Row],[OUT Book Price]]*tblRegister[[#This Row],[OUT Quantity]]/tblRegister[[#This Row],[IN Quantity]],"")</f>
        <v/>
      </c>
      <c r="K85" s="63" t="str">
        <f>IFERROR(IF(tblRegister[[#This Row],[IN Token]]=DefCurrency,tblRegister[[#This Row],[IN Quantity]]*(1-tblRegister[[#This Row],[IN Price]]),""),"")</f>
        <v/>
      </c>
      <c r="L85" s="52" t="str">
        <f t="array" aca="1" ref="L8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5" s="52" t="str">
        <f t="array" ref="N85">IF(tblRegister[[#This Row],[Batch]]="","",tblRegister[[#This Row],[OUT Total After Sale]]-tblRegister[[#This Row],[OUT Quantity]])</f>
        <v/>
      </c>
      <c r="O85" s="53" t="str">
        <f t="array" aca="1" ref="O8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6" spans="2:15" x14ac:dyDescent="0.25">
      <c r="B86" s="50">
        <f>ROW()-ROW(tblRegister[[#Headers],[Ind]])</f>
        <v>83</v>
      </c>
      <c r="C86" s="60" t="str">
        <f>IF(ISBLANK(tblRegister[[#This Row],[IN Token]]),"",tblRegister[[#This Row],[Ind]])</f>
        <v/>
      </c>
      <c r="D86" s="118"/>
      <c r="E86" s="51"/>
      <c r="F86" s="111"/>
      <c r="G86" s="51"/>
      <c r="H86" s="111"/>
      <c r="I86" s="63" t="str">
        <f t="array" aca="1" ref="I86" ca="1">IFERROR(IF(tblRegister[[#This Row],[OUT Token]]=DefCurrency,tblRegister[[#This Row],[OUT Quantity]],
      SUMPRODUCT($J$3:J85,
      IF(IF($E$3:E85 = tblRegister[[#This Row],[OUT Token]],tblRegister[[#This Row],[OUT Quantity]]-$L$3:L85+tblRegister[[#This Row],[OUT Total Before Sale]]+$F$3:F85,0)  &gt; IF(ISERROR(IF($E$3:E85 = tblRegister[[#This Row],[OUT Token]],$L$3:L85,N/A)-tblRegister[[#This Row],[OUT Total Before Sale]]),0,
            IF(IF($E$3:E85 = tblRegister[[#This Row],[OUT Token]],$L$3:L85,N/A)-tblRegister[[#This Row],[OUT Total Before Sale]]&lt;0,0,
                  IF(IF($E$3:E85 = tblRegister[[#This Row],[OUT Token]],$L$3:L85,tblRegister[[#This Row],[OUT Total Before Sale]])-tblRegister[[#This Row],[OUT Total Before Sale]]&lt;IF($E$3:E85 = tblRegister[[#This Row],[OUT Token]],$F$3:F85,0),
                        IF($E$3:E85 = tblRegister[[#This Row],[OUT Token]],$L$3:L85 - tblRegister[[#This Row],[OUT Total Before Sale]],0),
                        IF($E$3:E85 = tblRegister[[#This Row],[OUT Token]],$F$3:F85,0)
                  )
            )
      ),
     IF(ISERROR(IF($E$3:E85 = tblRegister[[#This Row],[OUT Token]],$L$3:L85,N/A)-tblRegister[[#This Row],[OUT Total Before Sale]]),0,
            IF(IF($E$3:E85 = tblRegister[[#This Row],[OUT Token]],$L$3:L85,N/A)-tblRegister[[#This Row],[OUT Total Before Sale]]&lt;0,0,
                  IF(IF($E$3:E85 = tblRegister[[#This Row],[OUT Token]],$L$3:L85,tblRegister[[#This Row],[OUT Total Before Sale]])-tblRegister[[#This Row],[OUT Total Before Sale]]&lt;IF($E$3:E85 = tblRegister[[#This Row],[OUT Token]],$F$3:F85,0),
                        IF($E$3:E85 = tblRegister[[#This Row],[OUT Token]],$L$3:L85 - tblRegister[[#This Row],[OUT Total Before Sale]],0),
                        IF($E$3:E85 = tblRegister[[#This Row],[OUT Token]],$F$3:F85,0)
                  )
            )
      ),
      IF(IF($E$3:E85 = tblRegister[[#This Row],[OUT Token]],tblRegister[[#This Row],[OUT Quantity]]-$L$3:L85+tblRegister[[#This Row],[OUT Total Before Sale]]+$F$3:F85,1) &lt;0,0,
           IF($E$3:E85 = tblRegister[[#This Row],[OUT Token]],tblRegister[[#This Row],[OUT Quantity]]-$L$3:L85+tblRegister[[#This Row],[OUT Total Before Sale]]+$F$3:F85,0)))))/tblRegister[[#This Row],[OUT Quantity]],"")</f>
        <v/>
      </c>
      <c r="J86" s="63" t="str">
        <f ca="1">IFERROR(tblRegister[[#This Row],[OUT Book Price]]*tblRegister[[#This Row],[OUT Quantity]]/tblRegister[[#This Row],[IN Quantity]],"")</f>
        <v/>
      </c>
      <c r="K86" s="63" t="str">
        <f>IFERROR(IF(tblRegister[[#This Row],[IN Token]]=DefCurrency,tblRegister[[#This Row],[IN Quantity]]*(1-tblRegister[[#This Row],[IN Price]]),""),"")</f>
        <v/>
      </c>
      <c r="L86" s="52" t="str">
        <f t="array" aca="1" ref="L8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6" s="52" t="str">
        <f t="array" ref="N86">IF(tblRegister[[#This Row],[Batch]]="","",tblRegister[[#This Row],[OUT Total After Sale]]-tblRegister[[#This Row],[OUT Quantity]])</f>
        <v/>
      </c>
      <c r="O86" s="53" t="str">
        <f t="array" aca="1" ref="O8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7" spans="2:15" x14ac:dyDescent="0.25">
      <c r="B87" s="50">
        <f>ROW()-ROW(tblRegister[[#Headers],[Ind]])</f>
        <v>84</v>
      </c>
      <c r="C87" s="60" t="str">
        <f>IF(ISBLANK(tblRegister[[#This Row],[IN Token]]),"",tblRegister[[#This Row],[Ind]])</f>
        <v/>
      </c>
      <c r="D87" s="118"/>
      <c r="E87" s="51"/>
      <c r="F87" s="111"/>
      <c r="G87" s="51"/>
      <c r="H87" s="111"/>
      <c r="I87" s="63" t="str">
        <f t="array" aca="1" ref="I87" ca="1">IFERROR(IF(tblRegister[[#This Row],[OUT Token]]=DefCurrency,tblRegister[[#This Row],[OUT Quantity]],
      SUMPRODUCT($J$3:J86,
      IF(IF($E$3:E86 = tblRegister[[#This Row],[OUT Token]],tblRegister[[#This Row],[OUT Quantity]]-$L$3:L86+tblRegister[[#This Row],[OUT Total Before Sale]]+$F$3:F86,0)  &gt; IF(ISERROR(IF($E$3:E86 = tblRegister[[#This Row],[OUT Token]],$L$3:L86,N/A)-tblRegister[[#This Row],[OUT Total Before Sale]]),0,
            IF(IF($E$3:E86 = tblRegister[[#This Row],[OUT Token]],$L$3:L86,N/A)-tblRegister[[#This Row],[OUT Total Before Sale]]&lt;0,0,
                  IF(IF($E$3:E86 = tblRegister[[#This Row],[OUT Token]],$L$3:L86,tblRegister[[#This Row],[OUT Total Before Sale]])-tblRegister[[#This Row],[OUT Total Before Sale]]&lt;IF($E$3:E86 = tblRegister[[#This Row],[OUT Token]],$F$3:F86,0),
                        IF($E$3:E86 = tblRegister[[#This Row],[OUT Token]],$L$3:L86 - tblRegister[[#This Row],[OUT Total Before Sale]],0),
                        IF($E$3:E86 = tblRegister[[#This Row],[OUT Token]],$F$3:F86,0)
                  )
            )
      ),
     IF(ISERROR(IF($E$3:E86 = tblRegister[[#This Row],[OUT Token]],$L$3:L86,N/A)-tblRegister[[#This Row],[OUT Total Before Sale]]),0,
            IF(IF($E$3:E86 = tblRegister[[#This Row],[OUT Token]],$L$3:L86,N/A)-tblRegister[[#This Row],[OUT Total Before Sale]]&lt;0,0,
                  IF(IF($E$3:E86 = tblRegister[[#This Row],[OUT Token]],$L$3:L86,tblRegister[[#This Row],[OUT Total Before Sale]])-tblRegister[[#This Row],[OUT Total Before Sale]]&lt;IF($E$3:E86 = tblRegister[[#This Row],[OUT Token]],$F$3:F86,0),
                        IF($E$3:E86 = tblRegister[[#This Row],[OUT Token]],$L$3:L86 - tblRegister[[#This Row],[OUT Total Before Sale]],0),
                        IF($E$3:E86 = tblRegister[[#This Row],[OUT Token]],$F$3:F86,0)
                  )
            )
      ),
      IF(IF($E$3:E86 = tblRegister[[#This Row],[OUT Token]],tblRegister[[#This Row],[OUT Quantity]]-$L$3:L86+tblRegister[[#This Row],[OUT Total Before Sale]]+$F$3:F86,1) &lt;0,0,
           IF($E$3:E86 = tblRegister[[#This Row],[OUT Token]],tblRegister[[#This Row],[OUT Quantity]]-$L$3:L86+tblRegister[[#This Row],[OUT Total Before Sale]]+$F$3:F86,0)))))/tblRegister[[#This Row],[OUT Quantity]],"")</f>
        <v/>
      </c>
      <c r="J87" s="63" t="str">
        <f ca="1">IFERROR(tblRegister[[#This Row],[OUT Book Price]]*tblRegister[[#This Row],[OUT Quantity]]/tblRegister[[#This Row],[IN Quantity]],"")</f>
        <v/>
      </c>
      <c r="K87" s="63" t="str">
        <f>IFERROR(IF(tblRegister[[#This Row],[IN Token]]=DefCurrency,tblRegister[[#This Row],[IN Quantity]]*(1-tblRegister[[#This Row],[IN Price]]),""),"")</f>
        <v/>
      </c>
      <c r="L87" s="52" t="str">
        <f t="array" aca="1" ref="L8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7" s="52" t="str">
        <f t="array" ref="N87">IF(tblRegister[[#This Row],[Batch]]="","",tblRegister[[#This Row],[OUT Total After Sale]]-tblRegister[[#This Row],[OUT Quantity]])</f>
        <v/>
      </c>
      <c r="O87" s="53" t="str">
        <f t="array" aca="1" ref="O8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8" spans="2:15" x14ac:dyDescent="0.25">
      <c r="B88" s="50">
        <f>ROW()-ROW(tblRegister[[#Headers],[Ind]])</f>
        <v>85</v>
      </c>
      <c r="C88" s="60" t="str">
        <f>IF(ISBLANK(tblRegister[[#This Row],[IN Token]]),"",tblRegister[[#This Row],[Ind]])</f>
        <v/>
      </c>
      <c r="D88" s="118"/>
      <c r="E88" s="51"/>
      <c r="F88" s="111"/>
      <c r="G88" s="51"/>
      <c r="H88" s="111"/>
      <c r="I88" s="63" t="str">
        <f t="array" aca="1" ref="I88" ca="1">IFERROR(IF(tblRegister[[#This Row],[OUT Token]]=DefCurrency,tblRegister[[#This Row],[OUT Quantity]],
      SUMPRODUCT($J$3:J87,
      IF(IF($E$3:E87 = tblRegister[[#This Row],[OUT Token]],tblRegister[[#This Row],[OUT Quantity]]-$L$3:L87+tblRegister[[#This Row],[OUT Total Before Sale]]+$F$3:F87,0)  &gt; IF(ISERROR(IF($E$3:E87 = tblRegister[[#This Row],[OUT Token]],$L$3:L87,N/A)-tblRegister[[#This Row],[OUT Total Before Sale]]),0,
            IF(IF($E$3:E87 = tblRegister[[#This Row],[OUT Token]],$L$3:L87,N/A)-tblRegister[[#This Row],[OUT Total Before Sale]]&lt;0,0,
                  IF(IF($E$3:E87 = tblRegister[[#This Row],[OUT Token]],$L$3:L87,tblRegister[[#This Row],[OUT Total Before Sale]])-tblRegister[[#This Row],[OUT Total Before Sale]]&lt;IF($E$3:E87 = tblRegister[[#This Row],[OUT Token]],$F$3:F87,0),
                        IF($E$3:E87 = tblRegister[[#This Row],[OUT Token]],$L$3:L87 - tblRegister[[#This Row],[OUT Total Before Sale]],0),
                        IF($E$3:E87 = tblRegister[[#This Row],[OUT Token]],$F$3:F87,0)
                  )
            )
      ),
     IF(ISERROR(IF($E$3:E87 = tblRegister[[#This Row],[OUT Token]],$L$3:L87,N/A)-tblRegister[[#This Row],[OUT Total Before Sale]]),0,
            IF(IF($E$3:E87 = tblRegister[[#This Row],[OUT Token]],$L$3:L87,N/A)-tblRegister[[#This Row],[OUT Total Before Sale]]&lt;0,0,
                  IF(IF($E$3:E87 = tblRegister[[#This Row],[OUT Token]],$L$3:L87,tblRegister[[#This Row],[OUT Total Before Sale]])-tblRegister[[#This Row],[OUT Total Before Sale]]&lt;IF($E$3:E87 = tblRegister[[#This Row],[OUT Token]],$F$3:F87,0),
                        IF($E$3:E87 = tblRegister[[#This Row],[OUT Token]],$L$3:L87 - tblRegister[[#This Row],[OUT Total Before Sale]],0),
                        IF($E$3:E87 = tblRegister[[#This Row],[OUT Token]],$F$3:F87,0)
                  )
            )
      ),
      IF(IF($E$3:E87 = tblRegister[[#This Row],[OUT Token]],tblRegister[[#This Row],[OUT Quantity]]-$L$3:L87+tblRegister[[#This Row],[OUT Total Before Sale]]+$F$3:F87,1) &lt;0,0,
           IF($E$3:E87 = tblRegister[[#This Row],[OUT Token]],tblRegister[[#This Row],[OUT Quantity]]-$L$3:L87+tblRegister[[#This Row],[OUT Total Before Sale]]+$F$3:F87,0)))))/tblRegister[[#This Row],[OUT Quantity]],"")</f>
        <v/>
      </c>
      <c r="J88" s="63" t="str">
        <f ca="1">IFERROR(tblRegister[[#This Row],[OUT Book Price]]*tblRegister[[#This Row],[OUT Quantity]]/tblRegister[[#This Row],[IN Quantity]],"")</f>
        <v/>
      </c>
      <c r="K88" s="63" t="str">
        <f>IFERROR(IF(tblRegister[[#This Row],[IN Token]]=DefCurrency,tblRegister[[#This Row],[IN Quantity]]*(1-tblRegister[[#This Row],[IN Price]]),""),"")</f>
        <v/>
      </c>
      <c r="L88" s="52" t="str">
        <f t="array" aca="1" ref="L8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8" s="52" t="str">
        <f t="array" ref="N88">IF(tblRegister[[#This Row],[Batch]]="","",tblRegister[[#This Row],[OUT Total After Sale]]-tblRegister[[#This Row],[OUT Quantity]])</f>
        <v/>
      </c>
      <c r="O88" s="53" t="str">
        <f t="array" aca="1" ref="O8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89" spans="2:15" x14ac:dyDescent="0.25">
      <c r="B89" s="50">
        <f>ROW()-ROW(tblRegister[[#Headers],[Ind]])</f>
        <v>86</v>
      </c>
      <c r="C89" s="60" t="str">
        <f>IF(ISBLANK(tblRegister[[#This Row],[IN Token]]),"",tblRegister[[#This Row],[Ind]])</f>
        <v/>
      </c>
      <c r="D89" s="118"/>
      <c r="E89" s="51"/>
      <c r="F89" s="111"/>
      <c r="G89" s="51"/>
      <c r="H89" s="111"/>
      <c r="I89" s="63" t="str">
        <f t="array" aca="1" ref="I89" ca="1">IFERROR(IF(tblRegister[[#This Row],[OUT Token]]=DefCurrency,tblRegister[[#This Row],[OUT Quantity]],
      SUMPRODUCT($J$3:J88,
      IF(IF($E$3:E88 = tblRegister[[#This Row],[OUT Token]],tblRegister[[#This Row],[OUT Quantity]]-$L$3:L88+tblRegister[[#This Row],[OUT Total Before Sale]]+$F$3:F88,0)  &gt; IF(ISERROR(IF($E$3:E88 = tblRegister[[#This Row],[OUT Token]],$L$3:L88,N/A)-tblRegister[[#This Row],[OUT Total Before Sale]]),0,
            IF(IF($E$3:E88 = tblRegister[[#This Row],[OUT Token]],$L$3:L88,N/A)-tblRegister[[#This Row],[OUT Total Before Sale]]&lt;0,0,
                  IF(IF($E$3:E88 = tblRegister[[#This Row],[OUT Token]],$L$3:L88,tblRegister[[#This Row],[OUT Total Before Sale]])-tblRegister[[#This Row],[OUT Total Before Sale]]&lt;IF($E$3:E88 = tblRegister[[#This Row],[OUT Token]],$F$3:F88,0),
                        IF($E$3:E88 = tblRegister[[#This Row],[OUT Token]],$L$3:L88 - tblRegister[[#This Row],[OUT Total Before Sale]],0),
                        IF($E$3:E88 = tblRegister[[#This Row],[OUT Token]],$F$3:F88,0)
                  )
            )
      ),
     IF(ISERROR(IF($E$3:E88 = tblRegister[[#This Row],[OUT Token]],$L$3:L88,N/A)-tblRegister[[#This Row],[OUT Total Before Sale]]),0,
            IF(IF($E$3:E88 = tblRegister[[#This Row],[OUT Token]],$L$3:L88,N/A)-tblRegister[[#This Row],[OUT Total Before Sale]]&lt;0,0,
                  IF(IF($E$3:E88 = tblRegister[[#This Row],[OUT Token]],$L$3:L88,tblRegister[[#This Row],[OUT Total Before Sale]])-tblRegister[[#This Row],[OUT Total Before Sale]]&lt;IF($E$3:E88 = tblRegister[[#This Row],[OUT Token]],$F$3:F88,0),
                        IF($E$3:E88 = tblRegister[[#This Row],[OUT Token]],$L$3:L88 - tblRegister[[#This Row],[OUT Total Before Sale]],0),
                        IF($E$3:E88 = tblRegister[[#This Row],[OUT Token]],$F$3:F88,0)
                  )
            )
      ),
      IF(IF($E$3:E88 = tblRegister[[#This Row],[OUT Token]],tblRegister[[#This Row],[OUT Quantity]]-$L$3:L88+tblRegister[[#This Row],[OUT Total Before Sale]]+$F$3:F88,1) &lt;0,0,
           IF($E$3:E88 = tblRegister[[#This Row],[OUT Token]],tblRegister[[#This Row],[OUT Quantity]]-$L$3:L88+tblRegister[[#This Row],[OUT Total Before Sale]]+$F$3:F88,0)))))/tblRegister[[#This Row],[OUT Quantity]],"")</f>
        <v/>
      </c>
      <c r="J89" s="63" t="str">
        <f ca="1">IFERROR(tblRegister[[#This Row],[OUT Book Price]]*tblRegister[[#This Row],[OUT Quantity]]/tblRegister[[#This Row],[IN Quantity]],"")</f>
        <v/>
      </c>
      <c r="K89" s="63" t="str">
        <f>IFERROR(IF(tblRegister[[#This Row],[IN Token]]=DefCurrency,tblRegister[[#This Row],[IN Quantity]]*(1-tblRegister[[#This Row],[IN Price]]),""),"")</f>
        <v/>
      </c>
      <c r="L89" s="52" t="str">
        <f t="array" aca="1" ref="L8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8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89" s="52" t="str">
        <f t="array" ref="N89">IF(tblRegister[[#This Row],[Batch]]="","",tblRegister[[#This Row],[OUT Total After Sale]]-tblRegister[[#This Row],[OUT Quantity]])</f>
        <v/>
      </c>
      <c r="O89" s="53" t="str">
        <f t="array" aca="1" ref="O8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0" spans="2:15" x14ac:dyDescent="0.25">
      <c r="B90" s="50">
        <f>ROW()-ROW(tblRegister[[#Headers],[Ind]])</f>
        <v>87</v>
      </c>
      <c r="C90" s="60" t="str">
        <f>IF(ISBLANK(tblRegister[[#This Row],[IN Token]]),"",tblRegister[[#This Row],[Ind]])</f>
        <v/>
      </c>
      <c r="D90" s="118"/>
      <c r="E90" s="51"/>
      <c r="F90" s="111"/>
      <c r="G90" s="51"/>
      <c r="H90" s="111"/>
      <c r="I90" s="63" t="str">
        <f t="array" aca="1" ref="I90" ca="1">IFERROR(IF(tblRegister[[#This Row],[OUT Token]]=DefCurrency,tblRegister[[#This Row],[OUT Quantity]],
      SUMPRODUCT($J$3:J89,
      IF(IF($E$3:E89 = tblRegister[[#This Row],[OUT Token]],tblRegister[[#This Row],[OUT Quantity]]-$L$3:L89+tblRegister[[#This Row],[OUT Total Before Sale]]+$F$3:F89,0)  &gt; IF(ISERROR(IF($E$3:E89 = tblRegister[[#This Row],[OUT Token]],$L$3:L89,N/A)-tblRegister[[#This Row],[OUT Total Before Sale]]),0,
            IF(IF($E$3:E89 = tblRegister[[#This Row],[OUT Token]],$L$3:L89,N/A)-tblRegister[[#This Row],[OUT Total Before Sale]]&lt;0,0,
                  IF(IF($E$3:E89 = tblRegister[[#This Row],[OUT Token]],$L$3:L89,tblRegister[[#This Row],[OUT Total Before Sale]])-tblRegister[[#This Row],[OUT Total Before Sale]]&lt;IF($E$3:E89 = tblRegister[[#This Row],[OUT Token]],$F$3:F89,0),
                        IF($E$3:E89 = tblRegister[[#This Row],[OUT Token]],$L$3:L89 - tblRegister[[#This Row],[OUT Total Before Sale]],0),
                        IF($E$3:E89 = tblRegister[[#This Row],[OUT Token]],$F$3:F89,0)
                  )
            )
      ),
     IF(ISERROR(IF($E$3:E89 = tblRegister[[#This Row],[OUT Token]],$L$3:L89,N/A)-tblRegister[[#This Row],[OUT Total Before Sale]]),0,
            IF(IF($E$3:E89 = tblRegister[[#This Row],[OUT Token]],$L$3:L89,N/A)-tblRegister[[#This Row],[OUT Total Before Sale]]&lt;0,0,
                  IF(IF($E$3:E89 = tblRegister[[#This Row],[OUT Token]],$L$3:L89,tblRegister[[#This Row],[OUT Total Before Sale]])-tblRegister[[#This Row],[OUT Total Before Sale]]&lt;IF($E$3:E89 = tblRegister[[#This Row],[OUT Token]],$F$3:F89,0),
                        IF($E$3:E89 = tblRegister[[#This Row],[OUT Token]],$L$3:L89 - tblRegister[[#This Row],[OUT Total Before Sale]],0),
                        IF($E$3:E89 = tblRegister[[#This Row],[OUT Token]],$F$3:F89,0)
                  )
            )
      ),
      IF(IF($E$3:E89 = tblRegister[[#This Row],[OUT Token]],tblRegister[[#This Row],[OUT Quantity]]-$L$3:L89+tblRegister[[#This Row],[OUT Total Before Sale]]+$F$3:F89,1) &lt;0,0,
           IF($E$3:E89 = tblRegister[[#This Row],[OUT Token]],tblRegister[[#This Row],[OUT Quantity]]-$L$3:L89+tblRegister[[#This Row],[OUT Total Before Sale]]+$F$3:F89,0)))))/tblRegister[[#This Row],[OUT Quantity]],"")</f>
        <v/>
      </c>
      <c r="J90" s="63" t="str">
        <f ca="1">IFERROR(tblRegister[[#This Row],[OUT Book Price]]*tblRegister[[#This Row],[OUT Quantity]]/tblRegister[[#This Row],[IN Quantity]],"")</f>
        <v/>
      </c>
      <c r="K90" s="63" t="str">
        <f>IFERROR(IF(tblRegister[[#This Row],[IN Token]]=DefCurrency,tblRegister[[#This Row],[IN Quantity]]*(1-tblRegister[[#This Row],[IN Price]]),""),"")</f>
        <v/>
      </c>
      <c r="L90" s="52" t="str">
        <f t="array" aca="1" ref="L9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0" s="52" t="str">
        <f t="array" ref="N90">IF(tblRegister[[#This Row],[Batch]]="","",tblRegister[[#This Row],[OUT Total After Sale]]-tblRegister[[#This Row],[OUT Quantity]])</f>
        <v/>
      </c>
      <c r="O90" s="53" t="str">
        <f t="array" aca="1" ref="O9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1" spans="2:15" x14ac:dyDescent="0.25">
      <c r="B91" s="50">
        <f>ROW()-ROW(tblRegister[[#Headers],[Ind]])</f>
        <v>88</v>
      </c>
      <c r="C91" s="60" t="str">
        <f>IF(ISBLANK(tblRegister[[#This Row],[IN Token]]),"",tblRegister[[#This Row],[Ind]])</f>
        <v/>
      </c>
      <c r="D91" s="118"/>
      <c r="E91" s="51"/>
      <c r="F91" s="111"/>
      <c r="G91" s="51"/>
      <c r="H91" s="111"/>
      <c r="I91" s="63" t="str">
        <f t="array" aca="1" ref="I91" ca="1">IFERROR(IF(tblRegister[[#This Row],[OUT Token]]=DefCurrency,tblRegister[[#This Row],[OUT Quantity]],
      SUMPRODUCT($J$3:J90,
      IF(IF($E$3:E90 = tblRegister[[#This Row],[OUT Token]],tblRegister[[#This Row],[OUT Quantity]]-$L$3:L90+tblRegister[[#This Row],[OUT Total Before Sale]]+$F$3:F90,0)  &gt; IF(ISERROR(IF($E$3:E90 = tblRegister[[#This Row],[OUT Token]],$L$3:L90,N/A)-tblRegister[[#This Row],[OUT Total Before Sale]]),0,
            IF(IF($E$3:E90 = tblRegister[[#This Row],[OUT Token]],$L$3:L90,N/A)-tblRegister[[#This Row],[OUT Total Before Sale]]&lt;0,0,
                  IF(IF($E$3:E90 = tblRegister[[#This Row],[OUT Token]],$L$3:L90,tblRegister[[#This Row],[OUT Total Before Sale]])-tblRegister[[#This Row],[OUT Total Before Sale]]&lt;IF($E$3:E90 = tblRegister[[#This Row],[OUT Token]],$F$3:F90,0),
                        IF($E$3:E90 = tblRegister[[#This Row],[OUT Token]],$L$3:L90 - tblRegister[[#This Row],[OUT Total Before Sale]],0),
                        IF($E$3:E90 = tblRegister[[#This Row],[OUT Token]],$F$3:F90,0)
                  )
            )
      ),
     IF(ISERROR(IF($E$3:E90 = tblRegister[[#This Row],[OUT Token]],$L$3:L90,N/A)-tblRegister[[#This Row],[OUT Total Before Sale]]),0,
            IF(IF($E$3:E90 = tblRegister[[#This Row],[OUT Token]],$L$3:L90,N/A)-tblRegister[[#This Row],[OUT Total Before Sale]]&lt;0,0,
                  IF(IF($E$3:E90 = tblRegister[[#This Row],[OUT Token]],$L$3:L90,tblRegister[[#This Row],[OUT Total Before Sale]])-tblRegister[[#This Row],[OUT Total Before Sale]]&lt;IF($E$3:E90 = tblRegister[[#This Row],[OUT Token]],$F$3:F90,0),
                        IF($E$3:E90 = tblRegister[[#This Row],[OUT Token]],$L$3:L90 - tblRegister[[#This Row],[OUT Total Before Sale]],0),
                        IF($E$3:E90 = tblRegister[[#This Row],[OUT Token]],$F$3:F90,0)
                  )
            )
      ),
      IF(IF($E$3:E90 = tblRegister[[#This Row],[OUT Token]],tblRegister[[#This Row],[OUT Quantity]]-$L$3:L90+tblRegister[[#This Row],[OUT Total Before Sale]]+$F$3:F90,1) &lt;0,0,
           IF($E$3:E90 = tblRegister[[#This Row],[OUT Token]],tblRegister[[#This Row],[OUT Quantity]]-$L$3:L90+tblRegister[[#This Row],[OUT Total Before Sale]]+$F$3:F90,0)))))/tblRegister[[#This Row],[OUT Quantity]],"")</f>
        <v/>
      </c>
      <c r="J91" s="63" t="str">
        <f ca="1">IFERROR(tblRegister[[#This Row],[OUT Book Price]]*tblRegister[[#This Row],[OUT Quantity]]/tblRegister[[#This Row],[IN Quantity]],"")</f>
        <v/>
      </c>
      <c r="K91" s="63" t="str">
        <f>IFERROR(IF(tblRegister[[#This Row],[IN Token]]=DefCurrency,tblRegister[[#This Row],[IN Quantity]]*(1-tblRegister[[#This Row],[IN Price]]),""),"")</f>
        <v/>
      </c>
      <c r="L91" s="52" t="str">
        <f t="array" aca="1" ref="L9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1" s="52" t="str">
        <f t="array" ref="N91">IF(tblRegister[[#This Row],[Batch]]="","",tblRegister[[#This Row],[OUT Total After Sale]]-tblRegister[[#This Row],[OUT Quantity]])</f>
        <v/>
      </c>
      <c r="O91" s="53" t="str">
        <f t="array" aca="1" ref="O9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2" spans="2:15" x14ac:dyDescent="0.25">
      <c r="B92" s="50">
        <f>ROW()-ROW(tblRegister[[#Headers],[Ind]])</f>
        <v>89</v>
      </c>
      <c r="C92" s="60" t="str">
        <f>IF(ISBLANK(tblRegister[[#This Row],[IN Token]]),"",tblRegister[[#This Row],[Ind]])</f>
        <v/>
      </c>
      <c r="D92" s="118"/>
      <c r="E92" s="51"/>
      <c r="F92" s="111"/>
      <c r="G92" s="51"/>
      <c r="H92" s="111"/>
      <c r="I92" s="63" t="str">
        <f t="array" aca="1" ref="I92" ca="1">IFERROR(IF(tblRegister[[#This Row],[OUT Token]]=DefCurrency,tblRegister[[#This Row],[OUT Quantity]],
      SUMPRODUCT($J$3:J91,
      IF(IF($E$3:E91 = tblRegister[[#This Row],[OUT Token]],tblRegister[[#This Row],[OUT Quantity]]-$L$3:L91+tblRegister[[#This Row],[OUT Total Before Sale]]+$F$3:F91,0)  &gt; IF(ISERROR(IF($E$3:E91 = tblRegister[[#This Row],[OUT Token]],$L$3:L91,N/A)-tblRegister[[#This Row],[OUT Total Before Sale]]),0,
            IF(IF($E$3:E91 = tblRegister[[#This Row],[OUT Token]],$L$3:L91,N/A)-tblRegister[[#This Row],[OUT Total Before Sale]]&lt;0,0,
                  IF(IF($E$3:E91 = tblRegister[[#This Row],[OUT Token]],$L$3:L91,tblRegister[[#This Row],[OUT Total Before Sale]])-tblRegister[[#This Row],[OUT Total Before Sale]]&lt;IF($E$3:E91 = tblRegister[[#This Row],[OUT Token]],$F$3:F91,0),
                        IF($E$3:E91 = tblRegister[[#This Row],[OUT Token]],$L$3:L91 - tblRegister[[#This Row],[OUT Total Before Sale]],0),
                        IF($E$3:E91 = tblRegister[[#This Row],[OUT Token]],$F$3:F91,0)
                  )
            )
      ),
     IF(ISERROR(IF($E$3:E91 = tblRegister[[#This Row],[OUT Token]],$L$3:L91,N/A)-tblRegister[[#This Row],[OUT Total Before Sale]]),0,
            IF(IF($E$3:E91 = tblRegister[[#This Row],[OUT Token]],$L$3:L91,N/A)-tblRegister[[#This Row],[OUT Total Before Sale]]&lt;0,0,
                  IF(IF($E$3:E91 = tblRegister[[#This Row],[OUT Token]],$L$3:L91,tblRegister[[#This Row],[OUT Total Before Sale]])-tblRegister[[#This Row],[OUT Total Before Sale]]&lt;IF($E$3:E91 = tblRegister[[#This Row],[OUT Token]],$F$3:F91,0),
                        IF($E$3:E91 = tblRegister[[#This Row],[OUT Token]],$L$3:L91 - tblRegister[[#This Row],[OUT Total Before Sale]],0),
                        IF($E$3:E91 = tblRegister[[#This Row],[OUT Token]],$F$3:F91,0)
                  )
            )
      ),
      IF(IF($E$3:E91 = tblRegister[[#This Row],[OUT Token]],tblRegister[[#This Row],[OUT Quantity]]-$L$3:L91+tblRegister[[#This Row],[OUT Total Before Sale]]+$F$3:F91,1) &lt;0,0,
           IF($E$3:E91 = tblRegister[[#This Row],[OUT Token]],tblRegister[[#This Row],[OUT Quantity]]-$L$3:L91+tblRegister[[#This Row],[OUT Total Before Sale]]+$F$3:F91,0)))))/tblRegister[[#This Row],[OUT Quantity]],"")</f>
        <v/>
      </c>
      <c r="J92" s="63" t="str">
        <f ca="1">IFERROR(tblRegister[[#This Row],[OUT Book Price]]*tblRegister[[#This Row],[OUT Quantity]]/tblRegister[[#This Row],[IN Quantity]],"")</f>
        <v/>
      </c>
      <c r="K92" s="63" t="str">
        <f>IFERROR(IF(tblRegister[[#This Row],[IN Token]]=DefCurrency,tblRegister[[#This Row],[IN Quantity]]*(1-tblRegister[[#This Row],[IN Price]]),""),"")</f>
        <v/>
      </c>
      <c r="L92" s="52" t="str">
        <f t="array" aca="1" ref="L9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2" s="52" t="str">
        <f t="array" ref="N92">IF(tblRegister[[#This Row],[Batch]]="","",tblRegister[[#This Row],[OUT Total After Sale]]-tblRegister[[#This Row],[OUT Quantity]])</f>
        <v/>
      </c>
      <c r="O92" s="53" t="str">
        <f t="array" aca="1" ref="O9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3" spans="2:15" x14ac:dyDescent="0.25">
      <c r="B93" s="50">
        <f>ROW()-ROW(tblRegister[[#Headers],[Ind]])</f>
        <v>90</v>
      </c>
      <c r="C93" s="60" t="str">
        <f>IF(ISBLANK(tblRegister[[#This Row],[IN Token]]),"",tblRegister[[#This Row],[Ind]])</f>
        <v/>
      </c>
      <c r="D93" s="118"/>
      <c r="E93" s="51"/>
      <c r="F93" s="111"/>
      <c r="G93" s="51"/>
      <c r="H93" s="111"/>
      <c r="I93" s="63" t="str">
        <f t="array" aca="1" ref="I93" ca="1">IFERROR(IF(tblRegister[[#This Row],[OUT Token]]=DefCurrency,tblRegister[[#This Row],[OUT Quantity]],
      SUMPRODUCT($J$3:J92,
      IF(IF($E$3:E92 = tblRegister[[#This Row],[OUT Token]],tblRegister[[#This Row],[OUT Quantity]]-$L$3:L92+tblRegister[[#This Row],[OUT Total Before Sale]]+$F$3:F92,0)  &gt; IF(ISERROR(IF($E$3:E92 = tblRegister[[#This Row],[OUT Token]],$L$3:L92,N/A)-tblRegister[[#This Row],[OUT Total Before Sale]]),0,
            IF(IF($E$3:E92 = tblRegister[[#This Row],[OUT Token]],$L$3:L92,N/A)-tblRegister[[#This Row],[OUT Total Before Sale]]&lt;0,0,
                  IF(IF($E$3:E92 = tblRegister[[#This Row],[OUT Token]],$L$3:L92,tblRegister[[#This Row],[OUT Total Before Sale]])-tblRegister[[#This Row],[OUT Total Before Sale]]&lt;IF($E$3:E92 = tblRegister[[#This Row],[OUT Token]],$F$3:F92,0),
                        IF($E$3:E92 = tblRegister[[#This Row],[OUT Token]],$L$3:L92 - tblRegister[[#This Row],[OUT Total Before Sale]],0),
                        IF($E$3:E92 = tblRegister[[#This Row],[OUT Token]],$F$3:F92,0)
                  )
            )
      ),
     IF(ISERROR(IF($E$3:E92 = tblRegister[[#This Row],[OUT Token]],$L$3:L92,N/A)-tblRegister[[#This Row],[OUT Total Before Sale]]),0,
            IF(IF($E$3:E92 = tblRegister[[#This Row],[OUT Token]],$L$3:L92,N/A)-tblRegister[[#This Row],[OUT Total Before Sale]]&lt;0,0,
                  IF(IF($E$3:E92 = tblRegister[[#This Row],[OUT Token]],$L$3:L92,tblRegister[[#This Row],[OUT Total Before Sale]])-tblRegister[[#This Row],[OUT Total Before Sale]]&lt;IF($E$3:E92 = tblRegister[[#This Row],[OUT Token]],$F$3:F92,0),
                        IF($E$3:E92 = tblRegister[[#This Row],[OUT Token]],$L$3:L92 - tblRegister[[#This Row],[OUT Total Before Sale]],0),
                        IF($E$3:E92 = tblRegister[[#This Row],[OUT Token]],$F$3:F92,0)
                  )
            )
      ),
      IF(IF($E$3:E92 = tblRegister[[#This Row],[OUT Token]],tblRegister[[#This Row],[OUT Quantity]]-$L$3:L92+tblRegister[[#This Row],[OUT Total Before Sale]]+$F$3:F92,1) &lt;0,0,
           IF($E$3:E92 = tblRegister[[#This Row],[OUT Token]],tblRegister[[#This Row],[OUT Quantity]]-$L$3:L92+tblRegister[[#This Row],[OUT Total Before Sale]]+$F$3:F92,0)))))/tblRegister[[#This Row],[OUT Quantity]],"")</f>
        <v/>
      </c>
      <c r="J93" s="63" t="str">
        <f ca="1">IFERROR(tblRegister[[#This Row],[OUT Book Price]]*tblRegister[[#This Row],[OUT Quantity]]/tblRegister[[#This Row],[IN Quantity]],"")</f>
        <v/>
      </c>
      <c r="K93" s="63" t="str">
        <f>IFERROR(IF(tblRegister[[#This Row],[IN Token]]=DefCurrency,tblRegister[[#This Row],[IN Quantity]]*(1-tblRegister[[#This Row],[IN Price]]),""),"")</f>
        <v/>
      </c>
      <c r="L93" s="52" t="str">
        <f t="array" aca="1" ref="L9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3" s="52" t="str">
        <f t="array" ref="N93">IF(tblRegister[[#This Row],[Batch]]="","",tblRegister[[#This Row],[OUT Total After Sale]]-tblRegister[[#This Row],[OUT Quantity]])</f>
        <v/>
      </c>
      <c r="O93" s="53" t="str">
        <f t="array" aca="1" ref="O9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4" spans="2:15" x14ac:dyDescent="0.25">
      <c r="B94" s="50"/>
      <c r="C94" s="60"/>
      <c r="D94" s="118"/>
      <c r="E94" s="51"/>
      <c r="F94" s="111"/>
      <c r="G94" s="51"/>
      <c r="H94" s="111"/>
      <c r="I94" s="63" t="str">
        <f t="array" aca="1" ref="I94" ca="1">IFERROR(IF(tblRegister[[#This Row],[OUT Token]]=DefCurrency,tblRegister[[#This Row],[OUT Quantity]],
      SUMPRODUCT($J$3:J93,
      IF(IF($E$3:E93 = tblRegister[[#This Row],[OUT Token]],tblRegister[[#This Row],[OUT Quantity]]-$L$3:L93+tblRegister[[#This Row],[OUT Total Before Sale]]+$F$3:F93,0)  &gt; IF(ISERROR(IF($E$3:E93 = tblRegister[[#This Row],[OUT Token]],$L$3:L93,N/A)-tblRegister[[#This Row],[OUT Total Before Sale]]),0,
            IF(IF($E$3:E93 = tblRegister[[#This Row],[OUT Token]],$L$3:L93,N/A)-tblRegister[[#This Row],[OUT Total Before Sale]]&lt;0,0,
                  IF(IF($E$3:E93 = tblRegister[[#This Row],[OUT Token]],$L$3:L93,tblRegister[[#This Row],[OUT Total Before Sale]])-tblRegister[[#This Row],[OUT Total Before Sale]]&lt;IF($E$3:E93 = tblRegister[[#This Row],[OUT Token]],$F$3:F93,0),
                        IF($E$3:E93 = tblRegister[[#This Row],[OUT Token]],$L$3:L93 - tblRegister[[#This Row],[OUT Total Before Sale]],0),
                        IF($E$3:E93 = tblRegister[[#This Row],[OUT Token]],$F$3:F93,0)
                  )
            )
      ),
     IF(ISERROR(IF($E$3:E93 = tblRegister[[#This Row],[OUT Token]],$L$3:L93,N/A)-tblRegister[[#This Row],[OUT Total Before Sale]]),0,
            IF(IF($E$3:E93 = tblRegister[[#This Row],[OUT Token]],$L$3:L93,N/A)-tblRegister[[#This Row],[OUT Total Before Sale]]&lt;0,0,
                  IF(IF($E$3:E93 = tblRegister[[#This Row],[OUT Token]],$L$3:L93,tblRegister[[#This Row],[OUT Total Before Sale]])-tblRegister[[#This Row],[OUT Total Before Sale]]&lt;IF($E$3:E93 = tblRegister[[#This Row],[OUT Token]],$F$3:F93,0),
                        IF($E$3:E93 = tblRegister[[#This Row],[OUT Token]],$L$3:L93 - tblRegister[[#This Row],[OUT Total Before Sale]],0),
                        IF($E$3:E93 = tblRegister[[#This Row],[OUT Token]],$F$3:F93,0)
                  )
            )
      ),
      IF(IF($E$3:E93 = tblRegister[[#This Row],[OUT Token]],tblRegister[[#This Row],[OUT Quantity]]-$L$3:L93+tblRegister[[#This Row],[OUT Total Before Sale]]+$F$3:F93,1) &lt;0,0,
           IF($E$3:E93 = tblRegister[[#This Row],[OUT Token]],tblRegister[[#This Row],[OUT Quantity]]-$L$3:L93+tblRegister[[#This Row],[OUT Total Before Sale]]+$F$3:F93,0)))))/tblRegister[[#This Row],[OUT Quantity]],"")</f>
        <v/>
      </c>
      <c r="J94" s="63"/>
      <c r="K94" s="63" t="str">
        <f>IFERROR(IF(tblRegister[[#This Row],[IN Token]]=DefCurrency,tblRegister[[#This Row],[IN Quantity]]*(1-tblRegister[[#This Row],[IN Price]]),""),"")</f>
        <v/>
      </c>
      <c r="L94" s="52" t="str">
        <f t="array" aca="1" ref="L9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4" s="52" t="str">
        <f t="array" ref="N94">IF(tblRegister[[#This Row],[Batch]]="","",tblRegister[[#This Row],[OUT Total After Sale]]-tblRegister[[#This Row],[OUT Quantity]])</f>
        <v/>
      </c>
      <c r="O94" s="53" t="str">
        <f t="array" aca="1" ref="O9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5" spans="2:15" x14ac:dyDescent="0.25">
      <c r="B95" s="50">
        <f>ROW()-ROW(tblRegister[[#Headers],[Ind]])</f>
        <v>92</v>
      </c>
      <c r="C95" s="60" t="str">
        <f>IF(ISBLANK(tblRegister[[#This Row],[IN Token]]),"",tblRegister[[#This Row],[Ind]])</f>
        <v/>
      </c>
      <c r="D95" s="118"/>
      <c r="E95" s="51"/>
      <c r="F95" s="111"/>
      <c r="G95" s="51"/>
      <c r="H95" s="111"/>
      <c r="I95" s="63" t="str">
        <f t="array" aca="1" ref="I95" ca="1">IFERROR(IF(tblRegister[[#This Row],[OUT Token]]=DefCurrency,tblRegister[[#This Row],[OUT Quantity]],
      SUMPRODUCT($J$3:J94,
      IF(IF($E$3:E94 = tblRegister[[#This Row],[OUT Token]],tblRegister[[#This Row],[OUT Quantity]]-$L$3:L94+tblRegister[[#This Row],[OUT Total Before Sale]]+$F$3:F94,0)  &gt; IF(ISERROR(IF($E$3:E94 = tblRegister[[#This Row],[OUT Token]],$L$3:L94,N/A)-tblRegister[[#This Row],[OUT Total Before Sale]]),0,
            IF(IF($E$3:E94 = tblRegister[[#This Row],[OUT Token]],$L$3:L94,N/A)-tblRegister[[#This Row],[OUT Total Before Sale]]&lt;0,0,
                  IF(IF($E$3:E94 = tblRegister[[#This Row],[OUT Token]],$L$3:L94,tblRegister[[#This Row],[OUT Total Before Sale]])-tblRegister[[#This Row],[OUT Total Before Sale]]&lt;IF($E$3:E94 = tblRegister[[#This Row],[OUT Token]],$F$3:F94,0),
                        IF($E$3:E94 = tblRegister[[#This Row],[OUT Token]],$L$3:L94 - tblRegister[[#This Row],[OUT Total Before Sale]],0),
                        IF($E$3:E94 = tblRegister[[#This Row],[OUT Token]],$F$3:F94,0)
                  )
            )
      ),
     IF(ISERROR(IF($E$3:E94 = tblRegister[[#This Row],[OUT Token]],$L$3:L94,N/A)-tblRegister[[#This Row],[OUT Total Before Sale]]),0,
            IF(IF($E$3:E94 = tblRegister[[#This Row],[OUT Token]],$L$3:L94,N/A)-tblRegister[[#This Row],[OUT Total Before Sale]]&lt;0,0,
                  IF(IF($E$3:E94 = tblRegister[[#This Row],[OUT Token]],$L$3:L94,tblRegister[[#This Row],[OUT Total Before Sale]])-tblRegister[[#This Row],[OUT Total Before Sale]]&lt;IF($E$3:E94 = tblRegister[[#This Row],[OUT Token]],$F$3:F94,0),
                        IF($E$3:E94 = tblRegister[[#This Row],[OUT Token]],$L$3:L94 - tblRegister[[#This Row],[OUT Total Before Sale]],0),
                        IF($E$3:E94 = tblRegister[[#This Row],[OUT Token]],$F$3:F94,0)
                  )
            )
      ),
      IF(IF($E$3:E94 = tblRegister[[#This Row],[OUT Token]],tblRegister[[#This Row],[OUT Quantity]]-$L$3:L94+tblRegister[[#This Row],[OUT Total Before Sale]]+$F$3:F94,1) &lt;0,0,
           IF($E$3:E94 = tblRegister[[#This Row],[OUT Token]],tblRegister[[#This Row],[OUT Quantity]]-$L$3:L94+tblRegister[[#This Row],[OUT Total Before Sale]]+$F$3:F94,0)))))/tblRegister[[#This Row],[OUT Quantity]],"")</f>
        <v/>
      </c>
      <c r="J95" s="63" t="str">
        <f ca="1">IFERROR(tblRegister[[#This Row],[OUT Book Price]]*tblRegister[[#This Row],[OUT Quantity]]/tblRegister[[#This Row],[IN Quantity]],"")</f>
        <v/>
      </c>
      <c r="K95" s="63" t="str">
        <f>IFERROR(IF(tblRegister[[#This Row],[IN Token]]=DefCurrency,tblRegister[[#This Row],[IN Quantity]]*(1-tblRegister[[#This Row],[IN Price]]),""),"")</f>
        <v/>
      </c>
      <c r="L95" s="52" t="str">
        <f t="array" aca="1" ref="L9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5" s="52" t="str">
        <f t="array" ref="N95">IF(tblRegister[[#This Row],[Batch]]="","",tblRegister[[#This Row],[OUT Total After Sale]]-tblRegister[[#This Row],[OUT Quantity]])</f>
        <v/>
      </c>
      <c r="O95" s="53" t="str">
        <f t="array" aca="1" ref="O9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6" spans="2:15" x14ac:dyDescent="0.25">
      <c r="B96" s="50">
        <f>ROW()-ROW(tblRegister[[#Headers],[Ind]])</f>
        <v>93</v>
      </c>
      <c r="C96" s="60" t="str">
        <f>IF(ISBLANK(tblRegister[[#This Row],[IN Token]]),"",tblRegister[[#This Row],[Ind]])</f>
        <v/>
      </c>
      <c r="D96" s="118"/>
      <c r="E96" s="51"/>
      <c r="F96" s="111"/>
      <c r="G96" s="51"/>
      <c r="H96" s="111"/>
      <c r="I96" s="63" t="str">
        <f t="array" aca="1" ref="I96" ca="1">IFERROR(IF(tblRegister[[#This Row],[OUT Token]]=DefCurrency,tblRegister[[#This Row],[OUT Quantity]],
      SUMPRODUCT($J$3:J95,
      IF(IF($E$3:E95 = tblRegister[[#This Row],[OUT Token]],tblRegister[[#This Row],[OUT Quantity]]-$L$3:L95+tblRegister[[#This Row],[OUT Total Before Sale]]+$F$3:F95,0)  &gt; IF(ISERROR(IF($E$3:E95 = tblRegister[[#This Row],[OUT Token]],$L$3:L95,N/A)-tblRegister[[#This Row],[OUT Total Before Sale]]),0,
            IF(IF($E$3:E95 = tblRegister[[#This Row],[OUT Token]],$L$3:L95,N/A)-tblRegister[[#This Row],[OUT Total Before Sale]]&lt;0,0,
                  IF(IF($E$3:E95 = tblRegister[[#This Row],[OUT Token]],$L$3:L95,tblRegister[[#This Row],[OUT Total Before Sale]])-tblRegister[[#This Row],[OUT Total Before Sale]]&lt;IF($E$3:E95 = tblRegister[[#This Row],[OUT Token]],$F$3:F95,0),
                        IF($E$3:E95 = tblRegister[[#This Row],[OUT Token]],$L$3:L95 - tblRegister[[#This Row],[OUT Total Before Sale]],0),
                        IF($E$3:E95 = tblRegister[[#This Row],[OUT Token]],$F$3:F95,0)
                  )
            )
      ),
     IF(ISERROR(IF($E$3:E95 = tblRegister[[#This Row],[OUT Token]],$L$3:L95,N/A)-tblRegister[[#This Row],[OUT Total Before Sale]]),0,
            IF(IF($E$3:E95 = tblRegister[[#This Row],[OUT Token]],$L$3:L95,N/A)-tblRegister[[#This Row],[OUT Total Before Sale]]&lt;0,0,
                  IF(IF($E$3:E95 = tblRegister[[#This Row],[OUT Token]],$L$3:L95,tblRegister[[#This Row],[OUT Total Before Sale]])-tblRegister[[#This Row],[OUT Total Before Sale]]&lt;IF($E$3:E95 = tblRegister[[#This Row],[OUT Token]],$F$3:F95,0),
                        IF($E$3:E95 = tblRegister[[#This Row],[OUT Token]],$L$3:L95 - tblRegister[[#This Row],[OUT Total Before Sale]],0),
                        IF($E$3:E95 = tblRegister[[#This Row],[OUT Token]],$F$3:F95,0)
                  )
            )
      ),
      IF(IF($E$3:E95 = tblRegister[[#This Row],[OUT Token]],tblRegister[[#This Row],[OUT Quantity]]-$L$3:L95+tblRegister[[#This Row],[OUT Total Before Sale]]+$F$3:F95,1) &lt;0,0,
           IF($E$3:E95 = tblRegister[[#This Row],[OUT Token]],tblRegister[[#This Row],[OUT Quantity]]-$L$3:L95+tblRegister[[#This Row],[OUT Total Before Sale]]+$F$3:F95,0)))))/tblRegister[[#This Row],[OUT Quantity]],"")</f>
        <v/>
      </c>
      <c r="J96" s="63" t="str">
        <f ca="1">IFERROR(tblRegister[[#This Row],[OUT Book Price]]*tblRegister[[#This Row],[OUT Quantity]]/tblRegister[[#This Row],[IN Quantity]],"")</f>
        <v/>
      </c>
      <c r="K96" s="63" t="str">
        <f>IFERROR(IF(tblRegister[[#This Row],[IN Token]]=DefCurrency,tblRegister[[#This Row],[IN Quantity]]*(1-tblRegister[[#This Row],[IN Price]]),""),"")</f>
        <v/>
      </c>
      <c r="L96" s="52" t="str">
        <f t="array" aca="1" ref="L9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6" s="52" t="str">
        <f t="array" ref="N96">IF(tblRegister[[#This Row],[Batch]]="","",tblRegister[[#This Row],[OUT Total After Sale]]-tblRegister[[#This Row],[OUT Quantity]])</f>
        <v/>
      </c>
      <c r="O96" s="53" t="str">
        <f t="array" aca="1" ref="O9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7" spans="2:15" x14ac:dyDescent="0.25">
      <c r="B97" s="50">
        <f>ROW()-ROW(tblRegister[[#Headers],[Ind]])</f>
        <v>94</v>
      </c>
      <c r="C97" s="60" t="str">
        <f>IF(ISBLANK(tblRegister[[#This Row],[IN Token]]),"",tblRegister[[#This Row],[Ind]])</f>
        <v/>
      </c>
      <c r="D97" s="118"/>
      <c r="E97" s="51"/>
      <c r="F97" s="111"/>
      <c r="G97" s="51"/>
      <c r="H97" s="111"/>
      <c r="I97" s="63" t="str">
        <f t="array" aca="1" ref="I97" ca="1">IFERROR(IF(tblRegister[[#This Row],[OUT Token]]=DefCurrency,tblRegister[[#This Row],[OUT Quantity]],
      SUMPRODUCT($J$3:J96,
      IF(IF($E$3:E96 = tblRegister[[#This Row],[OUT Token]],tblRegister[[#This Row],[OUT Quantity]]-$L$3:L96+tblRegister[[#This Row],[OUT Total Before Sale]]+$F$3:F96,0)  &gt; IF(ISERROR(IF($E$3:E96 = tblRegister[[#This Row],[OUT Token]],$L$3:L96,N/A)-tblRegister[[#This Row],[OUT Total Before Sale]]),0,
            IF(IF($E$3:E96 = tblRegister[[#This Row],[OUT Token]],$L$3:L96,N/A)-tblRegister[[#This Row],[OUT Total Before Sale]]&lt;0,0,
                  IF(IF($E$3:E96 = tblRegister[[#This Row],[OUT Token]],$L$3:L96,tblRegister[[#This Row],[OUT Total Before Sale]])-tblRegister[[#This Row],[OUT Total Before Sale]]&lt;IF($E$3:E96 = tblRegister[[#This Row],[OUT Token]],$F$3:F96,0),
                        IF($E$3:E96 = tblRegister[[#This Row],[OUT Token]],$L$3:L96 - tblRegister[[#This Row],[OUT Total Before Sale]],0),
                        IF($E$3:E96 = tblRegister[[#This Row],[OUT Token]],$F$3:F96,0)
                  )
            )
      ),
     IF(ISERROR(IF($E$3:E96 = tblRegister[[#This Row],[OUT Token]],$L$3:L96,N/A)-tblRegister[[#This Row],[OUT Total Before Sale]]),0,
            IF(IF($E$3:E96 = tblRegister[[#This Row],[OUT Token]],$L$3:L96,N/A)-tblRegister[[#This Row],[OUT Total Before Sale]]&lt;0,0,
                  IF(IF($E$3:E96 = tblRegister[[#This Row],[OUT Token]],$L$3:L96,tblRegister[[#This Row],[OUT Total Before Sale]])-tblRegister[[#This Row],[OUT Total Before Sale]]&lt;IF($E$3:E96 = tblRegister[[#This Row],[OUT Token]],$F$3:F96,0),
                        IF($E$3:E96 = tblRegister[[#This Row],[OUT Token]],$L$3:L96 - tblRegister[[#This Row],[OUT Total Before Sale]],0),
                        IF($E$3:E96 = tblRegister[[#This Row],[OUT Token]],$F$3:F96,0)
                  )
            )
      ),
      IF(IF($E$3:E96 = tblRegister[[#This Row],[OUT Token]],tblRegister[[#This Row],[OUT Quantity]]-$L$3:L96+tblRegister[[#This Row],[OUT Total Before Sale]]+$F$3:F96,1) &lt;0,0,
           IF($E$3:E96 = tblRegister[[#This Row],[OUT Token]],tblRegister[[#This Row],[OUT Quantity]]-$L$3:L96+tblRegister[[#This Row],[OUT Total Before Sale]]+$F$3:F96,0)))))/tblRegister[[#This Row],[OUT Quantity]],"")</f>
        <v/>
      </c>
      <c r="J97" s="63" t="str">
        <f ca="1">IFERROR(tblRegister[[#This Row],[OUT Book Price]]*tblRegister[[#This Row],[OUT Quantity]]/tblRegister[[#This Row],[IN Quantity]],"")</f>
        <v/>
      </c>
      <c r="K97" s="63" t="str">
        <f>IFERROR(IF(tblRegister[[#This Row],[IN Token]]=DefCurrency,tblRegister[[#This Row],[IN Quantity]]*(1-tblRegister[[#This Row],[IN Price]]),""),"")</f>
        <v/>
      </c>
      <c r="L97" s="52" t="str">
        <f t="array" aca="1" ref="L9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7" s="52" t="str">
        <f t="array" ref="N97">IF(tblRegister[[#This Row],[Batch]]="","",tblRegister[[#This Row],[OUT Total After Sale]]-tblRegister[[#This Row],[OUT Quantity]])</f>
        <v/>
      </c>
      <c r="O97" s="53" t="str">
        <f t="array" aca="1" ref="O9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8" spans="2:15" x14ac:dyDescent="0.25">
      <c r="B98" s="50">
        <f>ROW()-ROW(tblRegister[[#Headers],[Ind]])</f>
        <v>95</v>
      </c>
      <c r="C98" s="60" t="str">
        <f>IF(ISBLANK(tblRegister[[#This Row],[IN Token]]),"",tblRegister[[#This Row],[Ind]])</f>
        <v/>
      </c>
      <c r="D98" s="118"/>
      <c r="E98" s="51"/>
      <c r="F98" s="111"/>
      <c r="G98" s="51"/>
      <c r="H98" s="111"/>
      <c r="I98" s="63" t="str">
        <f t="array" aca="1" ref="I98" ca="1">IFERROR(IF(tblRegister[[#This Row],[OUT Token]]=DefCurrency,tblRegister[[#This Row],[OUT Quantity]],
      SUMPRODUCT($J$3:J97,
      IF(IF($E$3:E97 = tblRegister[[#This Row],[OUT Token]],tblRegister[[#This Row],[OUT Quantity]]-$L$3:L97+tblRegister[[#This Row],[OUT Total Before Sale]]+$F$3:F97,0)  &gt; IF(ISERROR(IF($E$3:E97 = tblRegister[[#This Row],[OUT Token]],$L$3:L97,N/A)-tblRegister[[#This Row],[OUT Total Before Sale]]),0,
            IF(IF($E$3:E97 = tblRegister[[#This Row],[OUT Token]],$L$3:L97,N/A)-tblRegister[[#This Row],[OUT Total Before Sale]]&lt;0,0,
                  IF(IF($E$3:E97 = tblRegister[[#This Row],[OUT Token]],$L$3:L97,tblRegister[[#This Row],[OUT Total Before Sale]])-tblRegister[[#This Row],[OUT Total Before Sale]]&lt;IF($E$3:E97 = tblRegister[[#This Row],[OUT Token]],$F$3:F97,0),
                        IF($E$3:E97 = tblRegister[[#This Row],[OUT Token]],$L$3:L97 - tblRegister[[#This Row],[OUT Total Before Sale]],0),
                        IF($E$3:E97 = tblRegister[[#This Row],[OUT Token]],$F$3:F97,0)
                  )
            )
      ),
     IF(ISERROR(IF($E$3:E97 = tblRegister[[#This Row],[OUT Token]],$L$3:L97,N/A)-tblRegister[[#This Row],[OUT Total Before Sale]]),0,
            IF(IF($E$3:E97 = tblRegister[[#This Row],[OUT Token]],$L$3:L97,N/A)-tblRegister[[#This Row],[OUT Total Before Sale]]&lt;0,0,
                  IF(IF($E$3:E97 = tblRegister[[#This Row],[OUT Token]],$L$3:L97,tblRegister[[#This Row],[OUT Total Before Sale]])-tblRegister[[#This Row],[OUT Total Before Sale]]&lt;IF($E$3:E97 = tblRegister[[#This Row],[OUT Token]],$F$3:F97,0),
                        IF($E$3:E97 = tblRegister[[#This Row],[OUT Token]],$L$3:L97 - tblRegister[[#This Row],[OUT Total Before Sale]],0),
                        IF($E$3:E97 = tblRegister[[#This Row],[OUT Token]],$F$3:F97,0)
                  )
            )
      ),
      IF(IF($E$3:E97 = tblRegister[[#This Row],[OUT Token]],tblRegister[[#This Row],[OUT Quantity]]-$L$3:L97+tblRegister[[#This Row],[OUT Total Before Sale]]+$F$3:F97,1) &lt;0,0,
           IF($E$3:E97 = tblRegister[[#This Row],[OUT Token]],tblRegister[[#This Row],[OUT Quantity]]-$L$3:L97+tblRegister[[#This Row],[OUT Total Before Sale]]+$F$3:F97,0)))))/tblRegister[[#This Row],[OUT Quantity]],"")</f>
        <v/>
      </c>
      <c r="J98" s="63" t="str">
        <f ca="1">IFERROR(tblRegister[[#This Row],[OUT Book Price]]*tblRegister[[#This Row],[OUT Quantity]]/tblRegister[[#This Row],[IN Quantity]],"")</f>
        <v/>
      </c>
      <c r="K98" s="63" t="str">
        <f>IFERROR(IF(tblRegister[[#This Row],[IN Token]]=DefCurrency,tblRegister[[#This Row],[IN Quantity]]*(1-tblRegister[[#This Row],[IN Price]]),""),"")</f>
        <v/>
      </c>
      <c r="L98" s="52" t="str">
        <f t="array" aca="1" ref="L9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8" s="52" t="str">
        <f t="array" ref="N98">IF(tblRegister[[#This Row],[Batch]]="","",tblRegister[[#This Row],[OUT Total After Sale]]-tblRegister[[#This Row],[OUT Quantity]])</f>
        <v/>
      </c>
      <c r="O98" s="53" t="str">
        <f t="array" aca="1" ref="O9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99" spans="2:15" x14ac:dyDescent="0.25">
      <c r="B99" s="50">
        <f>ROW()-ROW(tblRegister[[#Headers],[Ind]])</f>
        <v>96</v>
      </c>
      <c r="C99" s="60" t="str">
        <f>IF(ISBLANK(tblRegister[[#This Row],[IN Token]]),"",tblRegister[[#This Row],[Ind]])</f>
        <v/>
      </c>
      <c r="D99" s="118"/>
      <c r="E99" s="51"/>
      <c r="F99" s="111"/>
      <c r="G99" s="51"/>
      <c r="H99" s="111"/>
      <c r="I99" s="63" t="str">
        <f t="array" aca="1" ref="I99" ca="1">IFERROR(IF(tblRegister[[#This Row],[OUT Token]]=DefCurrency,tblRegister[[#This Row],[OUT Quantity]],
      SUMPRODUCT($J$3:J98,
      IF(IF($E$3:E98 = tblRegister[[#This Row],[OUT Token]],tblRegister[[#This Row],[OUT Quantity]]-$L$3:L98+tblRegister[[#This Row],[OUT Total Before Sale]]+$F$3:F98,0)  &gt; IF(ISERROR(IF($E$3:E98 = tblRegister[[#This Row],[OUT Token]],$L$3:L98,N/A)-tblRegister[[#This Row],[OUT Total Before Sale]]),0,
            IF(IF($E$3:E98 = tblRegister[[#This Row],[OUT Token]],$L$3:L98,N/A)-tblRegister[[#This Row],[OUT Total Before Sale]]&lt;0,0,
                  IF(IF($E$3:E98 = tblRegister[[#This Row],[OUT Token]],$L$3:L98,tblRegister[[#This Row],[OUT Total Before Sale]])-tblRegister[[#This Row],[OUT Total Before Sale]]&lt;IF($E$3:E98 = tblRegister[[#This Row],[OUT Token]],$F$3:F98,0),
                        IF($E$3:E98 = tblRegister[[#This Row],[OUT Token]],$L$3:L98 - tblRegister[[#This Row],[OUT Total Before Sale]],0),
                        IF($E$3:E98 = tblRegister[[#This Row],[OUT Token]],$F$3:F98,0)
                  )
            )
      ),
     IF(ISERROR(IF($E$3:E98 = tblRegister[[#This Row],[OUT Token]],$L$3:L98,N/A)-tblRegister[[#This Row],[OUT Total Before Sale]]),0,
            IF(IF($E$3:E98 = tblRegister[[#This Row],[OUT Token]],$L$3:L98,N/A)-tblRegister[[#This Row],[OUT Total Before Sale]]&lt;0,0,
                  IF(IF($E$3:E98 = tblRegister[[#This Row],[OUT Token]],$L$3:L98,tblRegister[[#This Row],[OUT Total Before Sale]])-tblRegister[[#This Row],[OUT Total Before Sale]]&lt;IF($E$3:E98 = tblRegister[[#This Row],[OUT Token]],$F$3:F98,0),
                        IF($E$3:E98 = tblRegister[[#This Row],[OUT Token]],$L$3:L98 - tblRegister[[#This Row],[OUT Total Before Sale]],0),
                        IF($E$3:E98 = tblRegister[[#This Row],[OUT Token]],$F$3:F98,0)
                  )
            )
      ),
      IF(IF($E$3:E98 = tblRegister[[#This Row],[OUT Token]],tblRegister[[#This Row],[OUT Quantity]]-$L$3:L98+tblRegister[[#This Row],[OUT Total Before Sale]]+$F$3:F98,1) &lt;0,0,
           IF($E$3:E98 = tblRegister[[#This Row],[OUT Token]],tblRegister[[#This Row],[OUT Quantity]]-$L$3:L98+tblRegister[[#This Row],[OUT Total Before Sale]]+$F$3:F98,0)))))/tblRegister[[#This Row],[OUT Quantity]],"")</f>
        <v/>
      </c>
      <c r="J99" s="63" t="str">
        <f ca="1">IFERROR(tblRegister[[#This Row],[OUT Book Price]]*tblRegister[[#This Row],[OUT Quantity]]/tblRegister[[#This Row],[IN Quantity]],"")</f>
        <v/>
      </c>
      <c r="K99" s="63" t="str">
        <f>IFERROR(IF(tblRegister[[#This Row],[IN Token]]=DefCurrency,tblRegister[[#This Row],[IN Quantity]]*(1-tblRegister[[#This Row],[IN Price]]),""),"")</f>
        <v/>
      </c>
      <c r="L99" s="52" t="str">
        <f t="array" aca="1" ref="L9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9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99" s="52" t="str">
        <f t="array" ref="N99">IF(tblRegister[[#This Row],[Batch]]="","",tblRegister[[#This Row],[OUT Total After Sale]]-tblRegister[[#This Row],[OUT Quantity]])</f>
        <v/>
      </c>
      <c r="O99" s="53" t="str">
        <f t="array" aca="1" ref="O9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0" spans="2:15" x14ac:dyDescent="0.25">
      <c r="B100" s="50">
        <f>ROW()-ROW(tblRegister[[#Headers],[Ind]])</f>
        <v>97</v>
      </c>
      <c r="C100" s="60" t="str">
        <f>IF(ISBLANK(tblRegister[[#This Row],[IN Token]]),"",tblRegister[[#This Row],[Ind]])</f>
        <v/>
      </c>
      <c r="D100" s="118"/>
      <c r="E100" s="51"/>
      <c r="F100" s="111"/>
      <c r="G100" s="51"/>
      <c r="H100" s="111"/>
      <c r="I100" s="63" t="str">
        <f t="array" aca="1" ref="I100" ca="1">IFERROR(IF(tblRegister[[#This Row],[OUT Token]]=DefCurrency,tblRegister[[#This Row],[OUT Quantity]],
      SUMPRODUCT($J$3:J99,
      IF(IF($E$3:E99 = tblRegister[[#This Row],[OUT Token]],tblRegister[[#This Row],[OUT Quantity]]-$L$3:L99+tblRegister[[#This Row],[OUT Total Before Sale]]+$F$3:F99,0)  &gt; IF(ISERROR(IF($E$3:E99 = tblRegister[[#This Row],[OUT Token]],$L$3:L99,N/A)-tblRegister[[#This Row],[OUT Total Before Sale]]),0,
            IF(IF($E$3:E99 = tblRegister[[#This Row],[OUT Token]],$L$3:L99,N/A)-tblRegister[[#This Row],[OUT Total Before Sale]]&lt;0,0,
                  IF(IF($E$3:E99 = tblRegister[[#This Row],[OUT Token]],$L$3:L99,tblRegister[[#This Row],[OUT Total Before Sale]])-tblRegister[[#This Row],[OUT Total Before Sale]]&lt;IF($E$3:E99 = tblRegister[[#This Row],[OUT Token]],$F$3:F99,0),
                        IF($E$3:E99 = tblRegister[[#This Row],[OUT Token]],$L$3:L99 - tblRegister[[#This Row],[OUT Total Before Sale]],0),
                        IF($E$3:E99 = tblRegister[[#This Row],[OUT Token]],$F$3:F99,0)
                  )
            )
      ),
     IF(ISERROR(IF($E$3:E99 = tblRegister[[#This Row],[OUT Token]],$L$3:L99,N/A)-tblRegister[[#This Row],[OUT Total Before Sale]]),0,
            IF(IF($E$3:E99 = tblRegister[[#This Row],[OUT Token]],$L$3:L99,N/A)-tblRegister[[#This Row],[OUT Total Before Sale]]&lt;0,0,
                  IF(IF($E$3:E99 = tblRegister[[#This Row],[OUT Token]],$L$3:L99,tblRegister[[#This Row],[OUT Total Before Sale]])-tblRegister[[#This Row],[OUT Total Before Sale]]&lt;IF($E$3:E99 = tblRegister[[#This Row],[OUT Token]],$F$3:F99,0),
                        IF($E$3:E99 = tblRegister[[#This Row],[OUT Token]],$L$3:L99 - tblRegister[[#This Row],[OUT Total Before Sale]],0),
                        IF($E$3:E99 = tblRegister[[#This Row],[OUT Token]],$F$3:F99,0)
                  )
            )
      ),
      IF(IF($E$3:E99 = tblRegister[[#This Row],[OUT Token]],tblRegister[[#This Row],[OUT Quantity]]-$L$3:L99+tblRegister[[#This Row],[OUT Total Before Sale]]+$F$3:F99,1) &lt;0,0,
           IF($E$3:E99 = tblRegister[[#This Row],[OUT Token]],tblRegister[[#This Row],[OUT Quantity]]-$L$3:L99+tblRegister[[#This Row],[OUT Total Before Sale]]+$F$3:F99,0)))))/tblRegister[[#This Row],[OUT Quantity]],"")</f>
        <v/>
      </c>
      <c r="J100" s="63" t="str">
        <f ca="1">IFERROR(tblRegister[[#This Row],[OUT Book Price]]*tblRegister[[#This Row],[OUT Quantity]]/tblRegister[[#This Row],[IN Quantity]],"")</f>
        <v/>
      </c>
      <c r="K100" s="63" t="str">
        <f>IFERROR(IF(tblRegister[[#This Row],[IN Token]]=DefCurrency,tblRegister[[#This Row],[IN Quantity]]*(1-tblRegister[[#This Row],[IN Price]]),""),"")</f>
        <v/>
      </c>
      <c r="L100" s="52" t="str">
        <f t="array" aca="1" ref="L10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0" s="52" t="str">
        <f t="array" ref="N100">IF(tblRegister[[#This Row],[Batch]]="","",tblRegister[[#This Row],[OUT Total After Sale]]-tblRegister[[#This Row],[OUT Quantity]])</f>
        <v/>
      </c>
      <c r="O100" s="53" t="str">
        <f t="array" aca="1" ref="O10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1" spans="2:15" x14ac:dyDescent="0.25">
      <c r="B101" s="54">
        <f>ROW()-ROW(tblRegister[[#Headers],[Ind]])</f>
        <v>98</v>
      </c>
      <c r="C101" s="61" t="str">
        <f>IF(ISBLANK(tblRegister[[#This Row],[IN Token]]),"",tblRegister[[#This Row],[Ind]])</f>
        <v/>
      </c>
      <c r="D101" s="119"/>
      <c r="E101" s="55"/>
      <c r="F101" s="112"/>
      <c r="G101" s="55"/>
      <c r="H101" s="112"/>
      <c r="I101" s="63" t="str">
        <f t="array" aca="1" ref="I101" ca="1">IFERROR(IF(tblRegister[[#This Row],[OUT Token]]=DefCurrency,tblRegister[[#This Row],[OUT Quantity]],
      SUMPRODUCT($J$3:J100,
      IF(IF($E$3:E100 = tblRegister[[#This Row],[OUT Token]],tblRegister[[#This Row],[OUT Quantity]]-$L$3:L100+tblRegister[[#This Row],[OUT Total Before Sale]]+$F$3:F100,0)  &gt; IF(ISERROR(IF($E$3:E100 = tblRegister[[#This Row],[OUT Token]],$L$3:L100,N/A)-tblRegister[[#This Row],[OUT Total Before Sale]]),0,
            IF(IF($E$3:E100 = tblRegister[[#This Row],[OUT Token]],$L$3:L100,N/A)-tblRegister[[#This Row],[OUT Total Before Sale]]&lt;0,0,
                  IF(IF($E$3:E100 = tblRegister[[#This Row],[OUT Token]],$L$3:L100,tblRegister[[#This Row],[OUT Total Before Sale]])-tblRegister[[#This Row],[OUT Total Before Sale]]&lt;IF($E$3:E100 = tblRegister[[#This Row],[OUT Token]],$F$3:F100,0),
                        IF($E$3:E100 = tblRegister[[#This Row],[OUT Token]],$L$3:L100 - tblRegister[[#This Row],[OUT Total Before Sale]],0),
                        IF($E$3:E100 = tblRegister[[#This Row],[OUT Token]],$F$3:F100,0)
                  )
            )
      ),
     IF(ISERROR(IF($E$3:E100 = tblRegister[[#This Row],[OUT Token]],$L$3:L100,N/A)-tblRegister[[#This Row],[OUT Total Before Sale]]),0,
            IF(IF($E$3:E100 = tblRegister[[#This Row],[OUT Token]],$L$3:L100,N/A)-tblRegister[[#This Row],[OUT Total Before Sale]]&lt;0,0,
                  IF(IF($E$3:E100 = tblRegister[[#This Row],[OUT Token]],$L$3:L100,tblRegister[[#This Row],[OUT Total Before Sale]])-tblRegister[[#This Row],[OUT Total Before Sale]]&lt;IF($E$3:E100 = tblRegister[[#This Row],[OUT Token]],$F$3:F100,0),
                        IF($E$3:E100 = tblRegister[[#This Row],[OUT Token]],$L$3:L100 - tblRegister[[#This Row],[OUT Total Before Sale]],0),
                        IF($E$3:E100 = tblRegister[[#This Row],[OUT Token]],$F$3:F100,0)
                  )
            )
      ),
      IF(IF($E$3:E100 = tblRegister[[#This Row],[OUT Token]],tblRegister[[#This Row],[OUT Quantity]]-$L$3:L100+tblRegister[[#This Row],[OUT Total Before Sale]]+$F$3:F100,1) &lt;0,0,
           IF($E$3:E100 = tblRegister[[#This Row],[OUT Token]],tblRegister[[#This Row],[OUT Quantity]]-$L$3:L100+tblRegister[[#This Row],[OUT Total Before Sale]]+$F$3:F100,0)))))/tblRegister[[#This Row],[OUT Quantity]],"")</f>
        <v/>
      </c>
      <c r="J101" s="65" t="str">
        <f ca="1">IFERROR(tblRegister[[#This Row],[OUT Book Price]]*tblRegister[[#This Row],[OUT Quantity]]/tblRegister[[#This Row],[IN Quantity]],"")</f>
        <v/>
      </c>
      <c r="K101" s="65" t="str">
        <f>IFERROR(IF(tblRegister[[#This Row],[IN Token]]=DefCurrency,tblRegister[[#This Row],[IN Quantity]]*(1-tblRegister[[#This Row],[IN Price]]),""),"")</f>
        <v/>
      </c>
      <c r="L101" s="56" t="str">
        <f t="array" aca="1" ref="L10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1" s="56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1" s="56" t="str">
        <f t="array" ref="N101">IF(tblRegister[[#This Row],[Batch]]="","",tblRegister[[#This Row],[OUT Total After Sale]]-tblRegister[[#This Row],[OUT Quantity]])</f>
        <v/>
      </c>
      <c r="O101" s="57" t="str">
        <f t="array" aca="1" ref="O10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2" spans="2:15" x14ac:dyDescent="0.25">
      <c r="B102" s="50">
        <f>ROW()-ROW(tblRegister[[#Headers],[Ind]])</f>
        <v>99</v>
      </c>
      <c r="C102" s="60" t="str">
        <f>IF(ISBLANK(tblRegister[[#This Row],[IN Token]]),"",tblRegister[[#This Row],[Ind]])</f>
        <v/>
      </c>
      <c r="D102" s="118"/>
      <c r="E102" s="51"/>
      <c r="F102" s="111"/>
      <c r="G102" s="51"/>
      <c r="H102" s="111"/>
      <c r="I102" s="63" t="str">
        <f t="array" aca="1" ref="I102" ca="1">IFERROR(IF(tblRegister[[#This Row],[OUT Token]]=DefCurrency,tblRegister[[#This Row],[OUT Quantity]],
      SUMPRODUCT($J$3:J101,
      IF(IF($E$3:E101 = tblRegister[[#This Row],[OUT Token]],tblRegister[[#This Row],[OUT Quantity]]-$L$3:L101+tblRegister[[#This Row],[OUT Total Before Sale]]+$F$3:F101,0)  &gt; IF(ISERROR(IF($E$3:E101 = tblRegister[[#This Row],[OUT Token]],$L$3:L101,N/A)-tblRegister[[#This Row],[OUT Total Before Sale]]),0,
            IF(IF($E$3:E101 = tblRegister[[#This Row],[OUT Token]],$L$3:L101,N/A)-tblRegister[[#This Row],[OUT Total Before Sale]]&lt;0,0,
                  IF(IF($E$3:E101 = tblRegister[[#This Row],[OUT Token]],$L$3:L101,tblRegister[[#This Row],[OUT Total Before Sale]])-tblRegister[[#This Row],[OUT Total Before Sale]]&lt;IF($E$3:E101 = tblRegister[[#This Row],[OUT Token]],$F$3:F101,0),
                        IF($E$3:E101 = tblRegister[[#This Row],[OUT Token]],$L$3:L101 - tblRegister[[#This Row],[OUT Total Before Sale]],0),
                        IF($E$3:E101 = tblRegister[[#This Row],[OUT Token]],$F$3:F101,0)
                  )
            )
      ),
     IF(ISERROR(IF($E$3:E101 = tblRegister[[#This Row],[OUT Token]],$L$3:L101,N/A)-tblRegister[[#This Row],[OUT Total Before Sale]]),0,
            IF(IF($E$3:E101 = tblRegister[[#This Row],[OUT Token]],$L$3:L101,N/A)-tblRegister[[#This Row],[OUT Total Before Sale]]&lt;0,0,
                  IF(IF($E$3:E101 = tblRegister[[#This Row],[OUT Token]],$L$3:L101,tblRegister[[#This Row],[OUT Total Before Sale]])-tblRegister[[#This Row],[OUT Total Before Sale]]&lt;IF($E$3:E101 = tblRegister[[#This Row],[OUT Token]],$F$3:F101,0),
                        IF($E$3:E101 = tblRegister[[#This Row],[OUT Token]],$L$3:L101 - tblRegister[[#This Row],[OUT Total Before Sale]],0),
                        IF($E$3:E101 = tblRegister[[#This Row],[OUT Token]],$F$3:F101,0)
                  )
            )
      ),
      IF(IF($E$3:E101 = tblRegister[[#This Row],[OUT Token]],tblRegister[[#This Row],[OUT Quantity]]-$L$3:L101+tblRegister[[#This Row],[OUT Total Before Sale]]+$F$3:F101,1) &lt;0,0,
           IF($E$3:E101 = tblRegister[[#This Row],[OUT Token]],tblRegister[[#This Row],[OUT Quantity]]-$L$3:L101+tblRegister[[#This Row],[OUT Total Before Sale]]+$F$3:F101,0)))))/tblRegister[[#This Row],[OUT Quantity]],"")</f>
        <v/>
      </c>
      <c r="J102" s="63" t="str">
        <f ca="1">IFERROR(tblRegister[[#This Row],[OUT Book Price]]*tblRegister[[#This Row],[OUT Quantity]]/tblRegister[[#This Row],[IN Quantity]],"")</f>
        <v/>
      </c>
      <c r="K102" s="63" t="str">
        <f>IFERROR(IF(tblRegister[[#This Row],[IN Token]]=DefCurrency,tblRegister[[#This Row],[IN Quantity]]*(1-tblRegister[[#This Row],[IN Price]]),""),"")</f>
        <v/>
      </c>
      <c r="L102" s="52" t="str">
        <f t="array" aca="1" ref="L10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2" s="52" t="str">
        <f t="array" ref="N102">IF(tblRegister[[#This Row],[Batch]]="","",tblRegister[[#This Row],[OUT Total After Sale]]-tblRegister[[#This Row],[OUT Quantity]])</f>
        <v/>
      </c>
      <c r="O102" s="53" t="str">
        <f t="array" aca="1" ref="O10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3" spans="2:15" x14ac:dyDescent="0.25">
      <c r="B103" s="50">
        <f>ROW()-ROW(tblRegister[[#Headers],[Ind]])</f>
        <v>100</v>
      </c>
      <c r="C103" s="60" t="str">
        <f>IF(ISBLANK(tblRegister[[#This Row],[IN Token]]),"",tblRegister[[#This Row],[Ind]])</f>
        <v/>
      </c>
      <c r="D103" s="118"/>
      <c r="E103" s="51"/>
      <c r="F103" s="111"/>
      <c r="G103" s="51"/>
      <c r="H103" s="111"/>
      <c r="I103" s="63" t="str">
        <f t="array" aca="1" ref="I103" ca="1">IFERROR(IF(tblRegister[[#This Row],[OUT Token]]=DefCurrency,tblRegister[[#This Row],[OUT Quantity]],
      SUMPRODUCT($J$3:J102,
      IF(IF($E$3:E102 = tblRegister[[#This Row],[OUT Token]],tblRegister[[#This Row],[OUT Quantity]]-$L$3:L102+tblRegister[[#This Row],[OUT Total Before Sale]]+$F$3:F102,0)  &gt; IF(ISERROR(IF($E$3:E102 = tblRegister[[#This Row],[OUT Token]],$L$3:L102,N/A)-tblRegister[[#This Row],[OUT Total Before Sale]]),0,
            IF(IF($E$3:E102 = tblRegister[[#This Row],[OUT Token]],$L$3:L102,N/A)-tblRegister[[#This Row],[OUT Total Before Sale]]&lt;0,0,
                  IF(IF($E$3:E102 = tblRegister[[#This Row],[OUT Token]],$L$3:L102,tblRegister[[#This Row],[OUT Total Before Sale]])-tblRegister[[#This Row],[OUT Total Before Sale]]&lt;IF($E$3:E102 = tblRegister[[#This Row],[OUT Token]],$F$3:F102,0),
                        IF($E$3:E102 = tblRegister[[#This Row],[OUT Token]],$L$3:L102 - tblRegister[[#This Row],[OUT Total Before Sale]],0),
                        IF($E$3:E102 = tblRegister[[#This Row],[OUT Token]],$F$3:F102,0)
                  )
            )
      ),
     IF(ISERROR(IF($E$3:E102 = tblRegister[[#This Row],[OUT Token]],$L$3:L102,N/A)-tblRegister[[#This Row],[OUT Total Before Sale]]),0,
            IF(IF($E$3:E102 = tblRegister[[#This Row],[OUT Token]],$L$3:L102,N/A)-tblRegister[[#This Row],[OUT Total Before Sale]]&lt;0,0,
                  IF(IF($E$3:E102 = tblRegister[[#This Row],[OUT Token]],$L$3:L102,tblRegister[[#This Row],[OUT Total Before Sale]])-tblRegister[[#This Row],[OUT Total Before Sale]]&lt;IF($E$3:E102 = tblRegister[[#This Row],[OUT Token]],$F$3:F102,0),
                        IF($E$3:E102 = tblRegister[[#This Row],[OUT Token]],$L$3:L102 - tblRegister[[#This Row],[OUT Total Before Sale]],0),
                        IF($E$3:E102 = tblRegister[[#This Row],[OUT Token]],$F$3:F102,0)
                  )
            )
      ),
      IF(IF($E$3:E102 = tblRegister[[#This Row],[OUT Token]],tblRegister[[#This Row],[OUT Quantity]]-$L$3:L102+tblRegister[[#This Row],[OUT Total Before Sale]]+$F$3:F102,1) &lt;0,0,
           IF($E$3:E102 = tblRegister[[#This Row],[OUT Token]],tblRegister[[#This Row],[OUT Quantity]]-$L$3:L102+tblRegister[[#This Row],[OUT Total Before Sale]]+$F$3:F102,0)))))/tblRegister[[#This Row],[OUT Quantity]],"")</f>
        <v/>
      </c>
      <c r="J103" s="63" t="str">
        <f ca="1">IFERROR(tblRegister[[#This Row],[OUT Book Price]]*tblRegister[[#This Row],[OUT Quantity]]/tblRegister[[#This Row],[IN Quantity]],"")</f>
        <v/>
      </c>
      <c r="K103" s="63" t="str">
        <f>IFERROR(IF(tblRegister[[#This Row],[IN Token]]=DefCurrency,tblRegister[[#This Row],[IN Quantity]]*(1-tblRegister[[#This Row],[IN Price]]),""),"")</f>
        <v/>
      </c>
      <c r="L103" s="52" t="str">
        <f t="array" aca="1" ref="L10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3" s="52" t="str">
        <f t="array" ref="N103">IF(tblRegister[[#This Row],[Batch]]="","",tblRegister[[#This Row],[OUT Total After Sale]]-tblRegister[[#This Row],[OUT Quantity]])</f>
        <v/>
      </c>
      <c r="O103" s="53" t="str">
        <f t="array" aca="1" ref="O10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4" spans="2:15" x14ac:dyDescent="0.25">
      <c r="B104" s="50">
        <f>ROW()-ROW(tblRegister[[#Headers],[Ind]])</f>
        <v>101</v>
      </c>
      <c r="C104" s="60" t="str">
        <f>IF(ISBLANK(tblRegister[[#This Row],[IN Token]]),"",tblRegister[[#This Row],[Ind]])</f>
        <v/>
      </c>
      <c r="D104" s="118"/>
      <c r="E104" s="51"/>
      <c r="F104" s="111"/>
      <c r="G104" s="51"/>
      <c r="H104" s="111"/>
      <c r="I104" s="63" t="str">
        <f t="array" aca="1" ref="I104" ca="1">IFERROR(IF(tblRegister[[#This Row],[OUT Token]]=DefCurrency,tblRegister[[#This Row],[OUT Quantity]],
      SUMPRODUCT($J$3:J103,
      IF(IF($E$3:E103 = tblRegister[[#This Row],[OUT Token]],tblRegister[[#This Row],[OUT Quantity]]-$L$3:L103+tblRegister[[#This Row],[OUT Total Before Sale]]+$F$3:F103,0)  &gt; IF(ISERROR(IF($E$3:E103 = tblRegister[[#This Row],[OUT Token]],$L$3:L103,N/A)-tblRegister[[#This Row],[OUT Total Before Sale]]),0,
            IF(IF($E$3:E103 = tblRegister[[#This Row],[OUT Token]],$L$3:L103,N/A)-tblRegister[[#This Row],[OUT Total Before Sale]]&lt;0,0,
                  IF(IF($E$3:E103 = tblRegister[[#This Row],[OUT Token]],$L$3:L103,tblRegister[[#This Row],[OUT Total Before Sale]])-tblRegister[[#This Row],[OUT Total Before Sale]]&lt;IF($E$3:E103 = tblRegister[[#This Row],[OUT Token]],$F$3:F103,0),
                        IF($E$3:E103 = tblRegister[[#This Row],[OUT Token]],$L$3:L103 - tblRegister[[#This Row],[OUT Total Before Sale]],0),
                        IF($E$3:E103 = tblRegister[[#This Row],[OUT Token]],$F$3:F103,0)
                  )
            )
      ),
     IF(ISERROR(IF($E$3:E103 = tblRegister[[#This Row],[OUT Token]],$L$3:L103,N/A)-tblRegister[[#This Row],[OUT Total Before Sale]]),0,
            IF(IF($E$3:E103 = tblRegister[[#This Row],[OUT Token]],$L$3:L103,N/A)-tblRegister[[#This Row],[OUT Total Before Sale]]&lt;0,0,
                  IF(IF($E$3:E103 = tblRegister[[#This Row],[OUT Token]],$L$3:L103,tblRegister[[#This Row],[OUT Total Before Sale]])-tblRegister[[#This Row],[OUT Total Before Sale]]&lt;IF($E$3:E103 = tblRegister[[#This Row],[OUT Token]],$F$3:F103,0),
                        IF($E$3:E103 = tblRegister[[#This Row],[OUT Token]],$L$3:L103 - tblRegister[[#This Row],[OUT Total Before Sale]],0),
                        IF($E$3:E103 = tblRegister[[#This Row],[OUT Token]],$F$3:F103,0)
                  )
            )
      ),
      IF(IF($E$3:E103 = tblRegister[[#This Row],[OUT Token]],tblRegister[[#This Row],[OUT Quantity]]-$L$3:L103+tblRegister[[#This Row],[OUT Total Before Sale]]+$F$3:F103,1) &lt;0,0,
           IF($E$3:E103 = tblRegister[[#This Row],[OUT Token]],tblRegister[[#This Row],[OUT Quantity]]-$L$3:L103+tblRegister[[#This Row],[OUT Total Before Sale]]+$F$3:F103,0)))))/tblRegister[[#This Row],[OUT Quantity]],"")</f>
        <v/>
      </c>
      <c r="J104" s="63" t="str">
        <f ca="1">IFERROR(tblRegister[[#This Row],[OUT Book Price]]*tblRegister[[#This Row],[OUT Quantity]]/tblRegister[[#This Row],[IN Quantity]],"")</f>
        <v/>
      </c>
      <c r="K104" s="63" t="str">
        <f>IFERROR(IF(tblRegister[[#This Row],[IN Token]]=DefCurrency,tblRegister[[#This Row],[IN Quantity]]*(1-tblRegister[[#This Row],[IN Price]]),""),"")</f>
        <v/>
      </c>
      <c r="L104" s="52" t="str">
        <f t="array" aca="1" ref="L10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4" s="52" t="str">
        <f t="array" ref="N104">IF(tblRegister[[#This Row],[Batch]]="","",tblRegister[[#This Row],[OUT Total After Sale]]-tblRegister[[#This Row],[OUT Quantity]])</f>
        <v/>
      </c>
      <c r="O104" s="53" t="str">
        <f t="array" aca="1" ref="O10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5" spans="2:15" x14ac:dyDescent="0.25">
      <c r="B105" s="50">
        <f>ROW()-ROW(tblRegister[[#Headers],[Ind]])</f>
        <v>102</v>
      </c>
      <c r="C105" s="60" t="str">
        <f>IF(ISBLANK(tblRegister[[#This Row],[IN Token]]),"",tblRegister[[#This Row],[Ind]])</f>
        <v/>
      </c>
      <c r="D105" s="118"/>
      <c r="E105" s="51"/>
      <c r="F105" s="111"/>
      <c r="G105" s="51"/>
      <c r="H105" s="111"/>
      <c r="I105" s="63" t="str">
        <f t="array" aca="1" ref="I105" ca="1">IFERROR(IF(tblRegister[[#This Row],[OUT Token]]=DefCurrency,tblRegister[[#This Row],[OUT Quantity]],
      SUMPRODUCT($J$3:J104,
      IF(IF($E$3:E104 = tblRegister[[#This Row],[OUT Token]],tblRegister[[#This Row],[OUT Quantity]]-$L$3:L104+tblRegister[[#This Row],[OUT Total Before Sale]]+$F$3:F104,0)  &gt; IF(ISERROR(IF($E$3:E104 = tblRegister[[#This Row],[OUT Token]],$L$3:L104,N/A)-tblRegister[[#This Row],[OUT Total Before Sale]]),0,
            IF(IF($E$3:E104 = tblRegister[[#This Row],[OUT Token]],$L$3:L104,N/A)-tblRegister[[#This Row],[OUT Total Before Sale]]&lt;0,0,
                  IF(IF($E$3:E104 = tblRegister[[#This Row],[OUT Token]],$L$3:L104,tblRegister[[#This Row],[OUT Total Before Sale]])-tblRegister[[#This Row],[OUT Total Before Sale]]&lt;IF($E$3:E104 = tblRegister[[#This Row],[OUT Token]],$F$3:F104,0),
                        IF($E$3:E104 = tblRegister[[#This Row],[OUT Token]],$L$3:L104 - tblRegister[[#This Row],[OUT Total Before Sale]],0),
                        IF($E$3:E104 = tblRegister[[#This Row],[OUT Token]],$F$3:F104,0)
                  )
            )
      ),
     IF(ISERROR(IF($E$3:E104 = tblRegister[[#This Row],[OUT Token]],$L$3:L104,N/A)-tblRegister[[#This Row],[OUT Total Before Sale]]),0,
            IF(IF($E$3:E104 = tblRegister[[#This Row],[OUT Token]],$L$3:L104,N/A)-tblRegister[[#This Row],[OUT Total Before Sale]]&lt;0,0,
                  IF(IF($E$3:E104 = tblRegister[[#This Row],[OUT Token]],$L$3:L104,tblRegister[[#This Row],[OUT Total Before Sale]])-tblRegister[[#This Row],[OUT Total Before Sale]]&lt;IF($E$3:E104 = tblRegister[[#This Row],[OUT Token]],$F$3:F104,0),
                        IF($E$3:E104 = tblRegister[[#This Row],[OUT Token]],$L$3:L104 - tblRegister[[#This Row],[OUT Total Before Sale]],0),
                        IF($E$3:E104 = tblRegister[[#This Row],[OUT Token]],$F$3:F104,0)
                  )
            )
      ),
      IF(IF($E$3:E104 = tblRegister[[#This Row],[OUT Token]],tblRegister[[#This Row],[OUT Quantity]]-$L$3:L104+tblRegister[[#This Row],[OUT Total Before Sale]]+$F$3:F104,1) &lt;0,0,
           IF($E$3:E104 = tblRegister[[#This Row],[OUT Token]],tblRegister[[#This Row],[OUT Quantity]]-$L$3:L104+tblRegister[[#This Row],[OUT Total Before Sale]]+$F$3:F104,0)))))/tblRegister[[#This Row],[OUT Quantity]],"")</f>
        <v/>
      </c>
      <c r="J105" s="63" t="str">
        <f ca="1">IFERROR(tblRegister[[#This Row],[OUT Book Price]]*tblRegister[[#This Row],[OUT Quantity]]/tblRegister[[#This Row],[IN Quantity]],"")</f>
        <v/>
      </c>
      <c r="K105" s="63" t="str">
        <f>IFERROR(IF(tblRegister[[#This Row],[IN Token]]=DefCurrency,tblRegister[[#This Row],[IN Quantity]]*(1-tblRegister[[#This Row],[IN Price]]),""),"")</f>
        <v/>
      </c>
      <c r="L105" s="52" t="str">
        <f t="array" aca="1" ref="L10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5" s="52" t="str">
        <f t="array" ref="N105">IF(tblRegister[[#This Row],[Batch]]="","",tblRegister[[#This Row],[OUT Total After Sale]]-tblRegister[[#This Row],[OUT Quantity]])</f>
        <v/>
      </c>
      <c r="O105" s="53" t="str">
        <f t="array" aca="1" ref="O10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6" spans="2:15" x14ac:dyDescent="0.25">
      <c r="B106" s="50">
        <f>ROW()-ROW(tblRegister[[#Headers],[Ind]])</f>
        <v>103</v>
      </c>
      <c r="C106" s="60" t="str">
        <f>IF(ISBLANK(tblRegister[[#This Row],[IN Token]]),"",tblRegister[[#This Row],[Ind]])</f>
        <v/>
      </c>
      <c r="D106" s="118"/>
      <c r="E106" s="51"/>
      <c r="F106" s="111"/>
      <c r="G106" s="51"/>
      <c r="H106" s="111"/>
      <c r="I106" s="63" t="str">
        <f t="array" aca="1" ref="I106" ca="1">IFERROR(IF(tblRegister[[#This Row],[OUT Token]]=DefCurrency,tblRegister[[#This Row],[OUT Quantity]],
      SUMPRODUCT($J$3:J105,
      IF(IF($E$3:E105 = tblRegister[[#This Row],[OUT Token]],tblRegister[[#This Row],[OUT Quantity]]-$L$3:L105+tblRegister[[#This Row],[OUT Total Before Sale]]+$F$3:F105,0)  &gt; IF(ISERROR(IF($E$3:E105 = tblRegister[[#This Row],[OUT Token]],$L$3:L105,N/A)-tblRegister[[#This Row],[OUT Total Before Sale]]),0,
            IF(IF($E$3:E105 = tblRegister[[#This Row],[OUT Token]],$L$3:L105,N/A)-tblRegister[[#This Row],[OUT Total Before Sale]]&lt;0,0,
                  IF(IF($E$3:E105 = tblRegister[[#This Row],[OUT Token]],$L$3:L105,tblRegister[[#This Row],[OUT Total Before Sale]])-tblRegister[[#This Row],[OUT Total Before Sale]]&lt;IF($E$3:E105 = tblRegister[[#This Row],[OUT Token]],$F$3:F105,0),
                        IF($E$3:E105 = tblRegister[[#This Row],[OUT Token]],$L$3:L105 - tblRegister[[#This Row],[OUT Total Before Sale]],0),
                        IF($E$3:E105 = tblRegister[[#This Row],[OUT Token]],$F$3:F105,0)
                  )
            )
      ),
     IF(ISERROR(IF($E$3:E105 = tblRegister[[#This Row],[OUT Token]],$L$3:L105,N/A)-tblRegister[[#This Row],[OUT Total Before Sale]]),0,
            IF(IF($E$3:E105 = tblRegister[[#This Row],[OUT Token]],$L$3:L105,N/A)-tblRegister[[#This Row],[OUT Total Before Sale]]&lt;0,0,
                  IF(IF($E$3:E105 = tblRegister[[#This Row],[OUT Token]],$L$3:L105,tblRegister[[#This Row],[OUT Total Before Sale]])-tblRegister[[#This Row],[OUT Total Before Sale]]&lt;IF($E$3:E105 = tblRegister[[#This Row],[OUT Token]],$F$3:F105,0),
                        IF($E$3:E105 = tblRegister[[#This Row],[OUT Token]],$L$3:L105 - tblRegister[[#This Row],[OUT Total Before Sale]],0),
                        IF($E$3:E105 = tblRegister[[#This Row],[OUT Token]],$F$3:F105,0)
                  )
            )
      ),
      IF(IF($E$3:E105 = tblRegister[[#This Row],[OUT Token]],tblRegister[[#This Row],[OUT Quantity]]-$L$3:L105+tblRegister[[#This Row],[OUT Total Before Sale]]+$F$3:F105,1) &lt;0,0,
           IF($E$3:E105 = tblRegister[[#This Row],[OUT Token]],tblRegister[[#This Row],[OUT Quantity]]-$L$3:L105+tblRegister[[#This Row],[OUT Total Before Sale]]+$F$3:F105,0)))))/tblRegister[[#This Row],[OUT Quantity]],"")</f>
        <v/>
      </c>
      <c r="J106" s="63" t="str">
        <f ca="1">IFERROR(tblRegister[[#This Row],[OUT Book Price]]*tblRegister[[#This Row],[OUT Quantity]]/tblRegister[[#This Row],[IN Quantity]],"")</f>
        <v/>
      </c>
      <c r="K106" s="63" t="str">
        <f>IFERROR(IF(tblRegister[[#This Row],[IN Token]]=DefCurrency,tblRegister[[#This Row],[IN Quantity]]*(1-tblRegister[[#This Row],[IN Price]]),""),"")</f>
        <v/>
      </c>
      <c r="L106" s="52" t="str">
        <f t="array" aca="1" ref="L10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6" s="52" t="str">
        <f t="array" ref="N106">IF(tblRegister[[#This Row],[Batch]]="","",tblRegister[[#This Row],[OUT Total After Sale]]-tblRegister[[#This Row],[OUT Quantity]])</f>
        <v/>
      </c>
      <c r="O106" s="53" t="str">
        <f t="array" aca="1" ref="O10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7" spans="2:15" x14ac:dyDescent="0.25">
      <c r="B107" s="50">
        <f>ROW()-ROW(tblRegister[[#Headers],[Ind]])</f>
        <v>104</v>
      </c>
      <c r="C107" s="60" t="str">
        <f>IF(ISBLANK(tblRegister[[#This Row],[IN Token]]),"",tblRegister[[#This Row],[Ind]])</f>
        <v/>
      </c>
      <c r="D107" s="118"/>
      <c r="E107" s="51"/>
      <c r="F107" s="111"/>
      <c r="G107" s="51"/>
      <c r="H107" s="111"/>
      <c r="I107" s="63" t="str">
        <f t="array" aca="1" ref="I107" ca="1">IFERROR(IF(tblRegister[[#This Row],[OUT Token]]=DefCurrency,tblRegister[[#This Row],[OUT Quantity]],
      SUMPRODUCT($J$3:J106,
      IF(IF($E$3:E106 = tblRegister[[#This Row],[OUT Token]],tblRegister[[#This Row],[OUT Quantity]]-$L$3:L106+tblRegister[[#This Row],[OUT Total Before Sale]]+$F$3:F106,0)  &gt; IF(ISERROR(IF($E$3:E106 = tblRegister[[#This Row],[OUT Token]],$L$3:L106,N/A)-tblRegister[[#This Row],[OUT Total Before Sale]]),0,
            IF(IF($E$3:E106 = tblRegister[[#This Row],[OUT Token]],$L$3:L106,N/A)-tblRegister[[#This Row],[OUT Total Before Sale]]&lt;0,0,
                  IF(IF($E$3:E106 = tblRegister[[#This Row],[OUT Token]],$L$3:L106,tblRegister[[#This Row],[OUT Total Before Sale]])-tblRegister[[#This Row],[OUT Total Before Sale]]&lt;IF($E$3:E106 = tblRegister[[#This Row],[OUT Token]],$F$3:F106,0),
                        IF($E$3:E106 = tblRegister[[#This Row],[OUT Token]],$L$3:L106 - tblRegister[[#This Row],[OUT Total Before Sale]],0),
                        IF($E$3:E106 = tblRegister[[#This Row],[OUT Token]],$F$3:F106,0)
                  )
            )
      ),
     IF(ISERROR(IF($E$3:E106 = tblRegister[[#This Row],[OUT Token]],$L$3:L106,N/A)-tblRegister[[#This Row],[OUT Total Before Sale]]),0,
            IF(IF($E$3:E106 = tblRegister[[#This Row],[OUT Token]],$L$3:L106,N/A)-tblRegister[[#This Row],[OUT Total Before Sale]]&lt;0,0,
                  IF(IF($E$3:E106 = tblRegister[[#This Row],[OUT Token]],$L$3:L106,tblRegister[[#This Row],[OUT Total Before Sale]])-tblRegister[[#This Row],[OUT Total Before Sale]]&lt;IF($E$3:E106 = tblRegister[[#This Row],[OUT Token]],$F$3:F106,0),
                        IF($E$3:E106 = tblRegister[[#This Row],[OUT Token]],$L$3:L106 - tblRegister[[#This Row],[OUT Total Before Sale]],0),
                        IF($E$3:E106 = tblRegister[[#This Row],[OUT Token]],$F$3:F106,0)
                  )
            )
      ),
      IF(IF($E$3:E106 = tblRegister[[#This Row],[OUT Token]],tblRegister[[#This Row],[OUT Quantity]]-$L$3:L106+tblRegister[[#This Row],[OUT Total Before Sale]]+$F$3:F106,1) &lt;0,0,
           IF($E$3:E106 = tblRegister[[#This Row],[OUT Token]],tblRegister[[#This Row],[OUT Quantity]]-$L$3:L106+tblRegister[[#This Row],[OUT Total Before Sale]]+$F$3:F106,0)))))/tblRegister[[#This Row],[OUT Quantity]],"")</f>
        <v/>
      </c>
      <c r="J107" s="63" t="str">
        <f ca="1">IFERROR(tblRegister[[#This Row],[OUT Book Price]]*tblRegister[[#This Row],[OUT Quantity]]/tblRegister[[#This Row],[IN Quantity]],"")</f>
        <v/>
      </c>
      <c r="K107" s="63" t="str">
        <f>IFERROR(IF(tblRegister[[#This Row],[IN Token]]=DefCurrency,tblRegister[[#This Row],[IN Quantity]]*(1-tblRegister[[#This Row],[IN Price]]),""),"")</f>
        <v/>
      </c>
      <c r="L107" s="52" t="str">
        <f t="array" aca="1" ref="L10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7" s="52" t="str">
        <f t="array" ref="N107">IF(tblRegister[[#This Row],[Batch]]="","",tblRegister[[#This Row],[OUT Total After Sale]]-tblRegister[[#This Row],[OUT Quantity]])</f>
        <v/>
      </c>
      <c r="O107" s="53" t="str">
        <f t="array" aca="1" ref="O10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8" spans="2:15" x14ac:dyDescent="0.25">
      <c r="B108" s="50">
        <f>ROW()-ROW(tblRegister[[#Headers],[Ind]])</f>
        <v>105</v>
      </c>
      <c r="C108" s="60" t="str">
        <f>IF(ISBLANK(tblRegister[[#This Row],[IN Token]]),"",tblRegister[[#This Row],[Ind]])</f>
        <v/>
      </c>
      <c r="D108" s="118"/>
      <c r="E108" s="51"/>
      <c r="F108" s="111"/>
      <c r="G108" s="51"/>
      <c r="H108" s="111"/>
      <c r="I108" s="63" t="str">
        <f t="array" aca="1" ref="I108" ca="1">IFERROR(IF(tblRegister[[#This Row],[OUT Token]]=DefCurrency,tblRegister[[#This Row],[OUT Quantity]],
      SUMPRODUCT($J$3:J107,
      IF(IF($E$3:E107 = tblRegister[[#This Row],[OUT Token]],tblRegister[[#This Row],[OUT Quantity]]-$L$3:L107+tblRegister[[#This Row],[OUT Total Before Sale]]+$F$3:F107,0)  &gt; IF(ISERROR(IF($E$3:E107 = tblRegister[[#This Row],[OUT Token]],$L$3:L107,N/A)-tblRegister[[#This Row],[OUT Total Before Sale]]),0,
            IF(IF($E$3:E107 = tblRegister[[#This Row],[OUT Token]],$L$3:L107,N/A)-tblRegister[[#This Row],[OUT Total Before Sale]]&lt;0,0,
                  IF(IF($E$3:E107 = tblRegister[[#This Row],[OUT Token]],$L$3:L107,tblRegister[[#This Row],[OUT Total Before Sale]])-tblRegister[[#This Row],[OUT Total Before Sale]]&lt;IF($E$3:E107 = tblRegister[[#This Row],[OUT Token]],$F$3:F107,0),
                        IF($E$3:E107 = tblRegister[[#This Row],[OUT Token]],$L$3:L107 - tblRegister[[#This Row],[OUT Total Before Sale]],0),
                        IF($E$3:E107 = tblRegister[[#This Row],[OUT Token]],$F$3:F107,0)
                  )
            )
      ),
     IF(ISERROR(IF($E$3:E107 = tblRegister[[#This Row],[OUT Token]],$L$3:L107,N/A)-tblRegister[[#This Row],[OUT Total Before Sale]]),0,
            IF(IF($E$3:E107 = tblRegister[[#This Row],[OUT Token]],$L$3:L107,N/A)-tblRegister[[#This Row],[OUT Total Before Sale]]&lt;0,0,
                  IF(IF($E$3:E107 = tblRegister[[#This Row],[OUT Token]],$L$3:L107,tblRegister[[#This Row],[OUT Total Before Sale]])-tblRegister[[#This Row],[OUT Total Before Sale]]&lt;IF($E$3:E107 = tblRegister[[#This Row],[OUT Token]],$F$3:F107,0),
                        IF($E$3:E107 = tblRegister[[#This Row],[OUT Token]],$L$3:L107 - tblRegister[[#This Row],[OUT Total Before Sale]],0),
                        IF($E$3:E107 = tblRegister[[#This Row],[OUT Token]],$F$3:F107,0)
                  )
            )
      ),
      IF(IF($E$3:E107 = tblRegister[[#This Row],[OUT Token]],tblRegister[[#This Row],[OUT Quantity]]-$L$3:L107+tblRegister[[#This Row],[OUT Total Before Sale]]+$F$3:F107,1) &lt;0,0,
           IF($E$3:E107 = tblRegister[[#This Row],[OUT Token]],tblRegister[[#This Row],[OUT Quantity]]-$L$3:L107+tblRegister[[#This Row],[OUT Total Before Sale]]+$F$3:F107,0)))))/tblRegister[[#This Row],[OUT Quantity]],"")</f>
        <v/>
      </c>
      <c r="J108" s="63" t="str">
        <f ca="1">IFERROR(tblRegister[[#This Row],[OUT Book Price]]*tblRegister[[#This Row],[OUT Quantity]]/tblRegister[[#This Row],[IN Quantity]],"")</f>
        <v/>
      </c>
      <c r="K108" s="63" t="str">
        <f>IFERROR(IF(tblRegister[[#This Row],[IN Token]]=DefCurrency,tblRegister[[#This Row],[IN Quantity]]*(1-tblRegister[[#This Row],[IN Price]]),""),"")</f>
        <v/>
      </c>
      <c r="L108" s="52" t="str">
        <f t="array" aca="1" ref="L10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8" s="52" t="str">
        <f t="array" ref="N108">IF(tblRegister[[#This Row],[Batch]]="","",tblRegister[[#This Row],[OUT Total After Sale]]-tblRegister[[#This Row],[OUT Quantity]])</f>
        <v/>
      </c>
      <c r="O108" s="53" t="str">
        <f t="array" aca="1" ref="O10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09" spans="2:15" x14ac:dyDescent="0.25">
      <c r="B109" s="50">
        <f>ROW()-ROW(tblRegister[[#Headers],[Ind]])</f>
        <v>106</v>
      </c>
      <c r="C109" s="60" t="str">
        <f>IF(ISBLANK(tblRegister[[#This Row],[IN Token]]),"",tblRegister[[#This Row],[Ind]])</f>
        <v/>
      </c>
      <c r="D109" s="118"/>
      <c r="E109" s="51"/>
      <c r="F109" s="111"/>
      <c r="G109" s="51"/>
      <c r="H109" s="111"/>
      <c r="I109" s="63" t="str">
        <f t="array" aca="1" ref="I109" ca="1">IFERROR(IF(tblRegister[[#This Row],[OUT Token]]=DefCurrency,tblRegister[[#This Row],[OUT Quantity]],
      SUMPRODUCT($J$3:J108,
      IF(IF($E$3:E108 = tblRegister[[#This Row],[OUT Token]],tblRegister[[#This Row],[OUT Quantity]]-$L$3:L108+tblRegister[[#This Row],[OUT Total Before Sale]]+$F$3:F108,0)  &gt; IF(ISERROR(IF($E$3:E108 = tblRegister[[#This Row],[OUT Token]],$L$3:L108,N/A)-tblRegister[[#This Row],[OUT Total Before Sale]]),0,
            IF(IF($E$3:E108 = tblRegister[[#This Row],[OUT Token]],$L$3:L108,N/A)-tblRegister[[#This Row],[OUT Total Before Sale]]&lt;0,0,
                  IF(IF($E$3:E108 = tblRegister[[#This Row],[OUT Token]],$L$3:L108,tblRegister[[#This Row],[OUT Total Before Sale]])-tblRegister[[#This Row],[OUT Total Before Sale]]&lt;IF($E$3:E108 = tblRegister[[#This Row],[OUT Token]],$F$3:F108,0),
                        IF($E$3:E108 = tblRegister[[#This Row],[OUT Token]],$L$3:L108 - tblRegister[[#This Row],[OUT Total Before Sale]],0),
                        IF($E$3:E108 = tblRegister[[#This Row],[OUT Token]],$F$3:F108,0)
                  )
            )
      ),
     IF(ISERROR(IF($E$3:E108 = tblRegister[[#This Row],[OUT Token]],$L$3:L108,N/A)-tblRegister[[#This Row],[OUT Total Before Sale]]),0,
            IF(IF($E$3:E108 = tblRegister[[#This Row],[OUT Token]],$L$3:L108,N/A)-tblRegister[[#This Row],[OUT Total Before Sale]]&lt;0,0,
                  IF(IF($E$3:E108 = tblRegister[[#This Row],[OUT Token]],$L$3:L108,tblRegister[[#This Row],[OUT Total Before Sale]])-tblRegister[[#This Row],[OUT Total Before Sale]]&lt;IF($E$3:E108 = tblRegister[[#This Row],[OUT Token]],$F$3:F108,0),
                        IF($E$3:E108 = tblRegister[[#This Row],[OUT Token]],$L$3:L108 - tblRegister[[#This Row],[OUT Total Before Sale]],0),
                        IF($E$3:E108 = tblRegister[[#This Row],[OUT Token]],$F$3:F108,0)
                  )
            )
      ),
      IF(IF($E$3:E108 = tblRegister[[#This Row],[OUT Token]],tblRegister[[#This Row],[OUT Quantity]]-$L$3:L108+tblRegister[[#This Row],[OUT Total Before Sale]]+$F$3:F108,1) &lt;0,0,
           IF($E$3:E108 = tblRegister[[#This Row],[OUT Token]],tblRegister[[#This Row],[OUT Quantity]]-$L$3:L108+tblRegister[[#This Row],[OUT Total Before Sale]]+$F$3:F108,0)))))/tblRegister[[#This Row],[OUT Quantity]],"")</f>
        <v/>
      </c>
      <c r="J109" s="63" t="str">
        <f ca="1">IFERROR(tblRegister[[#This Row],[OUT Book Price]]*tblRegister[[#This Row],[OUT Quantity]]/tblRegister[[#This Row],[IN Quantity]],"")</f>
        <v/>
      </c>
      <c r="K109" s="63" t="str">
        <f>IFERROR(IF(tblRegister[[#This Row],[IN Token]]=DefCurrency,tblRegister[[#This Row],[IN Quantity]]*(1-tblRegister[[#This Row],[IN Price]]),""),"")</f>
        <v/>
      </c>
      <c r="L109" s="52" t="str">
        <f t="array" aca="1" ref="L10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09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09" s="52" t="str">
        <f t="array" ref="N109">IF(tblRegister[[#This Row],[Batch]]="","",tblRegister[[#This Row],[OUT Total After Sale]]-tblRegister[[#This Row],[OUT Quantity]])</f>
        <v/>
      </c>
      <c r="O109" s="53" t="str">
        <f t="array" aca="1" ref="O10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0" spans="2:15" x14ac:dyDescent="0.25">
      <c r="B110" s="54">
        <f>ROW()-ROW(tblRegister[[#Headers],[Ind]])</f>
        <v>107</v>
      </c>
      <c r="C110" s="61" t="str">
        <f>IF(ISBLANK(tblRegister[[#This Row],[IN Token]]),"",tblRegister[[#This Row],[Ind]])</f>
        <v/>
      </c>
      <c r="D110" s="119"/>
      <c r="E110" s="55"/>
      <c r="F110" s="112"/>
      <c r="G110" s="55"/>
      <c r="H110" s="112"/>
      <c r="I110" s="63" t="str">
        <f t="array" aca="1" ref="I110" ca="1">IFERROR(IF(tblRegister[[#This Row],[OUT Token]]=DefCurrency,tblRegister[[#This Row],[OUT Quantity]],
      SUMPRODUCT($J$3:J109,
      IF(IF($E$3:E109 = tblRegister[[#This Row],[OUT Token]],tblRegister[[#This Row],[OUT Quantity]]-$L$3:L109+tblRegister[[#This Row],[OUT Total Before Sale]]+$F$3:F109,0)  &gt; IF(ISERROR(IF($E$3:E109 = tblRegister[[#This Row],[OUT Token]],$L$3:L109,N/A)-tblRegister[[#This Row],[OUT Total Before Sale]]),0,
            IF(IF($E$3:E109 = tblRegister[[#This Row],[OUT Token]],$L$3:L109,N/A)-tblRegister[[#This Row],[OUT Total Before Sale]]&lt;0,0,
                  IF(IF($E$3:E109 = tblRegister[[#This Row],[OUT Token]],$L$3:L109,tblRegister[[#This Row],[OUT Total Before Sale]])-tblRegister[[#This Row],[OUT Total Before Sale]]&lt;IF($E$3:E109 = tblRegister[[#This Row],[OUT Token]],$F$3:F109,0),
                        IF($E$3:E109 = tblRegister[[#This Row],[OUT Token]],$L$3:L109 - tblRegister[[#This Row],[OUT Total Before Sale]],0),
                        IF($E$3:E109 = tblRegister[[#This Row],[OUT Token]],$F$3:F109,0)
                  )
            )
      ),
     IF(ISERROR(IF($E$3:E109 = tblRegister[[#This Row],[OUT Token]],$L$3:L109,N/A)-tblRegister[[#This Row],[OUT Total Before Sale]]),0,
            IF(IF($E$3:E109 = tblRegister[[#This Row],[OUT Token]],$L$3:L109,N/A)-tblRegister[[#This Row],[OUT Total Before Sale]]&lt;0,0,
                  IF(IF($E$3:E109 = tblRegister[[#This Row],[OUT Token]],$L$3:L109,tblRegister[[#This Row],[OUT Total Before Sale]])-tblRegister[[#This Row],[OUT Total Before Sale]]&lt;IF($E$3:E109 = tblRegister[[#This Row],[OUT Token]],$F$3:F109,0),
                        IF($E$3:E109 = tblRegister[[#This Row],[OUT Token]],$L$3:L109 - tblRegister[[#This Row],[OUT Total Before Sale]],0),
                        IF($E$3:E109 = tblRegister[[#This Row],[OUT Token]],$F$3:F109,0)
                  )
            )
      ),
      IF(IF($E$3:E109 = tblRegister[[#This Row],[OUT Token]],tblRegister[[#This Row],[OUT Quantity]]-$L$3:L109+tblRegister[[#This Row],[OUT Total Before Sale]]+$F$3:F109,1) &lt;0,0,
           IF($E$3:E109 = tblRegister[[#This Row],[OUT Token]],tblRegister[[#This Row],[OUT Quantity]]-$L$3:L109+tblRegister[[#This Row],[OUT Total Before Sale]]+$F$3:F109,0)))))/tblRegister[[#This Row],[OUT Quantity]],"")</f>
        <v/>
      </c>
      <c r="J110" s="65" t="str">
        <f ca="1">IFERROR(tblRegister[[#This Row],[OUT Book Price]]*tblRegister[[#This Row],[OUT Quantity]]/tblRegister[[#This Row],[IN Quantity]],"")</f>
        <v/>
      </c>
      <c r="K110" s="65" t="str">
        <f>IFERROR(IF(tblRegister[[#This Row],[IN Token]]=DefCurrency,tblRegister[[#This Row],[IN Quantity]]*(1-tblRegister[[#This Row],[IN Price]]),""),"")</f>
        <v/>
      </c>
      <c r="L110" s="56" t="str">
        <f t="array" aca="1" ref="L11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0" s="56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0" s="56" t="str">
        <f t="array" ref="N110">IF(tblRegister[[#This Row],[Batch]]="","",tblRegister[[#This Row],[OUT Total After Sale]]-tblRegister[[#This Row],[OUT Quantity]])</f>
        <v/>
      </c>
      <c r="O110" s="57" t="str">
        <f t="array" aca="1" ref="O11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1" spans="2:15" x14ac:dyDescent="0.25">
      <c r="B111" s="50">
        <f>ROW()-ROW(tblRegister[[#Headers],[Ind]])</f>
        <v>108</v>
      </c>
      <c r="C111" s="60" t="str">
        <f>IF(ISBLANK(tblRegister[[#This Row],[IN Token]]),"",tblRegister[[#This Row],[Ind]])</f>
        <v/>
      </c>
      <c r="D111" s="118"/>
      <c r="E111" s="51"/>
      <c r="F111" s="111"/>
      <c r="G111" s="51"/>
      <c r="H111" s="111"/>
      <c r="I111" s="63" t="str">
        <f t="array" aca="1" ref="I111" ca="1">IFERROR(IF(tblRegister[[#This Row],[OUT Token]]=DefCurrency,tblRegister[[#This Row],[OUT Quantity]],
      SUMPRODUCT($J$3:J110,
      IF(IF($E$3:E110 = tblRegister[[#This Row],[OUT Token]],tblRegister[[#This Row],[OUT Quantity]]-$L$3:L110+tblRegister[[#This Row],[OUT Total Before Sale]]+$F$3:F110,0)  &gt; IF(ISERROR(IF($E$3:E110 = tblRegister[[#This Row],[OUT Token]],$L$3:L110,N/A)-tblRegister[[#This Row],[OUT Total Before Sale]]),0,
            IF(IF($E$3:E110 = tblRegister[[#This Row],[OUT Token]],$L$3:L110,N/A)-tblRegister[[#This Row],[OUT Total Before Sale]]&lt;0,0,
                  IF(IF($E$3:E110 = tblRegister[[#This Row],[OUT Token]],$L$3:L110,tblRegister[[#This Row],[OUT Total Before Sale]])-tblRegister[[#This Row],[OUT Total Before Sale]]&lt;IF($E$3:E110 = tblRegister[[#This Row],[OUT Token]],$F$3:F110,0),
                        IF($E$3:E110 = tblRegister[[#This Row],[OUT Token]],$L$3:L110 - tblRegister[[#This Row],[OUT Total Before Sale]],0),
                        IF($E$3:E110 = tblRegister[[#This Row],[OUT Token]],$F$3:F110,0)
                  )
            )
      ),
     IF(ISERROR(IF($E$3:E110 = tblRegister[[#This Row],[OUT Token]],$L$3:L110,N/A)-tblRegister[[#This Row],[OUT Total Before Sale]]),0,
            IF(IF($E$3:E110 = tblRegister[[#This Row],[OUT Token]],$L$3:L110,N/A)-tblRegister[[#This Row],[OUT Total Before Sale]]&lt;0,0,
                  IF(IF($E$3:E110 = tblRegister[[#This Row],[OUT Token]],$L$3:L110,tblRegister[[#This Row],[OUT Total Before Sale]])-tblRegister[[#This Row],[OUT Total Before Sale]]&lt;IF($E$3:E110 = tblRegister[[#This Row],[OUT Token]],$F$3:F110,0),
                        IF($E$3:E110 = tblRegister[[#This Row],[OUT Token]],$L$3:L110 - tblRegister[[#This Row],[OUT Total Before Sale]],0),
                        IF($E$3:E110 = tblRegister[[#This Row],[OUT Token]],$F$3:F110,0)
                  )
            )
      ),
      IF(IF($E$3:E110 = tblRegister[[#This Row],[OUT Token]],tblRegister[[#This Row],[OUT Quantity]]-$L$3:L110+tblRegister[[#This Row],[OUT Total Before Sale]]+$F$3:F110,1) &lt;0,0,
           IF($E$3:E110 = tblRegister[[#This Row],[OUT Token]],tblRegister[[#This Row],[OUT Quantity]]-$L$3:L110+tblRegister[[#This Row],[OUT Total Before Sale]]+$F$3:F110,0)))))/tblRegister[[#This Row],[OUT Quantity]],"")</f>
        <v/>
      </c>
      <c r="J111" s="63" t="str">
        <f ca="1">IFERROR(tblRegister[[#This Row],[OUT Book Price]]*tblRegister[[#This Row],[OUT Quantity]]/tblRegister[[#This Row],[IN Quantity]],"")</f>
        <v/>
      </c>
      <c r="K111" s="63" t="str">
        <f>IFERROR(IF(tblRegister[[#This Row],[IN Token]]=DefCurrency,tblRegister[[#This Row],[IN Quantity]]*(1-tblRegister[[#This Row],[IN Price]]),""),"")</f>
        <v/>
      </c>
      <c r="L111" s="52" t="str">
        <f t="array" aca="1" ref="L11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1" s="52" t="str">
        <f t="array" ref="N111">IF(tblRegister[[#This Row],[Batch]]="","",tblRegister[[#This Row],[OUT Total After Sale]]-tblRegister[[#This Row],[OUT Quantity]])</f>
        <v/>
      </c>
      <c r="O111" s="53" t="str">
        <f t="array" aca="1" ref="O11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2" spans="2:15" x14ac:dyDescent="0.25">
      <c r="B112" s="50">
        <f>ROW()-ROW(tblRegister[[#Headers],[Ind]])</f>
        <v>109</v>
      </c>
      <c r="C112" s="60" t="str">
        <f>IF(ISBLANK(tblRegister[[#This Row],[IN Token]]),"",tblRegister[[#This Row],[Ind]])</f>
        <v/>
      </c>
      <c r="D112" s="118"/>
      <c r="E112" s="51"/>
      <c r="F112" s="111"/>
      <c r="G112" s="51"/>
      <c r="H112" s="111"/>
      <c r="I112" s="63" t="str">
        <f t="array" aca="1" ref="I112" ca="1">IFERROR(IF(tblRegister[[#This Row],[OUT Token]]=DefCurrency,tblRegister[[#This Row],[OUT Quantity]],
      SUMPRODUCT($J$3:J111,
      IF(IF($E$3:E111 = tblRegister[[#This Row],[OUT Token]],tblRegister[[#This Row],[OUT Quantity]]-$L$3:L111+tblRegister[[#This Row],[OUT Total Before Sale]]+$F$3:F111,0)  &gt; IF(ISERROR(IF($E$3:E111 = tblRegister[[#This Row],[OUT Token]],$L$3:L111,N/A)-tblRegister[[#This Row],[OUT Total Before Sale]]),0,
            IF(IF($E$3:E111 = tblRegister[[#This Row],[OUT Token]],$L$3:L111,N/A)-tblRegister[[#This Row],[OUT Total Before Sale]]&lt;0,0,
                  IF(IF($E$3:E111 = tblRegister[[#This Row],[OUT Token]],$L$3:L111,tblRegister[[#This Row],[OUT Total Before Sale]])-tblRegister[[#This Row],[OUT Total Before Sale]]&lt;IF($E$3:E111 = tblRegister[[#This Row],[OUT Token]],$F$3:F111,0),
                        IF($E$3:E111 = tblRegister[[#This Row],[OUT Token]],$L$3:L111 - tblRegister[[#This Row],[OUT Total Before Sale]],0),
                        IF($E$3:E111 = tblRegister[[#This Row],[OUT Token]],$F$3:F111,0)
                  )
            )
      ),
     IF(ISERROR(IF($E$3:E111 = tblRegister[[#This Row],[OUT Token]],$L$3:L111,N/A)-tblRegister[[#This Row],[OUT Total Before Sale]]),0,
            IF(IF($E$3:E111 = tblRegister[[#This Row],[OUT Token]],$L$3:L111,N/A)-tblRegister[[#This Row],[OUT Total Before Sale]]&lt;0,0,
                  IF(IF($E$3:E111 = tblRegister[[#This Row],[OUT Token]],$L$3:L111,tblRegister[[#This Row],[OUT Total Before Sale]])-tblRegister[[#This Row],[OUT Total Before Sale]]&lt;IF($E$3:E111 = tblRegister[[#This Row],[OUT Token]],$F$3:F111,0),
                        IF($E$3:E111 = tblRegister[[#This Row],[OUT Token]],$L$3:L111 - tblRegister[[#This Row],[OUT Total Before Sale]],0),
                        IF($E$3:E111 = tblRegister[[#This Row],[OUT Token]],$F$3:F111,0)
                  )
            )
      ),
      IF(IF($E$3:E111 = tblRegister[[#This Row],[OUT Token]],tblRegister[[#This Row],[OUT Quantity]]-$L$3:L111+tblRegister[[#This Row],[OUT Total Before Sale]]+$F$3:F111,1) &lt;0,0,
           IF($E$3:E111 = tblRegister[[#This Row],[OUT Token]],tblRegister[[#This Row],[OUT Quantity]]-$L$3:L111+tblRegister[[#This Row],[OUT Total Before Sale]]+$F$3:F111,0)))))/tblRegister[[#This Row],[OUT Quantity]],"")</f>
        <v/>
      </c>
      <c r="J112" s="63" t="str">
        <f ca="1">IFERROR(tblRegister[[#This Row],[OUT Book Price]]*tblRegister[[#This Row],[OUT Quantity]]/tblRegister[[#This Row],[IN Quantity]],"")</f>
        <v/>
      </c>
      <c r="K112" s="63" t="str">
        <f>IFERROR(IF(tblRegister[[#This Row],[IN Token]]=DefCurrency,tblRegister[[#This Row],[IN Quantity]]*(1-tblRegister[[#This Row],[IN Price]]),""),"")</f>
        <v/>
      </c>
      <c r="L112" s="52" t="str">
        <f t="array" aca="1" ref="L11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2" s="52" t="str">
        <f t="array" ref="N112">IF(tblRegister[[#This Row],[Batch]]="","",tblRegister[[#This Row],[OUT Total After Sale]]-tblRegister[[#This Row],[OUT Quantity]])</f>
        <v/>
      </c>
      <c r="O112" s="53" t="str">
        <f t="array" aca="1" ref="O11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3" spans="2:15" x14ac:dyDescent="0.25">
      <c r="B113" s="50">
        <f>ROW()-ROW(tblRegister[[#Headers],[Ind]])</f>
        <v>110</v>
      </c>
      <c r="C113" s="60" t="str">
        <f>IF(ISBLANK(tblRegister[[#This Row],[IN Token]]),"",tblRegister[[#This Row],[Ind]])</f>
        <v/>
      </c>
      <c r="D113" s="118"/>
      <c r="E113" s="51"/>
      <c r="F113" s="111"/>
      <c r="G113" s="51"/>
      <c r="H113" s="111"/>
      <c r="I113" s="63" t="str">
        <f t="array" aca="1" ref="I113" ca="1">IFERROR(IF(tblRegister[[#This Row],[OUT Token]]=DefCurrency,tblRegister[[#This Row],[OUT Quantity]],
      SUMPRODUCT($J$3:J112,
      IF(IF($E$3:E112 = tblRegister[[#This Row],[OUT Token]],tblRegister[[#This Row],[OUT Quantity]]-$L$3:L112+tblRegister[[#This Row],[OUT Total Before Sale]]+$F$3:F112,0)  &gt; IF(ISERROR(IF($E$3:E112 = tblRegister[[#This Row],[OUT Token]],$L$3:L112,N/A)-tblRegister[[#This Row],[OUT Total Before Sale]]),0,
            IF(IF($E$3:E112 = tblRegister[[#This Row],[OUT Token]],$L$3:L112,N/A)-tblRegister[[#This Row],[OUT Total Before Sale]]&lt;0,0,
                  IF(IF($E$3:E112 = tblRegister[[#This Row],[OUT Token]],$L$3:L112,tblRegister[[#This Row],[OUT Total Before Sale]])-tblRegister[[#This Row],[OUT Total Before Sale]]&lt;IF($E$3:E112 = tblRegister[[#This Row],[OUT Token]],$F$3:F112,0),
                        IF($E$3:E112 = tblRegister[[#This Row],[OUT Token]],$L$3:L112 - tblRegister[[#This Row],[OUT Total Before Sale]],0),
                        IF($E$3:E112 = tblRegister[[#This Row],[OUT Token]],$F$3:F112,0)
                  )
            )
      ),
     IF(ISERROR(IF($E$3:E112 = tblRegister[[#This Row],[OUT Token]],$L$3:L112,N/A)-tblRegister[[#This Row],[OUT Total Before Sale]]),0,
            IF(IF($E$3:E112 = tblRegister[[#This Row],[OUT Token]],$L$3:L112,N/A)-tblRegister[[#This Row],[OUT Total Before Sale]]&lt;0,0,
                  IF(IF($E$3:E112 = tblRegister[[#This Row],[OUT Token]],$L$3:L112,tblRegister[[#This Row],[OUT Total Before Sale]])-tblRegister[[#This Row],[OUT Total Before Sale]]&lt;IF($E$3:E112 = tblRegister[[#This Row],[OUT Token]],$F$3:F112,0),
                        IF($E$3:E112 = tblRegister[[#This Row],[OUT Token]],$L$3:L112 - tblRegister[[#This Row],[OUT Total Before Sale]],0),
                        IF($E$3:E112 = tblRegister[[#This Row],[OUT Token]],$F$3:F112,0)
                  )
            )
      ),
      IF(IF($E$3:E112 = tblRegister[[#This Row],[OUT Token]],tblRegister[[#This Row],[OUT Quantity]]-$L$3:L112+tblRegister[[#This Row],[OUT Total Before Sale]]+$F$3:F112,1) &lt;0,0,
           IF($E$3:E112 = tblRegister[[#This Row],[OUT Token]],tblRegister[[#This Row],[OUT Quantity]]-$L$3:L112+tblRegister[[#This Row],[OUT Total Before Sale]]+$F$3:F112,0)))))/tblRegister[[#This Row],[OUT Quantity]],"")</f>
        <v/>
      </c>
      <c r="J113" s="63" t="str">
        <f ca="1">IFERROR(tblRegister[[#This Row],[OUT Book Price]]*tblRegister[[#This Row],[OUT Quantity]]/tblRegister[[#This Row],[IN Quantity]],"")</f>
        <v/>
      </c>
      <c r="K113" s="63" t="str">
        <f>IFERROR(IF(tblRegister[[#This Row],[IN Token]]=DefCurrency,tblRegister[[#This Row],[IN Quantity]]*(1-tblRegister[[#This Row],[IN Price]]),""),"")</f>
        <v/>
      </c>
      <c r="L113" s="52" t="str">
        <f t="array" aca="1" ref="L11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3" s="52" t="str">
        <f t="array" ref="N113">IF(tblRegister[[#This Row],[Batch]]="","",tblRegister[[#This Row],[OUT Total After Sale]]-tblRegister[[#This Row],[OUT Quantity]])</f>
        <v/>
      </c>
      <c r="O113" s="53" t="str">
        <f t="array" aca="1" ref="O11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4" spans="2:15" x14ac:dyDescent="0.25">
      <c r="B114" s="50">
        <f>ROW()-ROW(tblRegister[[#Headers],[Ind]])</f>
        <v>111</v>
      </c>
      <c r="C114" s="60" t="str">
        <f>IF(ISBLANK(tblRegister[[#This Row],[IN Token]]),"",tblRegister[[#This Row],[Ind]])</f>
        <v/>
      </c>
      <c r="D114" s="118"/>
      <c r="E114" s="51"/>
      <c r="F114" s="111"/>
      <c r="G114" s="51"/>
      <c r="H114" s="111"/>
      <c r="I114" s="63" t="str">
        <f t="array" aca="1" ref="I114" ca="1">IFERROR(IF(tblRegister[[#This Row],[OUT Token]]=DefCurrency,tblRegister[[#This Row],[OUT Quantity]],
      SUMPRODUCT($J$3:J113,
      IF(IF($E$3:E113 = tblRegister[[#This Row],[OUT Token]],tblRegister[[#This Row],[OUT Quantity]]-$L$3:L113+tblRegister[[#This Row],[OUT Total Before Sale]]+$F$3:F113,0)  &gt; IF(ISERROR(IF($E$3:E113 = tblRegister[[#This Row],[OUT Token]],$L$3:L113,N/A)-tblRegister[[#This Row],[OUT Total Before Sale]]),0,
            IF(IF($E$3:E113 = tblRegister[[#This Row],[OUT Token]],$L$3:L113,N/A)-tblRegister[[#This Row],[OUT Total Before Sale]]&lt;0,0,
                  IF(IF($E$3:E113 = tblRegister[[#This Row],[OUT Token]],$L$3:L113,tblRegister[[#This Row],[OUT Total Before Sale]])-tblRegister[[#This Row],[OUT Total Before Sale]]&lt;IF($E$3:E113 = tblRegister[[#This Row],[OUT Token]],$F$3:F113,0),
                        IF($E$3:E113 = tblRegister[[#This Row],[OUT Token]],$L$3:L113 - tblRegister[[#This Row],[OUT Total Before Sale]],0),
                        IF($E$3:E113 = tblRegister[[#This Row],[OUT Token]],$F$3:F113,0)
                  )
            )
      ),
     IF(ISERROR(IF($E$3:E113 = tblRegister[[#This Row],[OUT Token]],$L$3:L113,N/A)-tblRegister[[#This Row],[OUT Total Before Sale]]),0,
            IF(IF($E$3:E113 = tblRegister[[#This Row],[OUT Token]],$L$3:L113,N/A)-tblRegister[[#This Row],[OUT Total Before Sale]]&lt;0,0,
                  IF(IF($E$3:E113 = tblRegister[[#This Row],[OUT Token]],$L$3:L113,tblRegister[[#This Row],[OUT Total Before Sale]])-tblRegister[[#This Row],[OUT Total Before Sale]]&lt;IF($E$3:E113 = tblRegister[[#This Row],[OUT Token]],$F$3:F113,0),
                        IF($E$3:E113 = tblRegister[[#This Row],[OUT Token]],$L$3:L113 - tblRegister[[#This Row],[OUT Total Before Sale]],0),
                        IF($E$3:E113 = tblRegister[[#This Row],[OUT Token]],$F$3:F113,0)
                  )
            )
      ),
      IF(IF($E$3:E113 = tblRegister[[#This Row],[OUT Token]],tblRegister[[#This Row],[OUT Quantity]]-$L$3:L113+tblRegister[[#This Row],[OUT Total Before Sale]]+$F$3:F113,1) &lt;0,0,
           IF($E$3:E113 = tblRegister[[#This Row],[OUT Token]],tblRegister[[#This Row],[OUT Quantity]]-$L$3:L113+tblRegister[[#This Row],[OUT Total Before Sale]]+$F$3:F113,0)))))/tblRegister[[#This Row],[OUT Quantity]],"")</f>
        <v/>
      </c>
      <c r="J114" s="63" t="str">
        <f ca="1">IFERROR(tblRegister[[#This Row],[OUT Book Price]]*tblRegister[[#This Row],[OUT Quantity]]/tblRegister[[#This Row],[IN Quantity]],"")</f>
        <v/>
      </c>
      <c r="K114" s="63" t="str">
        <f>IFERROR(IF(tblRegister[[#This Row],[IN Token]]=DefCurrency,tblRegister[[#This Row],[IN Quantity]]*(1-tblRegister[[#This Row],[IN Price]]),""),"")</f>
        <v/>
      </c>
      <c r="L114" s="52" t="str">
        <f t="array" aca="1" ref="L11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4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4" s="52" t="str">
        <f t="array" ref="N114">IF(tblRegister[[#This Row],[Batch]]="","",tblRegister[[#This Row],[OUT Total After Sale]]-tblRegister[[#This Row],[OUT Quantity]])</f>
        <v/>
      </c>
      <c r="O114" s="53" t="str">
        <f t="array" aca="1" ref="O11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5" spans="2:15" x14ac:dyDescent="0.25">
      <c r="B115" s="50">
        <f>ROW()-ROW(tblRegister[[#Headers],[Ind]])</f>
        <v>112</v>
      </c>
      <c r="C115" s="60" t="str">
        <f>IF(ISBLANK(tblRegister[[#This Row],[IN Token]]),"",tblRegister[[#This Row],[Ind]])</f>
        <v/>
      </c>
      <c r="D115" s="118"/>
      <c r="E115" s="51"/>
      <c r="F115" s="111"/>
      <c r="G115" s="51"/>
      <c r="H115" s="111"/>
      <c r="I115" s="63" t="str">
        <f t="array" aca="1" ref="I115" ca="1">IFERROR(IF(tblRegister[[#This Row],[OUT Token]]=DefCurrency,tblRegister[[#This Row],[OUT Quantity]],
      SUMPRODUCT($J$3:J114,
      IF(IF($E$3:E114 = tblRegister[[#This Row],[OUT Token]],tblRegister[[#This Row],[OUT Quantity]]-$L$3:L114+tblRegister[[#This Row],[OUT Total Before Sale]]+$F$3:F114,0)  &gt; IF(ISERROR(IF($E$3:E114 = tblRegister[[#This Row],[OUT Token]],$L$3:L114,N/A)-tblRegister[[#This Row],[OUT Total Before Sale]]),0,
            IF(IF($E$3:E114 = tblRegister[[#This Row],[OUT Token]],$L$3:L114,N/A)-tblRegister[[#This Row],[OUT Total Before Sale]]&lt;0,0,
                  IF(IF($E$3:E114 = tblRegister[[#This Row],[OUT Token]],$L$3:L114,tblRegister[[#This Row],[OUT Total Before Sale]])-tblRegister[[#This Row],[OUT Total Before Sale]]&lt;IF($E$3:E114 = tblRegister[[#This Row],[OUT Token]],$F$3:F114,0),
                        IF($E$3:E114 = tblRegister[[#This Row],[OUT Token]],$L$3:L114 - tblRegister[[#This Row],[OUT Total Before Sale]],0),
                        IF($E$3:E114 = tblRegister[[#This Row],[OUT Token]],$F$3:F114,0)
                  )
            )
      ),
     IF(ISERROR(IF($E$3:E114 = tblRegister[[#This Row],[OUT Token]],$L$3:L114,N/A)-tblRegister[[#This Row],[OUT Total Before Sale]]),0,
            IF(IF($E$3:E114 = tblRegister[[#This Row],[OUT Token]],$L$3:L114,N/A)-tblRegister[[#This Row],[OUT Total Before Sale]]&lt;0,0,
                  IF(IF($E$3:E114 = tblRegister[[#This Row],[OUT Token]],$L$3:L114,tblRegister[[#This Row],[OUT Total Before Sale]])-tblRegister[[#This Row],[OUT Total Before Sale]]&lt;IF($E$3:E114 = tblRegister[[#This Row],[OUT Token]],$F$3:F114,0),
                        IF($E$3:E114 = tblRegister[[#This Row],[OUT Token]],$L$3:L114 - tblRegister[[#This Row],[OUT Total Before Sale]],0),
                        IF($E$3:E114 = tblRegister[[#This Row],[OUT Token]],$F$3:F114,0)
                  )
            )
      ),
      IF(IF($E$3:E114 = tblRegister[[#This Row],[OUT Token]],tblRegister[[#This Row],[OUT Quantity]]-$L$3:L114+tblRegister[[#This Row],[OUT Total Before Sale]]+$F$3:F114,1) &lt;0,0,
           IF($E$3:E114 = tblRegister[[#This Row],[OUT Token]],tblRegister[[#This Row],[OUT Quantity]]-$L$3:L114+tblRegister[[#This Row],[OUT Total Before Sale]]+$F$3:F114,0)))))/tblRegister[[#This Row],[OUT Quantity]],"")</f>
        <v/>
      </c>
      <c r="J115" s="63" t="str">
        <f ca="1">IFERROR(tblRegister[[#This Row],[OUT Book Price]]*tblRegister[[#This Row],[OUT Quantity]]/tblRegister[[#This Row],[IN Quantity]],"")</f>
        <v/>
      </c>
      <c r="K115" s="63" t="str">
        <f>IFERROR(IF(tblRegister[[#This Row],[IN Token]]=DefCurrency,tblRegister[[#This Row],[IN Quantity]]*(1-tblRegister[[#This Row],[IN Price]]),""),"")</f>
        <v/>
      </c>
      <c r="L115" s="52" t="str">
        <f t="array" aca="1" ref="L115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5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5" s="52" t="str">
        <f t="array" ref="N115">IF(tblRegister[[#This Row],[Batch]]="","",tblRegister[[#This Row],[OUT Total After Sale]]-tblRegister[[#This Row],[OUT Quantity]])</f>
        <v/>
      </c>
      <c r="O115" s="53" t="str">
        <f t="array" aca="1" ref="O115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6" spans="2:15" x14ac:dyDescent="0.25">
      <c r="B116" s="50">
        <f>ROW()-ROW(tblRegister[[#Headers],[Ind]])</f>
        <v>113</v>
      </c>
      <c r="C116" s="60" t="str">
        <f>IF(ISBLANK(tblRegister[[#This Row],[IN Token]]),"",tblRegister[[#This Row],[Ind]])</f>
        <v/>
      </c>
      <c r="D116" s="118"/>
      <c r="E116" s="51"/>
      <c r="F116" s="111"/>
      <c r="G116" s="51"/>
      <c r="H116" s="111"/>
      <c r="I116" s="63" t="str">
        <f t="array" aca="1" ref="I116" ca="1">IFERROR(IF(tblRegister[[#This Row],[OUT Token]]=DefCurrency,tblRegister[[#This Row],[OUT Quantity]],
      SUMPRODUCT($J$3:J115,
      IF(IF($E$3:E115 = tblRegister[[#This Row],[OUT Token]],tblRegister[[#This Row],[OUT Quantity]]-$L$3:L115+tblRegister[[#This Row],[OUT Total Before Sale]]+$F$3:F115,0)  &gt; IF(ISERROR(IF($E$3:E115 = tblRegister[[#This Row],[OUT Token]],$L$3:L115,N/A)-tblRegister[[#This Row],[OUT Total Before Sale]]),0,
            IF(IF($E$3:E115 = tblRegister[[#This Row],[OUT Token]],$L$3:L115,N/A)-tblRegister[[#This Row],[OUT Total Before Sale]]&lt;0,0,
                  IF(IF($E$3:E115 = tblRegister[[#This Row],[OUT Token]],$L$3:L115,tblRegister[[#This Row],[OUT Total Before Sale]])-tblRegister[[#This Row],[OUT Total Before Sale]]&lt;IF($E$3:E115 = tblRegister[[#This Row],[OUT Token]],$F$3:F115,0),
                        IF($E$3:E115 = tblRegister[[#This Row],[OUT Token]],$L$3:L115 - tblRegister[[#This Row],[OUT Total Before Sale]],0),
                        IF($E$3:E115 = tblRegister[[#This Row],[OUT Token]],$F$3:F115,0)
                  )
            )
      ),
     IF(ISERROR(IF($E$3:E115 = tblRegister[[#This Row],[OUT Token]],$L$3:L115,N/A)-tblRegister[[#This Row],[OUT Total Before Sale]]),0,
            IF(IF($E$3:E115 = tblRegister[[#This Row],[OUT Token]],$L$3:L115,N/A)-tblRegister[[#This Row],[OUT Total Before Sale]]&lt;0,0,
                  IF(IF($E$3:E115 = tblRegister[[#This Row],[OUT Token]],$L$3:L115,tblRegister[[#This Row],[OUT Total Before Sale]])-tblRegister[[#This Row],[OUT Total Before Sale]]&lt;IF($E$3:E115 = tblRegister[[#This Row],[OUT Token]],$F$3:F115,0),
                        IF($E$3:E115 = tblRegister[[#This Row],[OUT Token]],$L$3:L115 - tblRegister[[#This Row],[OUT Total Before Sale]],0),
                        IF($E$3:E115 = tblRegister[[#This Row],[OUT Token]],$F$3:F115,0)
                  )
            )
      ),
      IF(IF($E$3:E115 = tblRegister[[#This Row],[OUT Token]],tblRegister[[#This Row],[OUT Quantity]]-$L$3:L115+tblRegister[[#This Row],[OUT Total Before Sale]]+$F$3:F115,1) &lt;0,0,
           IF($E$3:E115 = tblRegister[[#This Row],[OUT Token]],tblRegister[[#This Row],[OUT Quantity]]-$L$3:L115+tblRegister[[#This Row],[OUT Total Before Sale]]+$F$3:F115,0)))))/tblRegister[[#This Row],[OUT Quantity]],"")</f>
        <v/>
      </c>
      <c r="J116" s="63" t="str">
        <f ca="1">IFERROR(tblRegister[[#This Row],[OUT Book Price]]*tblRegister[[#This Row],[OUT Quantity]]/tblRegister[[#This Row],[IN Quantity]],"")</f>
        <v/>
      </c>
      <c r="K116" s="63" t="str">
        <f>IFERROR(IF(tblRegister[[#This Row],[IN Token]]=DefCurrency,tblRegister[[#This Row],[IN Quantity]]*(1-tblRegister[[#This Row],[IN Price]]),""),"")</f>
        <v/>
      </c>
      <c r="L116" s="52" t="str">
        <f t="array" aca="1" ref="L116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6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6" s="52" t="str">
        <f t="array" ref="N116">IF(tblRegister[[#This Row],[Batch]]="","",tblRegister[[#This Row],[OUT Total After Sale]]-tblRegister[[#This Row],[OUT Quantity]])</f>
        <v/>
      </c>
      <c r="O116" s="53" t="str">
        <f t="array" aca="1" ref="O116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7" spans="2:15" x14ac:dyDescent="0.25">
      <c r="B117" s="50">
        <f>ROW()-ROW(tblRegister[[#Headers],[Ind]])</f>
        <v>114</v>
      </c>
      <c r="C117" s="60" t="str">
        <f>IF(ISBLANK(tblRegister[[#This Row],[IN Token]]),"",tblRegister[[#This Row],[Ind]])</f>
        <v/>
      </c>
      <c r="D117" s="118"/>
      <c r="E117" s="51"/>
      <c r="F117" s="111"/>
      <c r="G117" s="51"/>
      <c r="H117" s="111"/>
      <c r="I117" s="63" t="str">
        <f t="array" aca="1" ref="I117" ca="1">IFERROR(IF(tblRegister[[#This Row],[OUT Token]]=DefCurrency,tblRegister[[#This Row],[OUT Quantity]],
      SUMPRODUCT($J$3:J116,
      IF(IF($E$3:E116 = tblRegister[[#This Row],[OUT Token]],tblRegister[[#This Row],[OUT Quantity]]-$L$3:L116+tblRegister[[#This Row],[OUT Total Before Sale]]+$F$3:F116,0)  &gt; IF(ISERROR(IF($E$3:E116 = tblRegister[[#This Row],[OUT Token]],$L$3:L116,N/A)-tblRegister[[#This Row],[OUT Total Before Sale]]),0,
            IF(IF($E$3:E116 = tblRegister[[#This Row],[OUT Token]],$L$3:L116,N/A)-tblRegister[[#This Row],[OUT Total Before Sale]]&lt;0,0,
                  IF(IF($E$3:E116 = tblRegister[[#This Row],[OUT Token]],$L$3:L116,tblRegister[[#This Row],[OUT Total Before Sale]])-tblRegister[[#This Row],[OUT Total Before Sale]]&lt;IF($E$3:E116 = tblRegister[[#This Row],[OUT Token]],$F$3:F116,0),
                        IF($E$3:E116 = tblRegister[[#This Row],[OUT Token]],$L$3:L116 - tblRegister[[#This Row],[OUT Total Before Sale]],0),
                        IF($E$3:E116 = tblRegister[[#This Row],[OUT Token]],$F$3:F116,0)
                  )
            )
      ),
     IF(ISERROR(IF($E$3:E116 = tblRegister[[#This Row],[OUT Token]],$L$3:L116,N/A)-tblRegister[[#This Row],[OUT Total Before Sale]]),0,
            IF(IF($E$3:E116 = tblRegister[[#This Row],[OUT Token]],$L$3:L116,N/A)-tblRegister[[#This Row],[OUT Total Before Sale]]&lt;0,0,
                  IF(IF($E$3:E116 = tblRegister[[#This Row],[OUT Token]],$L$3:L116,tblRegister[[#This Row],[OUT Total Before Sale]])-tblRegister[[#This Row],[OUT Total Before Sale]]&lt;IF($E$3:E116 = tblRegister[[#This Row],[OUT Token]],$F$3:F116,0),
                        IF($E$3:E116 = tblRegister[[#This Row],[OUT Token]],$L$3:L116 - tblRegister[[#This Row],[OUT Total Before Sale]],0),
                        IF($E$3:E116 = tblRegister[[#This Row],[OUT Token]],$F$3:F116,0)
                  )
            )
      ),
      IF(IF($E$3:E116 = tblRegister[[#This Row],[OUT Token]],tblRegister[[#This Row],[OUT Quantity]]-$L$3:L116+tblRegister[[#This Row],[OUT Total Before Sale]]+$F$3:F116,1) &lt;0,0,
           IF($E$3:E116 = tblRegister[[#This Row],[OUT Token]],tblRegister[[#This Row],[OUT Quantity]]-$L$3:L116+tblRegister[[#This Row],[OUT Total Before Sale]]+$F$3:F116,0)))))/tblRegister[[#This Row],[OUT Quantity]],"")</f>
        <v/>
      </c>
      <c r="J117" s="63" t="str">
        <f ca="1">IFERROR(tblRegister[[#This Row],[OUT Book Price]]*tblRegister[[#This Row],[OUT Quantity]]/tblRegister[[#This Row],[IN Quantity]],"")</f>
        <v/>
      </c>
      <c r="K117" s="63" t="str">
        <f>IFERROR(IF(tblRegister[[#This Row],[IN Token]]=DefCurrency,tblRegister[[#This Row],[IN Quantity]]*(1-tblRegister[[#This Row],[IN Price]]),""),"")</f>
        <v/>
      </c>
      <c r="L117" s="52" t="str">
        <f t="array" aca="1" ref="L117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7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7" s="52" t="str">
        <f t="array" ref="N117">IF(tblRegister[[#This Row],[Batch]]="","",tblRegister[[#This Row],[OUT Total After Sale]]-tblRegister[[#This Row],[OUT Quantity]])</f>
        <v/>
      </c>
      <c r="O117" s="53" t="str">
        <f t="array" aca="1" ref="O117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8" spans="2:15" x14ac:dyDescent="0.25">
      <c r="B118" s="50">
        <f>ROW()-ROW(tblRegister[[#Headers],[Ind]])</f>
        <v>115</v>
      </c>
      <c r="C118" s="60" t="str">
        <f>IF(ISBLANK(tblRegister[[#This Row],[IN Token]]),"",tblRegister[[#This Row],[Ind]])</f>
        <v/>
      </c>
      <c r="D118" s="118"/>
      <c r="E118" s="51"/>
      <c r="F118" s="111"/>
      <c r="G118" s="51"/>
      <c r="H118" s="111"/>
      <c r="I118" s="63" t="str">
        <f t="array" aca="1" ref="I118" ca="1">IFERROR(IF(tblRegister[[#This Row],[OUT Token]]=DefCurrency,tblRegister[[#This Row],[OUT Quantity]],
      SUMPRODUCT($J$3:J117,
      IF(IF($E$3:E117 = tblRegister[[#This Row],[OUT Token]],tblRegister[[#This Row],[OUT Quantity]]-$L$3:L117+tblRegister[[#This Row],[OUT Total Before Sale]]+$F$3:F117,0)  &gt; IF(ISERROR(IF($E$3:E117 = tblRegister[[#This Row],[OUT Token]],$L$3:L117,N/A)-tblRegister[[#This Row],[OUT Total Before Sale]]),0,
            IF(IF($E$3:E117 = tblRegister[[#This Row],[OUT Token]],$L$3:L117,N/A)-tblRegister[[#This Row],[OUT Total Before Sale]]&lt;0,0,
                  IF(IF($E$3:E117 = tblRegister[[#This Row],[OUT Token]],$L$3:L117,tblRegister[[#This Row],[OUT Total Before Sale]])-tblRegister[[#This Row],[OUT Total Before Sale]]&lt;IF($E$3:E117 = tblRegister[[#This Row],[OUT Token]],$F$3:F117,0),
                        IF($E$3:E117 = tblRegister[[#This Row],[OUT Token]],$L$3:L117 - tblRegister[[#This Row],[OUT Total Before Sale]],0),
                        IF($E$3:E117 = tblRegister[[#This Row],[OUT Token]],$F$3:F117,0)
                  )
            )
      ),
     IF(ISERROR(IF($E$3:E117 = tblRegister[[#This Row],[OUT Token]],$L$3:L117,N/A)-tblRegister[[#This Row],[OUT Total Before Sale]]),0,
            IF(IF($E$3:E117 = tblRegister[[#This Row],[OUT Token]],$L$3:L117,N/A)-tblRegister[[#This Row],[OUT Total Before Sale]]&lt;0,0,
                  IF(IF($E$3:E117 = tblRegister[[#This Row],[OUT Token]],$L$3:L117,tblRegister[[#This Row],[OUT Total Before Sale]])-tblRegister[[#This Row],[OUT Total Before Sale]]&lt;IF($E$3:E117 = tblRegister[[#This Row],[OUT Token]],$F$3:F117,0),
                        IF($E$3:E117 = tblRegister[[#This Row],[OUT Token]],$L$3:L117 - tblRegister[[#This Row],[OUT Total Before Sale]],0),
                        IF($E$3:E117 = tblRegister[[#This Row],[OUT Token]],$F$3:F117,0)
                  )
            )
      ),
      IF(IF($E$3:E117 = tblRegister[[#This Row],[OUT Token]],tblRegister[[#This Row],[OUT Quantity]]-$L$3:L117+tblRegister[[#This Row],[OUT Total Before Sale]]+$F$3:F117,1) &lt;0,0,
           IF($E$3:E117 = tblRegister[[#This Row],[OUT Token]],tblRegister[[#This Row],[OUT Quantity]]-$L$3:L117+tblRegister[[#This Row],[OUT Total Before Sale]]+$F$3:F117,0)))))/tblRegister[[#This Row],[OUT Quantity]],"")</f>
        <v/>
      </c>
      <c r="J118" s="63" t="str">
        <f ca="1">IFERROR(tblRegister[[#This Row],[OUT Book Price]]*tblRegister[[#This Row],[OUT Quantity]]/tblRegister[[#This Row],[IN Quantity]],"")</f>
        <v/>
      </c>
      <c r="K118" s="63" t="str">
        <f>IFERROR(IF(tblRegister[[#This Row],[IN Token]]=DefCurrency,tblRegister[[#This Row],[IN Quantity]]*(1-tblRegister[[#This Row],[IN Price]]),""),"")</f>
        <v/>
      </c>
      <c r="L118" s="52" t="str">
        <f t="array" aca="1" ref="L118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8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8" s="52" t="str">
        <f t="array" ref="N118">IF(tblRegister[[#This Row],[Batch]]="","",tblRegister[[#This Row],[OUT Total After Sale]]-tblRegister[[#This Row],[OUT Quantity]])</f>
        <v/>
      </c>
      <c r="O118" s="53" t="str">
        <f t="array" aca="1" ref="O118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19" spans="2:15" x14ac:dyDescent="0.25">
      <c r="B119" s="54">
        <f>ROW()-ROW(tblRegister[[#Headers],[Ind]])</f>
        <v>116</v>
      </c>
      <c r="C119" s="61" t="str">
        <f>IF(ISBLANK(tblRegister[[#This Row],[IN Token]]),"",tblRegister[[#This Row],[Ind]])</f>
        <v/>
      </c>
      <c r="D119" s="119"/>
      <c r="E119" s="55"/>
      <c r="F119" s="112"/>
      <c r="G119" s="55"/>
      <c r="H119" s="112"/>
      <c r="I119" s="65" t="str">
        <f t="array" aca="1" ref="I119" ca="1">IFERROR(IF(tblRegister[[#This Row],[OUT Token]]=DefCurrency,tblRegister[[#This Row],[OUT Quantity]],
      SUMPRODUCT($J$3:J118,
      IF(IF($E$3:E118 = tblRegister[[#This Row],[OUT Token]],tblRegister[[#This Row],[OUT Quantity]]-$L$3:L118+tblRegister[[#This Row],[OUT Total Before Sale]]+$F$3:F118,0)  &gt; IF(ISERROR(IF($E$3:E118 = tblRegister[[#This Row],[OUT Token]],$L$3:L118,N/A)-tblRegister[[#This Row],[OUT Total Before Sale]]),0,
            IF(IF($E$3:E118 = tblRegister[[#This Row],[OUT Token]],$L$3:L118,N/A)-tblRegister[[#This Row],[OUT Total Before Sale]]&lt;0,0,
                  IF(IF($E$3:E118 = tblRegister[[#This Row],[OUT Token]],$L$3:L118,tblRegister[[#This Row],[OUT Total Before Sale]])-tblRegister[[#This Row],[OUT Total Before Sale]]&lt;IF($E$3:E118 = tblRegister[[#This Row],[OUT Token]],$F$3:F118,0),
                        IF($E$3:E118 = tblRegister[[#This Row],[OUT Token]],$L$3:L118 - tblRegister[[#This Row],[OUT Total Before Sale]],0),
                        IF($E$3:E118 = tblRegister[[#This Row],[OUT Token]],$F$3:F118,0)
                  )
            )
      ),
     IF(ISERROR(IF($E$3:E118 = tblRegister[[#This Row],[OUT Token]],$L$3:L118,N/A)-tblRegister[[#This Row],[OUT Total Before Sale]]),0,
            IF(IF($E$3:E118 = tblRegister[[#This Row],[OUT Token]],$L$3:L118,N/A)-tblRegister[[#This Row],[OUT Total Before Sale]]&lt;0,0,
                  IF(IF($E$3:E118 = tblRegister[[#This Row],[OUT Token]],$L$3:L118,tblRegister[[#This Row],[OUT Total Before Sale]])-tblRegister[[#This Row],[OUT Total Before Sale]]&lt;IF($E$3:E118 = tblRegister[[#This Row],[OUT Token]],$F$3:F118,0),
                        IF($E$3:E118 = tblRegister[[#This Row],[OUT Token]],$L$3:L118 - tblRegister[[#This Row],[OUT Total Before Sale]],0),
                        IF($E$3:E118 = tblRegister[[#This Row],[OUT Token]],$F$3:F118,0)
                  )
            )
      ),
      IF(IF($E$3:E118 = tblRegister[[#This Row],[OUT Token]],tblRegister[[#This Row],[OUT Quantity]]-$L$3:L118+tblRegister[[#This Row],[OUT Total Before Sale]]+$F$3:F118,1) &lt;0,0,
           IF($E$3:E118 = tblRegister[[#This Row],[OUT Token]],tblRegister[[#This Row],[OUT Quantity]]-$L$3:L118+tblRegister[[#This Row],[OUT Total Before Sale]]+$F$3:F118,0)))))/tblRegister[[#This Row],[OUT Quantity]],"")</f>
        <v/>
      </c>
      <c r="J119" s="65" t="str">
        <f ca="1">IFERROR(tblRegister[[#This Row],[OUT Book Price]]*tblRegister[[#This Row],[OUT Quantity]]/tblRegister[[#This Row],[IN Quantity]],"")</f>
        <v/>
      </c>
      <c r="K119" s="65" t="str">
        <f>IFERROR(IF(tblRegister[[#This Row],[IN Token]]=DefCurrency,tblRegister[[#This Row],[IN Quantity]]*(1-tblRegister[[#This Row],[IN Price]]),""),"")</f>
        <v/>
      </c>
      <c r="L119" s="56" t="str">
        <f t="array" aca="1" ref="L119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19" s="56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19" s="56" t="str">
        <f t="array" ref="N119">IF(tblRegister[[#This Row],[Batch]]="","",tblRegister[[#This Row],[OUT Total After Sale]]-tblRegister[[#This Row],[OUT Quantity]])</f>
        <v/>
      </c>
      <c r="O119" s="57" t="str">
        <f t="array" aca="1" ref="O119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20" spans="2:15" x14ac:dyDescent="0.25">
      <c r="B120" s="50">
        <f>ROW()-ROW(tblRegister[[#Headers],[Ind]])</f>
        <v>117</v>
      </c>
      <c r="C120" s="60" t="str">
        <f>IF(ISBLANK(tblRegister[[#This Row],[IN Token]]),"",tblRegister[[#This Row],[Ind]])</f>
        <v/>
      </c>
      <c r="D120" s="118"/>
      <c r="E120" s="51"/>
      <c r="F120" s="111"/>
      <c r="G120" s="51"/>
      <c r="H120" s="111"/>
      <c r="I120" s="63" t="str">
        <f t="array" aca="1" ref="I120" ca="1">IFERROR(IF(tblRegister[[#This Row],[OUT Token]]=DefCurrency,tblRegister[[#This Row],[OUT Quantity]],
      SUMPRODUCT($J$3:J119,
      IF(IF($E$3:E119 = tblRegister[[#This Row],[OUT Token]],tblRegister[[#This Row],[OUT Quantity]]-$L$3:L119+tblRegister[[#This Row],[OUT Total Before Sale]]+$F$3:F119,0)  &gt; IF(ISERROR(IF($E$3:E119 = tblRegister[[#This Row],[OUT Token]],$L$3:L119,N/A)-tblRegister[[#This Row],[OUT Total Before Sale]]),0,
            IF(IF($E$3:E119 = tblRegister[[#This Row],[OUT Token]],$L$3:L119,N/A)-tblRegister[[#This Row],[OUT Total Before Sale]]&lt;0,0,
                  IF(IF($E$3:E119 = tblRegister[[#This Row],[OUT Token]],$L$3:L119,tblRegister[[#This Row],[OUT Total Before Sale]])-tblRegister[[#This Row],[OUT Total Before Sale]]&lt;IF($E$3:E119 = tblRegister[[#This Row],[OUT Token]],$F$3:F119,0),
                        IF($E$3:E119 = tblRegister[[#This Row],[OUT Token]],$L$3:L119 - tblRegister[[#This Row],[OUT Total Before Sale]],0),
                        IF($E$3:E119 = tblRegister[[#This Row],[OUT Token]],$F$3:F119,0)
                  )
            )
      ),
     IF(ISERROR(IF($E$3:E119 = tblRegister[[#This Row],[OUT Token]],$L$3:L119,N/A)-tblRegister[[#This Row],[OUT Total Before Sale]]),0,
            IF(IF($E$3:E119 = tblRegister[[#This Row],[OUT Token]],$L$3:L119,N/A)-tblRegister[[#This Row],[OUT Total Before Sale]]&lt;0,0,
                  IF(IF($E$3:E119 = tblRegister[[#This Row],[OUT Token]],$L$3:L119,tblRegister[[#This Row],[OUT Total Before Sale]])-tblRegister[[#This Row],[OUT Total Before Sale]]&lt;IF($E$3:E119 = tblRegister[[#This Row],[OUT Token]],$F$3:F119,0),
                        IF($E$3:E119 = tblRegister[[#This Row],[OUT Token]],$L$3:L119 - tblRegister[[#This Row],[OUT Total Before Sale]],0),
                        IF($E$3:E119 = tblRegister[[#This Row],[OUT Token]],$F$3:F119,0)
                  )
            )
      ),
      IF(IF($E$3:E119 = tblRegister[[#This Row],[OUT Token]],tblRegister[[#This Row],[OUT Quantity]]-$L$3:L119+tblRegister[[#This Row],[OUT Total Before Sale]]+$F$3:F119,1) &lt;0,0,
           IF($E$3:E119 = tblRegister[[#This Row],[OUT Token]],tblRegister[[#This Row],[OUT Quantity]]-$L$3:L119+tblRegister[[#This Row],[OUT Total Before Sale]]+$F$3:F119,0)))))/tblRegister[[#This Row],[OUT Quantity]],"")</f>
        <v/>
      </c>
      <c r="J120" s="63" t="str">
        <f ca="1">IFERROR(tblRegister[[#This Row],[OUT Book Price]]*tblRegister[[#This Row],[OUT Quantity]]/tblRegister[[#This Row],[IN Quantity]],"")</f>
        <v/>
      </c>
      <c r="K120" s="63" t="str">
        <f>IFERROR(IF(tblRegister[[#This Row],[IN Token]]=DefCurrency,tblRegister[[#This Row],[IN Quantity]]*(1-tblRegister[[#This Row],[IN Price]]),""),"")</f>
        <v/>
      </c>
      <c r="L120" s="52" t="str">
        <f t="array" aca="1" ref="L120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20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20" s="52" t="str">
        <f t="array" ref="N120">IF(tblRegister[[#This Row],[Batch]]="","",tblRegister[[#This Row],[OUT Total After Sale]]-tblRegister[[#This Row],[OUT Quantity]])</f>
        <v/>
      </c>
      <c r="O120" s="53" t="str">
        <f t="array" aca="1" ref="O120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21" spans="2:15" x14ac:dyDescent="0.25">
      <c r="B121" s="50">
        <f>ROW()-ROW(tblRegister[[#Headers],[Ind]])</f>
        <v>118</v>
      </c>
      <c r="C121" s="60" t="str">
        <f>IF(ISBLANK(tblRegister[[#This Row],[IN Token]]),"",tblRegister[[#This Row],[Ind]])</f>
        <v/>
      </c>
      <c r="D121" s="118"/>
      <c r="E121" s="51"/>
      <c r="F121" s="111"/>
      <c r="G121" s="51"/>
      <c r="H121" s="111"/>
      <c r="I121" s="63" t="str">
        <f t="array" aca="1" ref="I121" ca="1">IFERROR(IF(tblRegister[[#This Row],[OUT Token]]=DefCurrency,tblRegister[[#This Row],[OUT Quantity]],
      SUMPRODUCT($J$3:J120,
      IF(IF($E$3:E120 = tblRegister[[#This Row],[OUT Token]],tblRegister[[#This Row],[OUT Quantity]]-$L$3:L120+tblRegister[[#This Row],[OUT Total Before Sale]]+$F$3:F120,0)  &gt; IF(ISERROR(IF($E$3:E120 = tblRegister[[#This Row],[OUT Token]],$L$3:L120,N/A)-tblRegister[[#This Row],[OUT Total Before Sale]]),0,
            IF(IF($E$3:E120 = tblRegister[[#This Row],[OUT Token]],$L$3:L120,N/A)-tblRegister[[#This Row],[OUT Total Before Sale]]&lt;0,0,
                  IF(IF($E$3:E120 = tblRegister[[#This Row],[OUT Token]],$L$3:L120,tblRegister[[#This Row],[OUT Total Before Sale]])-tblRegister[[#This Row],[OUT Total Before Sale]]&lt;IF($E$3:E120 = tblRegister[[#This Row],[OUT Token]],$F$3:F120,0),
                        IF($E$3:E120 = tblRegister[[#This Row],[OUT Token]],$L$3:L120 - tblRegister[[#This Row],[OUT Total Before Sale]],0),
                        IF($E$3:E120 = tblRegister[[#This Row],[OUT Token]],$F$3:F120,0)
                  )
            )
      ),
     IF(ISERROR(IF($E$3:E120 = tblRegister[[#This Row],[OUT Token]],$L$3:L120,N/A)-tblRegister[[#This Row],[OUT Total Before Sale]]),0,
            IF(IF($E$3:E120 = tblRegister[[#This Row],[OUT Token]],$L$3:L120,N/A)-tblRegister[[#This Row],[OUT Total Before Sale]]&lt;0,0,
                  IF(IF($E$3:E120 = tblRegister[[#This Row],[OUT Token]],$L$3:L120,tblRegister[[#This Row],[OUT Total Before Sale]])-tblRegister[[#This Row],[OUT Total Before Sale]]&lt;IF($E$3:E120 = tblRegister[[#This Row],[OUT Token]],$F$3:F120,0),
                        IF($E$3:E120 = tblRegister[[#This Row],[OUT Token]],$L$3:L120 - tblRegister[[#This Row],[OUT Total Before Sale]],0),
                        IF($E$3:E120 = tblRegister[[#This Row],[OUT Token]],$F$3:F120,0)
                  )
            )
      ),
      IF(IF($E$3:E120 = tblRegister[[#This Row],[OUT Token]],tblRegister[[#This Row],[OUT Quantity]]-$L$3:L120+tblRegister[[#This Row],[OUT Total Before Sale]]+$F$3:F120,1) &lt;0,0,
           IF($E$3:E120 = tblRegister[[#This Row],[OUT Token]],tblRegister[[#This Row],[OUT Quantity]]-$L$3:L120+tblRegister[[#This Row],[OUT Total Before Sale]]+$F$3:F120,0)))))/tblRegister[[#This Row],[OUT Quantity]],"")</f>
        <v/>
      </c>
      <c r="J121" s="63" t="str">
        <f ca="1">IFERROR(tblRegister[[#This Row],[OUT Book Price]]*tblRegister[[#This Row],[OUT Quantity]]/tblRegister[[#This Row],[IN Quantity]],"")</f>
        <v/>
      </c>
      <c r="K121" s="63" t="str">
        <f>IFERROR(IF(tblRegister[[#This Row],[IN Token]]=DefCurrency,tblRegister[[#This Row],[IN Quantity]]*(1-tblRegister[[#This Row],[IN Price]]),""),"")</f>
        <v/>
      </c>
      <c r="L121" s="52" t="str">
        <f t="array" aca="1" ref="L121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21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21" s="52" t="str">
        <f t="array" ref="N121">IF(tblRegister[[#This Row],[Batch]]="","",tblRegister[[#This Row],[OUT Total After Sale]]-tblRegister[[#This Row],[OUT Quantity]])</f>
        <v/>
      </c>
      <c r="O121" s="53" t="str">
        <f t="array" aca="1" ref="O121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22" spans="2:15" x14ac:dyDescent="0.25">
      <c r="B122" s="50">
        <f>ROW()-ROW(tblRegister[[#Headers],[Ind]])</f>
        <v>119</v>
      </c>
      <c r="C122" s="60" t="str">
        <f>IF(ISBLANK(tblRegister[[#This Row],[IN Token]]),"",tblRegister[[#This Row],[Ind]])</f>
        <v/>
      </c>
      <c r="D122" s="118"/>
      <c r="E122" s="51"/>
      <c r="F122" s="111"/>
      <c r="G122" s="51"/>
      <c r="H122" s="111"/>
      <c r="I122" s="63" t="str">
        <f t="array" aca="1" ref="I122" ca="1">IFERROR(IF(tblRegister[[#This Row],[OUT Token]]=DefCurrency,tblRegister[[#This Row],[OUT Quantity]],
      SUMPRODUCT($J$3:J121,
      IF(IF($E$3:E121 = tblRegister[[#This Row],[OUT Token]],tblRegister[[#This Row],[OUT Quantity]]-$L$3:L121+tblRegister[[#This Row],[OUT Total Before Sale]]+$F$3:F121,0)  &gt; IF(ISERROR(IF($E$3:E121 = tblRegister[[#This Row],[OUT Token]],$L$3:L121,N/A)-tblRegister[[#This Row],[OUT Total Before Sale]]),0,
            IF(IF($E$3:E121 = tblRegister[[#This Row],[OUT Token]],$L$3:L121,N/A)-tblRegister[[#This Row],[OUT Total Before Sale]]&lt;0,0,
                  IF(IF($E$3:E121 = tblRegister[[#This Row],[OUT Token]],$L$3:L121,tblRegister[[#This Row],[OUT Total Before Sale]])-tblRegister[[#This Row],[OUT Total Before Sale]]&lt;IF($E$3:E121 = tblRegister[[#This Row],[OUT Token]],$F$3:F121,0),
                        IF($E$3:E121 = tblRegister[[#This Row],[OUT Token]],$L$3:L121 - tblRegister[[#This Row],[OUT Total Before Sale]],0),
                        IF($E$3:E121 = tblRegister[[#This Row],[OUT Token]],$F$3:F121,0)
                  )
            )
      ),
     IF(ISERROR(IF($E$3:E121 = tblRegister[[#This Row],[OUT Token]],$L$3:L121,N/A)-tblRegister[[#This Row],[OUT Total Before Sale]]),0,
            IF(IF($E$3:E121 = tblRegister[[#This Row],[OUT Token]],$L$3:L121,N/A)-tblRegister[[#This Row],[OUT Total Before Sale]]&lt;0,0,
                  IF(IF($E$3:E121 = tblRegister[[#This Row],[OUT Token]],$L$3:L121,tblRegister[[#This Row],[OUT Total Before Sale]])-tblRegister[[#This Row],[OUT Total Before Sale]]&lt;IF($E$3:E121 = tblRegister[[#This Row],[OUT Token]],$F$3:F121,0),
                        IF($E$3:E121 = tblRegister[[#This Row],[OUT Token]],$L$3:L121 - tblRegister[[#This Row],[OUT Total Before Sale]],0),
                        IF($E$3:E121 = tblRegister[[#This Row],[OUT Token]],$F$3:F121,0)
                  )
            )
      ),
      IF(IF($E$3:E121 = tblRegister[[#This Row],[OUT Token]],tblRegister[[#This Row],[OUT Quantity]]-$L$3:L121+tblRegister[[#This Row],[OUT Total Before Sale]]+$F$3:F121,1) &lt;0,0,
           IF($E$3:E121 = tblRegister[[#This Row],[OUT Token]],tblRegister[[#This Row],[OUT Quantity]]-$L$3:L121+tblRegister[[#This Row],[OUT Total Before Sale]]+$F$3:F121,0)))))/tblRegister[[#This Row],[OUT Quantity]],"")</f>
        <v/>
      </c>
      <c r="J122" s="63" t="str">
        <f ca="1">IFERROR(tblRegister[[#This Row],[OUT Book Price]]*tblRegister[[#This Row],[OUT Quantity]]/tblRegister[[#This Row],[IN Quantity]],"")</f>
        <v/>
      </c>
      <c r="K122" s="63" t="str">
        <f>IFERROR(IF(tblRegister[[#This Row],[IN Token]]=DefCurrency,tblRegister[[#This Row],[IN Quantity]]*(1-tblRegister[[#This Row],[IN Price]]),""),"")</f>
        <v/>
      </c>
      <c r="L122" s="52" t="str">
        <f t="array" aca="1" ref="L122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22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22" s="52" t="str">
        <f t="array" ref="N122">IF(tblRegister[[#This Row],[Batch]]="","",tblRegister[[#This Row],[OUT Total After Sale]]-tblRegister[[#This Row],[OUT Quantity]])</f>
        <v/>
      </c>
      <c r="O122" s="53" t="str">
        <f t="array" aca="1" ref="O122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23" spans="2:15" x14ac:dyDescent="0.25">
      <c r="B123" s="50">
        <f>ROW()-ROW(tblRegister[[#Headers],[Ind]])</f>
        <v>120</v>
      </c>
      <c r="C123" s="60" t="str">
        <f>IF(ISBLANK(tblRegister[[#This Row],[IN Token]]),"",tblRegister[[#This Row],[Ind]])</f>
        <v/>
      </c>
      <c r="D123" s="118"/>
      <c r="E123" s="51"/>
      <c r="F123" s="111"/>
      <c r="G123" s="51"/>
      <c r="H123" s="111"/>
      <c r="I123" s="63" t="str">
        <f t="array" aca="1" ref="I123" ca="1">IFERROR(IF(tblRegister[[#This Row],[OUT Token]]=DefCurrency,tblRegister[[#This Row],[OUT Quantity]],
      SUMPRODUCT($J$3:J122,
      IF(IF($E$3:E122 = tblRegister[[#This Row],[OUT Token]],tblRegister[[#This Row],[OUT Quantity]]-$L$3:L122+tblRegister[[#This Row],[OUT Total Before Sale]]+$F$3:F122,0)  &gt; IF(ISERROR(IF($E$3:E122 = tblRegister[[#This Row],[OUT Token]],$L$3:L122,N/A)-tblRegister[[#This Row],[OUT Total Before Sale]]),0,
            IF(IF($E$3:E122 = tblRegister[[#This Row],[OUT Token]],$L$3:L122,N/A)-tblRegister[[#This Row],[OUT Total Before Sale]]&lt;0,0,
                  IF(IF($E$3:E122 = tblRegister[[#This Row],[OUT Token]],$L$3:L122,tblRegister[[#This Row],[OUT Total Before Sale]])-tblRegister[[#This Row],[OUT Total Before Sale]]&lt;IF($E$3:E122 = tblRegister[[#This Row],[OUT Token]],$F$3:F122,0),
                        IF($E$3:E122 = tblRegister[[#This Row],[OUT Token]],$L$3:L122 - tblRegister[[#This Row],[OUT Total Before Sale]],0),
                        IF($E$3:E122 = tblRegister[[#This Row],[OUT Token]],$F$3:F122,0)
                  )
            )
      ),
     IF(ISERROR(IF($E$3:E122 = tblRegister[[#This Row],[OUT Token]],$L$3:L122,N/A)-tblRegister[[#This Row],[OUT Total Before Sale]]),0,
            IF(IF($E$3:E122 = tblRegister[[#This Row],[OUT Token]],$L$3:L122,N/A)-tblRegister[[#This Row],[OUT Total Before Sale]]&lt;0,0,
                  IF(IF($E$3:E122 = tblRegister[[#This Row],[OUT Token]],$L$3:L122,tblRegister[[#This Row],[OUT Total Before Sale]])-tblRegister[[#This Row],[OUT Total Before Sale]]&lt;IF($E$3:E122 = tblRegister[[#This Row],[OUT Token]],$F$3:F122,0),
                        IF($E$3:E122 = tblRegister[[#This Row],[OUT Token]],$L$3:L122 - tblRegister[[#This Row],[OUT Total Before Sale]],0),
                        IF($E$3:E122 = tblRegister[[#This Row],[OUT Token]],$F$3:F122,0)
                  )
            )
      ),
      IF(IF($E$3:E122 = tblRegister[[#This Row],[OUT Token]],tblRegister[[#This Row],[OUT Quantity]]-$L$3:L122+tblRegister[[#This Row],[OUT Total Before Sale]]+$F$3:F122,1) &lt;0,0,
           IF($E$3:E122 = tblRegister[[#This Row],[OUT Token]],tblRegister[[#This Row],[OUT Quantity]]-$L$3:L122+tblRegister[[#This Row],[OUT Total Before Sale]]+$F$3:F122,0)))))/tblRegister[[#This Row],[OUT Quantity]],"")</f>
        <v/>
      </c>
      <c r="J123" s="63" t="str">
        <f ca="1">IFERROR(tblRegister[[#This Row],[OUT Book Price]]*tblRegister[[#This Row],[OUT Quantity]]/tblRegister[[#This Row],[IN Quantity]],"")</f>
        <v/>
      </c>
      <c r="K123" s="63" t="str">
        <f>IFERROR(IF(tblRegister[[#This Row],[IN Token]]=DefCurrency,tblRegister[[#This Row],[IN Quantity]]*(1-tblRegister[[#This Row],[IN Price]]),""),"")</f>
        <v/>
      </c>
      <c r="L123" s="52" t="str">
        <f t="array" aca="1" ref="L123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23" s="52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23" s="52" t="str">
        <f t="array" ref="N123">IF(tblRegister[[#This Row],[Batch]]="","",tblRegister[[#This Row],[OUT Total After Sale]]-tblRegister[[#This Row],[OUT Quantity]])</f>
        <v/>
      </c>
      <c r="O123" s="53" t="str">
        <f t="array" aca="1" ref="O123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  <row r="124" spans="2:15" x14ac:dyDescent="0.25">
      <c r="B124" s="54">
        <f>ROW()-ROW(tblRegister[[#Headers],[Ind]])</f>
        <v>121</v>
      </c>
      <c r="C124" s="61" t="str">
        <f>IF(ISBLANK(tblRegister[[#This Row],[IN Token]]),"",tblRegister[[#This Row],[Ind]])</f>
        <v/>
      </c>
      <c r="D124" s="119"/>
      <c r="E124" s="55"/>
      <c r="F124" s="112"/>
      <c r="G124" s="55"/>
      <c r="H124" s="112"/>
      <c r="I124" s="65" t="str">
        <f t="array" aca="1" ref="I124" ca="1">IFERROR(IF(tblRegister[[#This Row],[OUT Token]]=DefCurrency,tblRegister[[#This Row],[OUT Quantity]],
      SUMPRODUCT($J$3:J123,
      IF(IF($E$3:E123 = tblRegister[[#This Row],[OUT Token]],tblRegister[[#This Row],[OUT Quantity]]-$L$3:L123+tblRegister[[#This Row],[OUT Total Before Sale]]+$F$3:F123,0)  &gt; IF(ISERROR(IF($E$3:E123 = tblRegister[[#This Row],[OUT Token]],$L$3:L123,N/A)-tblRegister[[#This Row],[OUT Total Before Sale]]),0,
            IF(IF($E$3:E123 = tblRegister[[#This Row],[OUT Token]],$L$3:L123,N/A)-tblRegister[[#This Row],[OUT Total Before Sale]]&lt;0,0,
                  IF(IF($E$3:E123 = tblRegister[[#This Row],[OUT Token]],$L$3:L123,tblRegister[[#This Row],[OUT Total Before Sale]])-tblRegister[[#This Row],[OUT Total Before Sale]]&lt;IF($E$3:E123 = tblRegister[[#This Row],[OUT Token]],$F$3:F123,0),
                        IF($E$3:E123 = tblRegister[[#This Row],[OUT Token]],$L$3:L123 - tblRegister[[#This Row],[OUT Total Before Sale]],0),
                        IF($E$3:E123 = tblRegister[[#This Row],[OUT Token]],$F$3:F123,0)
                  )
            )
      ),
     IF(ISERROR(IF($E$3:E123 = tblRegister[[#This Row],[OUT Token]],$L$3:L123,N/A)-tblRegister[[#This Row],[OUT Total Before Sale]]),0,
            IF(IF($E$3:E123 = tblRegister[[#This Row],[OUT Token]],$L$3:L123,N/A)-tblRegister[[#This Row],[OUT Total Before Sale]]&lt;0,0,
                  IF(IF($E$3:E123 = tblRegister[[#This Row],[OUT Token]],$L$3:L123,tblRegister[[#This Row],[OUT Total Before Sale]])-tblRegister[[#This Row],[OUT Total Before Sale]]&lt;IF($E$3:E123 = tblRegister[[#This Row],[OUT Token]],$F$3:F123,0),
                        IF($E$3:E123 = tblRegister[[#This Row],[OUT Token]],$L$3:L123 - tblRegister[[#This Row],[OUT Total Before Sale]],0),
                        IF($E$3:E123 = tblRegister[[#This Row],[OUT Token]],$F$3:F123,0)
                  )
            )
      ),
      IF(IF($E$3:E123 = tblRegister[[#This Row],[OUT Token]],tblRegister[[#This Row],[OUT Quantity]]-$L$3:L123+tblRegister[[#This Row],[OUT Total Before Sale]]+$F$3:F123,1) &lt;0,0,
           IF($E$3:E123 = tblRegister[[#This Row],[OUT Token]],tblRegister[[#This Row],[OUT Quantity]]-$L$3:L123+tblRegister[[#This Row],[OUT Total Before Sale]]+$F$3:F123,0)))))/tblRegister[[#This Row],[OUT Quantity]],"")</f>
        <v/>
      </c>
      <c r="J124" s="65" t="str">
        <f ca="1">IFERROR(tblRegister[[#This Row],[OUT Book Price]]*tblRegister[[#This Row],[OUT Quantity]]/tblRegister[[#This Row],[IN Quantity]],"")</f>
        <v/>
      </c>
      <c r="K124" s="65" t="str">
        <f>IFERROR(IF(tblRegister[[#This Row],[IN Token]]=DefCurrency,tblRegister[[#This Row],[IN Quantity]]*(1-tblRegister[[#This Row],[IN Price]]),""),"")</f>
        <v/>
      </c>
      <c r="L124" s="56" t="str">
        <f t="array" aca="1" ref="L124" ca="1">IF(tblRegister[[#This Row],[Batch]]="","",SUM(IF(OFFSET(tblRegister[[#Headers],[IN Token]],1,0,tblRegister[[#This Row],[Ind]])=tblRegister[[#This Row],[IN Token]],OFFSET(tblRegister[[#Headers],[IN Quantity]],1,0,tblRegister[[#This Row],[Ind]]),0)))</f>
        <v/>
      </c>
      <c r="M124" s="56" t="str">
        <f>IF(AND(tblRegister[[#This Row],[OUT Token]]&lt;&gt;DefCurrency,tblRegister[[#This Row],[OUT Token]]&lt;&gt;""),SUMIF(tblRegister[IN Token],tblRegister[[#This Row],[OUT Token]],tblRegister[IN Quantity])-SUMIF(tblRegister[OUT Token],tblRegister[[#This Row],[OUT Token]],tblRegister[OUT Quantity])+tblRegister[[#This Row],[OUT Quantity]],"")</f>
        <v/>
      </c>
      <c r="N124" s="56" t="str">
        <f t="array" ref="N124">IF(tblRegister[[#This Row],[Batch]]="","",tblRegister[[#This Row],[OUT Total After Sale]]-tblRegister[[#This Row],[OUT Quantity]])</f>
        <v/>
      </c>
      <c r="O124" s="57" t="str">
        <f t="array" aca="1" ref="O124" ca="1">IF(tblRegister[[#This Row],[Batch]]="","",SUM(IF(OFFSET(tblRegister[[#Headers],[OUT Token]],1,0,tblRegister[[#This Row],[Ind]])=tblRegister[[#This Row],[OUT Token]],OFFSET(tblRegister[[#Headers],[OUT Quantity]],1,0,tblRegister[[#This Row],[Ind]]),0)))</f>
        <v/>
      </c>
    </row>
  </sheetData>
  <sheetProtection sheet="1" formatCells="0" formatColumns="0" formatRows="0" insertRows="0" deleteRows="0" sort="0" autoFilter="0"/>
  <mergeCells count="1">
    <mergeCell ref="C2:K2"/>
  </mergeCells>
  <conditionalFormatting sqref="K4:K124">
    <cfRule type="expression" dxfId="63" priority="2">
      <formula>AND($K4&lt;&gt;"",$K4&gt;0)</formula>
    </cfRule>
    <cfRule type="expression" dxfId="62" priority="3">
      <formula>AND($K4&lt;&gt;"",$K4&lt;0)</formula>
    </cfRule>
  </conditionalFormatting>
  <conditionalFormatting sqref="H4:H124">
    <cfRule type="expression" dxfId="61" priority="1">
      <formula>AND($G4&lt;&gt;"USD",$H4&gt;$M4)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3E78-B75A-4B7F-A6D3-905261662E1B}">
  <sheetPr>
    <tabColor rgb="FFC00000"/>
  </sheetPr>
  <dimension ref="A2:L38"/>
  <sheetViews>
    <sheetView showGridLines="0" showRowColHeaders="0" workbookViewId="0">
      <selection activeCell="F19" sqref="F19"/>
    </sheetView>
  </sheetViews>
  <sheetFormatPr defaultColWidth="0" defaultRowHeight="15" x14ac:dyDescent="0.25"/>
  <cols>
    <col min="1" max="1" width="2.85546875" customWidth="1"/>
    <col min="2" max="2" width="9.140625" hidden="1" customWidth="1"/>
    <col min="3" max="3" width="17.140625" hidden="1" customWidth="1"/>
    <col min="4" max="4" width="12.85546875" customWidth="1"/>
    <col min="5" max="11" width="17.140625" customWidth="1"/>
    <col min="12" max="12" width="2.85546875" customWidth="1"/>
    <col min="13" max="16384" width="9.140625" hidden="1"/>
  </cols>
  <sheetData>
    <row r="2" spans="2:11" ht="15" customHeight="1" x14ac:dyDescent="0.25">
      <c r="D2" s="132" t="s">
        <v>159</v>
      </c>
      <c r="E2" s="34" t="s">
        <v>153</v>
      </c>
      <c r="F2" s="33" t="s">
        <v>154</v>
      </c>
      <c r="G2" s="9"/>
      <c r="H2" s="9"/>
      <c r="I2" s="9"/>
      <c r="J2" s="132" t="s">
        <v>160</v>
      </c>
      <c r="K2" s="136">
        <v>0.18</v>
      </c>
    </row>
    <row r="3" spans="2:11" x14ac:dyDescent="0.25">
      <c r="D3" s="133"/>
      <c r="E3" s="134">
        <v>43101</v>
      </c>
      <c r="F3" s="135">
        <v>43465</v>
      </c>
      <c r="G3" s="9"/>
      <c r="H3" s="9"/>
      <c r="I3" s="9"/>
      <c r="J3" s="133"/>
      <c r="K3" s="137"/>
    </row>
    <row r="4" spans="2:11" x14ac:dyDescent="0.25">
      <c r="D4" s="9"/>
      <c r="E4" s="9"/>
      <c r="F4" s="9"/>
      <c r="G4" s="9"/>
      <c r="H4" s="9"/>
      <c r="I4" s="9"/>
      <c r="J4" s="9"/>
      <c r="K4" s="9"/>
    </row>
    <row r="5" spans="2:11" x14ac:dyDescent="0.25">
      <c r="B5" s="32" t="s">
        <v>4</v>
      </c>
      <c r="C5" s="32" t="s">
        <v>2</v>
      </c>
      <c r="D5" s="77" t="s">
        <v>9</v>
      </c>
      <c r="E5" s="77" t="s">
        <v>6</v>
      </c>
      <c r="F5" s="77" t="s">
        <v>155</v>
      </c>
      <c r="G5" s="77" t="s">
        <v>156</v>
      </c>
      <c r="H5" s="77" t="s">
        <v>157</v>
      </c>
      <c r="I5" s="77" t="s">
        <v>8</v>
      </c>
      <c r="J5" s="77" t="s">
        <v>195</v>
      </c>
      <c r="K5" s="77" t="s">
        <v>158</v>
      </c>
    </row>
    <row r="6" spans="2:11" x14ac:dyDescent="0.25">
      <c r="B6" s="78">
        <f>ROW()-ROW(tblTaxes[[#Headers],[Ind]])</f>
        <v>1</v>
      </c>
      <c r="C6" s="79">
        <f t="array" aca="1" ref="C6" ca="1">IFERROR(SMALL(IFERROR(IF(tblRegister[Date]&gt;=P_Start,1,NA())*IF(tblRegister[Date]&lt;=P_End,1,NA())*IF(tblRegister[Gain|Loss]&lt;&gt;"",1,NA())*tblRegister[Batch],""),tblTaxes[[#This Row],[Ind]]),"")</f>
        <v>9</v>
      </c>
      <c r="D6" s="106">
        <f ca="1">IF(tblTaxes[[#This Row],[Batch]]="","",INDEX(tblRegister[Date],MATCH(tblTaxes[[#This Row],[Batch]],tblRegister[Batch])))</f>
        <v>43205</v>
      </c>
      <c r="E6" s="80" t="str">
        <f ca="1">IF(tblTaxes[[#This Row],[Batch]]="","",INDEX(tblRegister[OUT Token],MATCH(tblTaxes[[#This Row],[Batch]],tblRegister[Batch])))</f>
        <v>BTC</v>
      </c>
      <c r="F6" s="81">
        <f ca="1">IF(tblTaxes[[#This Row],[Batch]]="","",INDEX(tblRegister[OUT Quantity],MATCH(tblTaxes[[#This Row],[Batch]],tblRegister[Batch])))</f>
        <v>20</v>
      </c>
      <c r="G6" s="82">
        <f ca="1">IF(tblTaxes[[#This Row],[Batch]]="","",INDEX(tblRegister[OUT Book Price],MATCH(tblTaxes[[#This Row],[Batch]],tblRegister[Batch])))</f>
        <v>110.71428571428571</v>
      </c>
      <c r="H6" s="82">
        <f ca="1">IF(tblTaxes[[#This Row],[Batch]]="","",INDEX(tblRegister[IN Quantity],MATCH(tblTaxes[[#This Row],[Batch]],tblRegister[Batch]))/tblTaxes[[#This Row],[Quantity]])</f>
        <v>1400</v>
      </c>
      <c r="I6" s="83">
        <f ca="1">IF(tblTaxes[[#This Row],[Batch]]="","",INDEX(tblRegister[Gain|Loss],MATCH(tblTaxes[[#This Row],[Batch]],tblRegister[Batch])))</f>
        <v>25785.714285714286</v>
      </c>
      <c r="J6" s="84"/>
      <c r="K6" s="84">
        <f ca="1">IF(OR(tblTaxes[[#This Row],[Batch]]="",NOT(ISBLANK(tblTaxes[[#This Row],[Not Taxable]]))),"",tblTaxes[[#This Row],[Gain | Loss]]*Tax_Rate)</f>
        <v>4641.4285714285716</v>
      </c>
    </row>
    <row r="7" spans="2:11" x14ac:dyDescent="0.25">
      <c r="B7" s="85">
        <f>ROW()-ROW(tblTaxes[[#Headers],[Ind]])</f>
        <v>2</v>
      </c>
      <c r="C7" s="86">
        <f t="array" aca="1" ref="C7" ca="1">IFERROR(SMALL(IFERROR(IF(tblRegister[Date]&gt;=P_Start,1,NA())*IF(tblRegister[Date]&lt;=P_End,1,NA())*IF(tblRegister[Gain|Loss]&lt;&gt;"",1,NA())*tblRegister[Batch],""),tblTaxes[[#This Row],[Ind]]),"")</f>
        <v>10</v>
      </c>
      <c r="D7" s="107">
        <f ca="1">IF(tblTaxes[[#This Row],[Batch]]="","",INDEX(tblRegister[Date],MATCH(tblTaxes[[#This Row],[Batch]],tblRegister[Batch])))</f>
        <v>43244</v>
      </c>
      <c r="E7" s="87" t="str">
        <f ca="1">IF(tblTaxes[[#This Row],[Batch]]="","",INDEX(tblRegister[OUT Token],MATCH(tblTaxes[[#This Row],[Batch]],tblRegister[Batch])))</f>
        <v>BTC</v>
      </c>
      <c r="F7" s="88">
        <f ca="1">IF(tblTaxes[[#This Row],[Batch]]="","",INDEX(tblRegister[OUT Quantity],MATCH(tblTaxes[[#This Row],[Batch]],tblRegister[Batch])))</f>
        <v>15</v>
      </c>
      <c r="G7" s="89">
        <f ca="1">IF(tblTaxes[[#This Row],[Batch]]="","",INDEX(tblRegister[OUT Book Price],MATCH(tblTaxes[[#This Row],[Batch]],tblRegister[Batch])))</f>
        <v>178.51428571428571</v>
      </c>
      <c r="H7" s="89">
        <f ca="1">IF(tblTaxes[[#This Row],[Batch]]="","",INDEX(tblRegister[IN Quantity],MATCH(tblTaxes[[#This Row],[Batch]],tblRegister[Batch]))/tblTaxes[[#This Row],[Quantity]])</f>
        <v>1646.6666666666667</v>
      </c>
      <c r="I7" s="90">
        <f ca="1">IF(tblTaxes[[#This Row],[Batch]]="","",INDEX(tblRegister[Gain|Loss],MATCH(tblTaxes[[#This Row],[Batch]],tblRegister[Batch])))</f>
        <v>22022.285714285714</v>
      </c>
      <c r="J7" s="91"/>
      <c r="K7" s="91">
        <f ca="1">IF(OR(tblTaxes[[#This Row],[Batch]]="",NOT(ISBLANK(tblTaxes[[#This Row],[Not Taxable]]))),"",tblTaxes[[#This Row],[Gain | Loss]]*Tax_Rate)</f>
        <v>3964.0114285714285</v>
      </c>
    </row>
    <row r="8" spans="2:11" x14ac:dyDescent="0.25">
      <c r="B8" s="85">
        <f>ROW()-ROW(tblTaxes[[#Headers],[Ind]])</f>
        <v>3</v>
      </c>
      <c r="C8" s="86">
        <f t="array" aca="1" ref="C8" ca="1">IFERROR(SMALL(IFERROR(IF(tblRegister[Date]&gt;=P_Start,1,NA())*IF(tblRegister[Date]&lt;=P_End,1,NA())*IF(tblRegister[Gain|Loss]&lt;&gt;"",1,NA())*tblRegister[Batch],""),tblTaxes[[#This Row],[Ind]]),"")</f>
        <v>11</v>
      </c>
      <c r="D8" s="107">
        <f ca="1">IF(tblTaxes[[#This Row],[Batch]]="","",INDEX(tblRegister[Date],MATCH(tblTaxes[[#This Row],[Batch]],tblRegister[Batch])))</f>
        <v>43255</v>
      </c>
      <c r="E8" s="87" t="str">
        <f ca="1">IF(tblTaxes[[#This Row],[Batch]]="","",INDEX(tblRegister[OUT Token],MATCH(tblTaxes[[#This Row],[Batch]],tblRegister[Batch])))</f>
        <v>ETH</v>
      </c>
      <c r="F8" s="88">
        <f ca="1">IF(tblTaxes[[#This Row],[Batch]]="","",INDEX(tblRegister[OUT Quantity],MATCH(tblTaxes[[#This Row],[Batch]],tblRegister[Batch])))</f>
        <v>250</v>
      </c>
      <c r="G8" s="89">
        <f ca="1">IF(tblTaxes[[#This Row],[Batch]]="","",INDEX(tblRegister[OUT Book Price],MATCH(tblTaxes[[#This Row],[Batch]],tblRegister[Batch])))</f>
        <v>6.0228571428571431</v>
      </c>
      <c r="H8" s="89">
        <f ca="1">IF(tblTaxes[[#This Row],[Batch]]="","",INDEX(tblRegister[IN Quantity],MATCH(tblTaxes[[#This Row],[Batch]],tblRegister[Batch]))/tblTaxes[[#This Row],[Quantity]])</f>
        <v>2</v>
      </c>
      <c r="I8" s="90">
        <f ca="1">IF(tblTaxes[[#This Row],[Batch]]="","",INDEX(tblRegister[Gain|Loss],MATCH(tblTaxes[[#This Row],[Batch]],tblRegister[Batch])))</f>
        <v>-1005.7142857142858</v>
      </c>
      <c r="J8" s="91"/>
      <c r="K8" s="91">
        <f ca="1">IF(OR(tblTaxes[[#This Row],[Batch]]="",NOT(ISBLANK(tblTaxes[[#This Row],[Not Taxable]]))),"",tblTaxes[[#This Row],[Gain | Loss]]*Tax_Rate)</f>
        <v>-181.02857142857144</v>
      </c>
    </row>
    <row r="9" spans="2:11" x14ac:dyDescent="0.25">
      <c r="B9" s="85">
        <f>ROW()-ROW(tblTaxes[[#Headers],[Ind]])</f>
        <v>4</v>
      </c>
      <c r="C9" s="86">
        <f t="array" aca="1" ref="C9" ca="1">IFERROR(SMALL(IFERROR(IF(tblRegister[Date]&gt;=P_Start,1,NA())*IF(tblRegister[Date]&lt;=P_End,1,NA())*IF(tblRegister[Gain|Loss]&lt;&gt;"",1,NA())*tblRegister[Batch],""),tblTaxes[[#This Row],[Ind]]),"")</f>
        <v>12</v>
      </c>
      <c r="D9" s="107">
        <f ca="1">IF(tblTaxes[[#This Row],[Batch]]="","",INDEX(tblRegister[Date],MATCH(tblTaxes[[#This Row],[Batch]],tblRegister[Batch])))</f>
        <v>43285</v>
      </c>
      <c r="E9" s="87" t="str">
        <f ca="1">IF(tblTaxes[[#This Row],[Batch]]="","",INDEX(tblRegister[OUT Token],MATCH(tblTaxes[[#This Row],[Batch]],tblRegister[Batch])))</f>
        <v>LTC</v>
      </c>
      <c r="F9" s="88">
        <f ca="1">IF(tblTaxes[[#This Row],[Batch]]="","",INDEX(tblRegister[OUT Quantity],MATCH(tblTaxes[[#This Row],[Batch]],tblRegister[Batch])))</f>
        <v>200</v>
      </c>
      <c r="G9" s="89">
        <f ca="1">IF(tblTaxes[[#This Row],[Batch]]="","",INDEX(tblRegister[OUT Book Price],MATCH(tblTaxes[[#This Row],[Batch]],tblRegister[Batch])))</f>
        <v>2.5</v>
      </c>
      <c r="H9" s="89">
        <f ca="1">IF(tblTaxes[[#This Row],[Batch]]="","",INDEX(tblRegister[IN Quantity],MATCH(tblTaxes[[#This Row],[Batch]],tblRegister[Batch]))/tblTaxes[[#This Row],[Quantity]])</f>
        <v>7</v>
      </c>
      <c r="I9" s="90">
        <f ca="1">IF(tblTaxes[[#This Row],[Batch]]="","",INDEX(tblRegister[Gain|Loss],MATCH(tblTaxes[[#This Row],[Batch]],tblRegister[Batch])))</f>
        <v>899.99999999999989</v>
      </c>
      <c r="J9" s="91"/>
      <c r="K9" s="91">
        <f ca="1">IF(OR(tblTaxes[[#This Row],[Batch]]="",NOT(ISBLANK(tblTaxes[[#This Row],[Not Taxable]]))),"",tblTaxes[[#This Row],[Gain | Loss]]*Tax_Rate)</f>
        <v>161.99999999999997</v>
      </c>
    </row>
    <row r="10" spans="2:11" x14ac:dyDescent="0.25">
      <c r="B10" s="85">
        <f>ROW()-ROW(tblTaxes[[#Headers],[Ind]])</f>
        <v>5</v>
      </c>
      <c r="C10" s="86">
        <f t="array" aca="1" ref="C10" ca="1">IFERROR(SMALL(IFERROR(IF(tblRegister[Date]&gt;=P_Start,1,NA())*IF(tblRegister[Date]&lt;=P_End,1,NA())*IF(tblRegister[Gain|Loss]&lt;&gt;"",1,NA())*tblRegister[Batch],""),tblTaxes[[#This Row],[Ind]]),"")</f>
        <v>13</v>
      </c>
      <c r="D10" s="107">
        <f ca="1">IF(tblTaxes[[#This Row],[Batch]]="","",INDEX(tblRegister[Date],MATCH(tblTaxes[[#This Row],[Batch]],tblRegister[Batch])))</f>
        <v>43286</v>
      </c>
      <c r="E10" s="87" t="str">
        <f ca="1">IF(tblTaxes[[#This Row],[Batch]]="","",INDEX(tblRegister[OUT Token],MATCH(tblTaxes[[#This Row],[Batch]],tblRegister[Batch])))</f>
        <v>ETH</v>
      </c>
      <c r="F10" s="88">
        <f ca="1">IF(tblTaxes[[#This Row],[Batch]]="","",INDEX(tblRegister[OUT Quantity],MATCH(tblTaxes[[#This Row],[Batch]],tblRegister[Batch])))</f>
        <v>100</v>
      </c>
      <c r="G10" s="89">
        <f ca="1">IF(tblTaxes[[#This Row],[Batch]]="","",INDEX(tblRegister[OUT Book Price],MATCH(tblTaxes[[#This Row],[Batch]],tblRegister[Batch])))</f>
        <v>6.0228571428571431</v>
      </c>
      <c r="H10" s="89">
        <f ca="1">IF(tblTaxes[[#This Row],[Batch]]="","",INDEX(tblRegister[IN Quantity],MATCH(tblTaxes[[#This Row],[Batch]],tblRegister[Batch]))/tblTaxes[[#This Row],[Quantity]])</f>
        <v>24.8</v>
      </c>
      <c r="I10" s="90">
        <f ca="1">IF(tblTaxes[[#This Row],[Batch]]="","",INDEX(tblRegister[Gain|Loss],MATCH(tblTaxes[[#This Row],[Batch]],tblRegister[Batch])))</f>
        <v>1877.7142857142856</v>
      </c>
      <c r="J10" s="91"/>
      <c r="K10" s="91">
        <f ca="1">IF(OR(tblTaxes[[#This Row],[Batch]]="",NOT(ISBLANK(tblTaxes[[#This Row],[Not Taxable]]))),"",tblTaxes[[#This Row],[Gain | Loss]]*Tax_Rate)</f>
        <v>337.98857142857139</v>
      </c>
    </row>
    <row r="11" spans="2:11" x14ac:dyDescent="0.25">
      <c r="B11" s="85">
        <f>ROW()-ROW(tblTaxes[[#Headers],[Ind]])</f>
        <v>6</v>
      </c>
      <c r="C11" s="86">
        <f t="array" aca="1" ref="C11" ca="1">IFERROR(SMALL(IFERROR(IF(tblRegister[Date]&gt;=P_Start,1,NA())*IF(tblRegister[Date]&lt;=P_End,1,NA())*IF(tblRegister[Gain|Loss]&lt;&gt;"",1,NA())*tblRegister[Batch],""),tblTaxes[[#This Row],[Ind]]),"")</f>
        <v>15</v>
      </c>
      <c r="D11" s="107">
        <f ca="1">IF(tblTaxes[[#This Row],[Batch]]="","",INDEX(tblRegister[Date],MATCH(tblTaxes[[#This Row],[Batch]],tblRegister[Batch])))</f>
        <v>43299</v>
      </c>
      <c r="E11" s="87" t="str">
        <f ca="1">IF(tblTaxes[[#This Row],[Batch]]="","",INDEX(tblRegister[OUT Token],MATCH(tblTaxes[[#This Row],[Batch]],tblRegister[Batch])))</f>
        <v>BTC</v>
      </c>
      <c r="F11" s="88">
        <f ca="1">IF(tblTaxes[[#This Row],[Batch]]="","",INDEX(tblRegister[OUT Quantity],MATCH(tblTaxes[[#This Row],[Batch]],tblRegister[Batch])))</f>
        <v>5</v>
      </c>
      <c r="G11" s="89">
        <f ca="1">IF(tblTaxes[[#This Row],[Batch]]="","",INDEX(tblRegister[OUT Book Price],MATCH(tblTaxes[[#This Row],[Batch]],tblRegister[Batch])))</f>
        <v>7629.6</v>
      </c>
      <c r="H11" s="89">
        <f ca="1">IF(tblTaxes[[#This Row],[Batch]]="","",INDEX(tblRegister[IN Quantity],MATCH(tblTaxes[[#This Row],[Batch]],tblRegister[Batch]))/tblTaxes[[#This Row],[Quantity]])</f>
        <v>4816</v>
      </c>
      <c r="I11" s="90">
        <f ca="1">IF(tblTaxes[[#This Row],[Batch]]="","",INDEX(tblRegister[Gain|Loss],MATCH(tblTaxes[[#This Row],[Batch]],tblRegister[Batch])))</f>
        <v>-14067.999999999998</v>
      </c>
      <c r="J11" s="91"/>
      <c r="K11" s="91">
        <f ca="1">IF(OR(tblTaxes[[#This Row],[Batch]]="",NOT(ISBLANK(tblTaxes[[#This Row],[Not Taxable]]))),"",tblTaxes[[#This Row],[Gain | Loss]]*Tax_Rate)</f>
        <v>-2532.2399999999998</v>
      </c>
    </row>
    <row r="12" spans="2:11" x14ac:dyDescent="0.25">
      <c r="B12" s="85">
        <f>ROW()-ROW(tblTaxes[[#Headers],[Ind]])</f>
        <v>7</v>
      </c>
      <c r="C12" s="86">
        <f t="array" aca="1" ref="C12" ca="1">IFERROR(SMALL(IFERROR(IF(tblRegister[Date]&gt;=P_Start,1,NA())*IF(tblRegister[Date]&lt;=P_End,1,NA())*IF(tblRegister[Gain|Loss]&lt;&gt;"",1,NA())*tblRegister[Batch],""),tblTaxes[[#This Row],[Ind]]),"")</f>
        <v>20</v>
      </c>
      <c r="D12" s="107">
        <f ca="1">IF(tblTaxes[[#This Row],[Batch]]="","",INDEX(tblRegister[Date],MATCH(tblTaxes[[#This Row],[Batch]],tblRegister[Batch])))</f>
        <v>43311</v>
      </c>
      <c r="E12" s="87" t="str">
        <f ca="1">IF(tblTaxes[[#This Row],[Batch]]="","",INDEX(tblRegister[OUT Token],MATCH(tblTaxes[[#This Row],[Batch]],tblRegister[Batch])))</f>
        <v>BTC</v>
      </c>
      <c r="F12" s="88">
        <f ca="1">IF(tblTaxes[[#This Row],[Batch]]="","",INDEX(tblRegister[OUT Quantity],MATCH(tblTaxes[[#This Row],[Batch]],tblRegister[Batch])))</f>
        <v>20</v>
      </c>
      <c r="G12" s="89">
        <f ca="1">IF(tblTaxes[[#This Row],[Batch]]="","",INDEX(tblRegister[OUT Book Price],MATCH(tblTaxes[[#This Row],[Batch]],tblRegister[Batch])))</f>
        <v>10141.025641025641</v>
      </c>
      <c r="H12" s="89">
        <f ca="1">IF(tblTaxes[[#This Row],[Batch]]="","",INDEX(tblRegister[IN Quantity],MATCH(tblTaxes[[#This Row],[Batch]],tblRegister[Batch]))/tblTaxes[[#This Row],[Quantity]])</f>
        <v>13000</v>
      </c>
      <c r="I12" s="90">
        <f ca="1">IF(tblTaxes[[#This Row],[Batch]]="","",INDEX(tblRegister[Gain|Loss],MATCH(tblTaxes[[#This Row],[Batch]],tblRegister[Batch])))</f>
        <v>57179.48717948718</v>
      </c>
      <c r="J12" s="91"/>
      <c r="K12" s="91">
        <f ca="1">IF(OR(tblTaxes[[#This Row],[Batch]]="",NOT(ISBLANK(tblTaxes[[#This Row],[Not Taxable]]))),"",tblTaxes[[#This Row],[Gain | Loss]]*Tax_Rate)</f>
        <v>10292.307692307691</v>
      </c>
    </row>
    <row r="13" spans="2:11" x14ac:dyDescent="0.25">
      <c r="B13" s="85">
        <f>ROW()-ROW(tblTaxes[[#Headers],[Ind]])</f>
        <v>8</v>
      </c>
      <c r="C13" s="86" t="str">
        <f t="array" aca="1" ref="C13" ca="1">IFERROR(SMALL(IFERROR(IF(tblRegister[Date]&gt;=P_Start,1,NA())*IF(tblRegister[Date]&lt;=P_End,1,NA())*IF(tblRegister[Gain|Loss]&lt;&gt;"",1,NA())*tblRegister[Batch],""),tblTaxes[[#This Row],[Ind]]),"")</f>
        <v/>
      </c>
      <c r="D13" s="107" t="str">
        <f ca="1">IF(tblTaxes[[#This Row],[Batch]]="","",INDEX(tblRegister[Date],MATCH(tblTaxes[[#This Row],[Batch]],tblRegister[Batch])))</f>
        <v/>
      </c>
      <c r="E13" s="87" t="str">
        <f ca="1">IF(tblTaxes[[#This Row],[Batch]]="","",INDEX(tblRegister[OUT Token],MATCH(tblTaxes[[#This Row],[Batch]],tblRegister[Batch])))</f>
        <v/>
      </c>
      <c r="F13" s="88" t="str">
        <f ca="1">IF(tblTaxes[[#This Row],[Batch]]="","",INDEX(tblRegister[OUT Quantity],MATCH(tblTaxes[[#This Row],[Batch]],tblRegister[Batch])))</f>
        <v/>
      </c>
      <c r="G13" s="89" t="str">
        <f ca="1">IF(tblTaxes[[#This Row],[Batch]]="","",INDEX(tblRegister[OUT Book Price],MATCH(tblTaxes[[#This Row],[Batch]],tblRegister[Batch])))</f>
        <v/>
      </c>
      <c r="H13" s="89" t="str">
        <f ca="1">IF(tblTaxes[[#This Row],[Batch]]="","",INDEX(tblRegister[IN Quantity],MATCH(tblTaxes[[#This Row],[Batch]],tblRegister[Batch]))/tblTaxes[[#This Row],[Quantity]])</f>
        <v/>
      </c>
      <c r="I13" s="90" t="str">
        <f ca="1">IF(tblTaxes[[#This Row],[Batch]]="","",INDEX(tblRegister[Gain|Loss],MATCH(tblTaxes[[#This Row],[Batch]],tblRegister[Batch])))</f>
        <v/>
      </c>
      <c r="J13" s="91"/>
      <c r="K13" s="91" t="str">
        <f ca="1">IF(OR(tblTaxes[[#This Row],[Batch]]="",NOT(ISBLANK(tblTaxes[[#This Row],[Not Taxable]]))),"",tblTaxes[[#This Row],[Gain | Loss]]*Tax_Rate)</f>
        <v/>
      </c>
    </row>
    <row r="14" spans="2:11" x14ac:dyDescent="0.25">
      <c r="B14" s="85">
        <f>ROW()-ROW(tblTaxes[[#Headers],[Ind]])</f>
        <v>9</v>
      </c>
      <c r="C14" s="86" t="str">
        <f t="array" aca="1" ref="C14" ca="1">IFERROR(SMALL(IFERROR(IF(tblRegister[Date]&gt;=P_Start,1,NA())*IF(tblRegister[Date]&lt;=P_End,1,NA())*IF(tblRegister[Gain|Loss]&lt;&gt;"",1,NA())*tblRegister[Batch],""),tblTaxes[[#This Row],[Ind]]),"")</f>
        <v/>
      </c>
      <c r="D14" s="107" t="str">
        <f ca="1">IF(tblTaxes[[#This Row],[Batch]]="","",INDEX(tblRegister[Date],MATCH(tblTaxes[[#This Row],[Batch]],tblRegister[Batch])))</f>
        <v/>
      </c>
      <c r="E14" s="87" t="str">
        <f ca="1">IF(tblTaxes[[#This Row],[Batch]]="","",INDEX(tblRegister[OUT Token],MATCH(tblTaxes[[#This Row],[Batch]],tblRegister[Batch])))</f>
        <v/>
      </c>
      <c r="F14" s="88" t="str">
        <f ca="1">IF(tblTaxes[[#This Row],[Batch]]="","",INDEX(tblRegister[OUT Quantity],MATCH(tblTaxes[[#This Row],[Batch]],tblRegister[Batch])))</f>
        <v/>
      </c>
      <c r="G14" s="89" t="str">
        <f ca="1">IF(tblTaxes[[#This Row],[Batch]]="","",INDEX(tblRegister[OUT Book Price],MATCH(tblTaxes[[#This Row],[Batch]],tblRegister[Batch])))</f>
        <v/>
      </c>
      <c r="H14" s="89" t="str">
        <f ca="1">IF(tblTaxes[[#This Row],[Batch]]="","",INDEX(tblRegister[IN Quantity],MATCH(tblTaxes[[#This Row],[Batch]],tblRegister[Batch]))/tblTaxes[[#This Row],[Quantity]])</f>
        <v/>
      </c>
      <c r="I14" s="90" t="str">
        <f ca="1">IF(tblTaxes[[#This Row],[Batch]]="","",INDEX(tblRegister[Gain|Loss],MATCH(tblTaxes[[#This Row],[Batch]],tblRegister[Batch])))</f>
        <v/>
      </c>
      <c r="J14" s="91"/>
      <c r="K14" s="91" t="str">
        <f ca="1">IF(OR(tblTaxes[[#This Row],[Batch]]="",NOT(ISBLANK(tblTaxes[[#This Row],[Not Taxable]]))),"",tblTaxes[[#This Row],[Gain | Loss]]*Tax_Rate)</f>
        <v/>
      </c>
    </row>
    <row r="15" spans="2:11" x14ac:dyDescent="0.25">
      <c r="B15" s="85">
        <f>ROW()-ROW(tblTaxes[[#Headers],[Ind]])</f>
        <v>10</v>
      </c>
      <c r="C15" s="86" t="str">
        <f t="array" aca="1" ref="C15" ca="1">IFERROR(SMALL(IFERROR(IF(tblRegister[Date]&gt;=P_Start,1,NA())*IF(tblRegister[Date]&lt;=P_End,1,NA())*IF(tblRegister[Gain|Loss]&lt;&gt;"",1,NA())*tblRegister[Batch],""),tblTaxes[[#This Row],[Ind]]),"")</f>
        <v/>
      </c>
      <c r="D15" s="107" t="str">
        <f ca="1">IF(tblTaxes[[#This Row],[Batch]]="","",INDEX(tblRegister[Date],MATCH(tblTaxes[[#This Row],[Batch]],tblRegister[Batch])))</f>
        <v/>
      </c>
      <c r="E15" s="87" t="str">
        <f ca="1">IF(tblTaxes[[#This Row],[Batch]]="","",INDEX(tblRegister[OUT Token],MATCH(tblTaxes[[#This Row],[Batch]],tblRegister[Batch])))</f>
        <v/>
      </c>
      <c r="F15" s="88" t="str">
        <f ca="1">IF(tblTaxes[[#This Row],[Batch]]="","",INDEX(tblRegister[OUT Quantity],MATCH(tblTaxes[[#This Row],[Batch]],tblRegister[Batch])))</f>
        <v/>
      </c>
      <c r="G15" s="89" t="str">
        <f ca="1">IF(tblTaxes[[#This Row],[Batch]]="","",INDEX(tblRegister[OUT Book Price],MATCH(tblTaxes[[#This Row],[Batch]],tblRegister[Batch])))</f>
        <v/>
      </c>
      <c r="H15" s="89" t="str">
        <f ca="1">IF(tblTaxes[[#This Row],[Batch]]="","",INDEX(tblRegister[IN Quantity],MATCH(tblTaxes[[#This Row],[Batch]],tblRegister[Batch]))/tblTaxes[[#This Row],[Quantity]])</f>
        <v/>
      </c>
      <c r="I15" s="90" t="str">
        <f ca="1">IF(tblTaxes[[#This Row],[Batch]]="","",INDEX(tblRegister[Gain|Loss],MATCH(tblTaxes[[#This Row],[Batch]],tblRegister[Batch])))</f>
        <v/>
      </c>
      <c r="J15" s="91"/>
      <c r="K15" s="91" t="str">
        <f ca="1">IF(OR(tblTaxes[[#This Row],[Batch]]="",NOT(ISBLANK(tblTaxes[[#This Row],[Not Taxable]]))),"",tblTaxes[[#This Row],[Gain | Loss]]*Tax_Rate)</f>
        <v/>
      </c>
    </row>
    <row r="16" spans="2:11" x14ac:dyDescent="0.25">
      <c r="B16" s="92">
        <f>ROW()-ROW(tblTaxes[[#Headers],[Ind]])</f>
        <v>11</v>
      </c>
      <c r="C16" s="93" t="str">
        <f t="array" aca="1" ref="C16" ca="1">IFERROR(SMALL(IFERROR(IF(tblRegister[Date]&gt;=P_Start,1,NA())*IF(tblRegister[Date]&lt;=P_End,1,NA())*IF(tblRegister[Gain|Loss]&lt;&gt;"",1,NA())*tblRegister[Batch],""),tblTaxes[[#This Row],[Ind]]),"")</f>
        <v/>
      </c>
      <c r="D16" s="107" t="str">
        <f ca="1">IF(tblTaxes[[#This Row],[Batch]]="","",INDEX(tblRegister[Date],MATCH(tblTaxes[[#This Row],[Batch]],tblRegister[Batch])))</f>
        <v/>
      </c>
      <c r="E16" s="94" t="str">
        <f ca="1">IF(tblTaxes[[#This Row],[Batch]]="","",INDEX(tblRegister[OUT Token],MATCH(tblTaxes[[#This Row],[Batch]],tblRegister[Batch])))</f>
        <v/>
      </c>
      <c r="F16" s="88" t="str">
        <f ca="1">IF(tblTaxes[[#This Row],[Batch]]="","",INDEX(tblRegister[OUT Quantity],MATCH(tblTaxes[[#This Row],[Batch]],tblRegister[Batch])))</f>
        <v/>
      </c>
      <c r="G16" s="89" t="str">
        <f ca="1">IF(tblTaxes[[#This Row],[Batch]]="","",INDEX(tblRegister[OUT Book Price],MATCH(tblTaxes[[#This Row],[Batch]],tblRegister[Batch])))</f>
        <v/>
      </c>
      <c r="H16" s="89" t="str">
        <f ca="1">IF(tblTaxes[[#This Row],[Batch]]="","",INDEX(tblRegister[IN Quantity],MATCH(tblTaxes[[#This Row],[Batch]],tblRegister[Batch]))/tblTaxes[[#This Row],[Quantity]])</f>
        <v/>
      </c>
      <c r="I16" s="90" t="str">
        <f ca="1">IF(tblTaxes[[#This Row],[Batch]]="","",INDEX(tblRegister[Gain|Loss],MATCH(tblTaxes[[#This Row],[Batch]],tblRegister[Batch])))</f>
        <v/>
      </c>
      <c r="J16" s="91"/>
      <c r="K16" s="91" t="str">
        <f ca="1">IF(OR(tblTaxes[[#This Row],[Batch]]="",NOT(ISBLANK(tblTaxes[[#This Row],[Not Taxable]]))),"",tblTaxes[[#This Row],[Gain | Loss]]*Tax_Rate)</f>
        <v/>
      </c>
    </row>
    <row r="17" spans="2:11" x14ac:dyDescent="0.25">
      <c r="B17" s="92">
        <f>ROW()-ROW(tblTaxes[[#Headers],[Ind]])</f>
        <v>12</v>
      </c>
      <c r="C17" s="93" t="str">
        <f t="array" aca="1" ref="C17" ca="1">IFERROR(SMALL(IFERROR(IF(tblRegister[Date]&gt;=P_Start,1,NA())*IF(tblRegister[Date]&lt;=P_End,1,NA())*IF(tblRegister[Gain|Loss]&lt;&gt;"",1,NA())*tblRegister[Batch],""),tblTaxes[[#This Row],[Ind]]),"")</f>
        <v/>
      </c>
      <c r="D17" s="107" t="str">
        <f ca="1">IF(tblTaxes[[#This Row],[Batch]]="","",INDEX(tblRegister[Date],MATCH(tblTaxes[[#This Row],[Batch]],tblRegister[Batch])))</f>
        <v/>
      </c>
      <c r="E17" s="94" t="str">
        <f ca="1">IF(tblTaxes[[#This Row],[Batch]]="","",INDEX(tblRegister[OUT Token],MATCH(tblTaxes[[#This Row],[Batch]],tblRegister[Batch])))</f>
        <v/>
      </c>
      <c r="F17" s="88" t="str">
        <f ca="1">IF(tblTaxes[[#This Row],[Batch]]="","",INDEX(tblRegister[OUT Quantity],MATCH(tblTaxes[[#This Row],[Batch]],tblRegister[Batch])))</f>
        <v/>
      </c>
      <c r="G17" s="89" t="str">
        <f ca="1">IF(tblTaxes[[#This Row],[Batch]]="","",INDEX(tblRegister[OUT Book Price],MATCH(tblTaxes[[#This Row],[Batch]],tblRegister[Batch])))</f>
        <v/>
      </c>
      <c r="H17" s="89" t="str">
        <f ca="1">IF(tblTaxes[[#This Row],[Batch]]="","",INDEX(tblRegister[IN Quantity],MATCH(tblTaxes[[#This Row],[Batch]],tblRegister[Batch]))/tblTaxes[[#This Row],[Quantity]])</f>
        <v/>
      </c>
      <c r="I17" s="90" t="str">
        <f ca="1">IF(tblTaxes[[#This Row],[Batch]]="","",INDEX(tblRegister[Gain|Loss],MATCH(tblTaxes[[#This Row],[Batch]],tblRegister[Batch])))</f>
        <v/>
      </c>
      <c r="J17" s="91"/>
      <c r="K17" s="91" t="str">
        <f ca="1">IF(OR(tblTaxes[[#This Row],[Batch]]="",NOT(ISBLANK(tblTaxes[[#This Row],[Not Taxable]]))),"",tblTaxes[[#This Row],[Gain | Loss]]*Tax_Rate)</f>
        <v/>
      </c>
    </row>
    <row r="18" spans="2:11" x14ac:dyDescent="0.25">
      <c r="B18" s="92">
        <f>ROW()-ROW(tblTaxes[[#Headers],[Ind]])</f>
        <v>13</v>
      </c>
      <c r="C18" s="93" t="str">
        <f t="array" aca="1" ref="C18" ca="1">IFERROR(SMALL(IFERROR(IF(tblRegister[Date]&gt;=P_Start,1,NA())*IF(tblRegister[Date]&lt;=P_End,1,NA())*IF(tblRegister[Gain|Loss]&lt;&gt;"",1,NA())*tblRegister[Batch],""),tblTaxes[[#This Row],[Ind]]),"")</f>
        <v/>
      </c>
      <c r="D18" s="107" t="str">
        <f ca="1">IF(tblTaxes[[#This Row],[Batch]]="","",INDEX(tblRegister[Date],MATCH(tblTaxes[[#This Row],[Batch]],tblRegister[Batch])))</f>
        <v/>
      </c>
      <c r="E18" s="94" t="str">
        <f ca="1">IF(tblTaxes[[#This Row],[Batch]]="","",INDEX(tblRegister[OUT Token],MATCH(tblTaxes[[#This Row],[Batch]],tblRegister[Batch])))</f>
        <v/>
      </c>
      <c r="F18" s="88" t="str">
        <f ca="1">IF(tblTaxes[[#This Row],[Batch]]="","",INDEX(tblRegister[OUT Quantity],MATCH(tblTaxes[[#This Row],[Batch]],tblRegister[Batch])))</f>
        <v/>
      </c>
      <c r="G18" s="89" t="str">
        <f ca="1">IF(tblTaxes[[#This Row],[Batch]]="","",INDEX(tblRegister[OUT Book Price],MATCH(tblTaxes[[#This Row],[Batch]],tblRegister[Batch])))</f>
        <v/>
      </c>
      <c r="H18" s="89" t="str">
        <f ca="1">IF(tblTaxes[[#This Row],[Batch]]="","",INDEX(tblRegister[IN Quantity],MATCH(tblTaxes[[#This Row],[Batch]],tblRegister[Batch]))/tblTaxes[[#This Row],[Quantity]])</f>
        <v/>
      </c>
      <c r="I18" s="90" t="str">
        <f ca="1">IF(tblTaxes[[#This Row],[Batch]]="","",INDEX(tblRegister[Gain|Loss],MATCH(tblTaxes[[#This Row],[Batch]],tblRegister[Batch])))</f>
        <v/>
      </c>
      <c r="J18" s="91"/>
      <c r="K18" s="91" t="str">
        <f ca="1">IF(OR(tblTaxes[[#This Row],[Batch]]="",NOT(ISBLANK(tblTaxes[[#This Row],[Not Taxable]]))),"",tblTaxes[[#This Row],[Gain | Loss]]*Tax_Rate)</f>
        <v/>
      </c>
    </row>
    <row r="19" spans="2:11" x14ac:dyDescent="0.25">
      <c r="B19" s="92">
        <f>ROW()-ROW(tblTaxes[[#Headers],[Ind]])</f>
        <v>14</v>
      </c>
      <c r="C19" s="93" t="str">
        <f t="array" aca="1" ref="C19" ca="1">IFERROR(SMALL(IFERROR(IF(tblRegister[Date]&gt;=P_Start,1,NA())*IF(tblRegister[Date]&lt;=P_End,1,NA())*IF(tblRegister[Gain|Loss]&lt;&gt;"",1,NA())*tblRegister[Batch],""),tblTaxes[[#This Row],[Ind]]),"")</f>
        <v/>
      </c>
      <c r="D19" s="107" t="str">
        <f ca="1">IF(tblTaxes[[#This Row],[Batch]]="","",INDEX(tblRegister[Date],MATCH(tblTaxes[[#This Row],[Batch]],tblRegister[Batch])))</f>
        <v/>
      </c>
      <c r="E19" s="94" t="str">
        <f ca="1">IF(tblTaxes[[#This Row],[Batch]]="","",INDEX(tblRegister[OUT Token],MATCH(tblTaxes[[#This Row],[Batch]],tblRegister[Batch])))</f>
        <v/>
      </c>
      <c r="F19" s="88" t="str">
        <f ca="1">IF(tblTaxes[[#This Row],[Batch]]="","",INDEX(tblRegister[OUT Quantity],MATCH(tblTaxes[[#This Row],[Batch]],tblRegister[Batch])))</f>
        <v/>
      </c>
      <c r="G19" s="89" t="str">
        <f ca="1">IF(tblTaxes[[#This Row],[Batch]]="","",INDEX(tblRegister[OUT Book Price],MATCH(tblTaxes[[#This Row],[Batch]],tblRegister[Batch])))</f>
        <v/>
      </c>
      <c r="H19" s="89" t="str">
        <f ca="1">IF(tblTaxes[[#This Row],[Batch]]="","",INDEX(tblRegister[IN Quantity],MATCH(tblTaxes[[#This Row],[Batch]],tblRegister[Batch]))/tblTaxes[[#This Row],[Quantity]])</f>
        <v/>
      </c>
      <c r="I19" s="90" t="str">
        <f ca="1">IF(tblTaxes[[#This Row],[Batch]]="","",INDEX(tblRegister[Gain|Loss],MATCH(tblTaxes[[#This Row],[Batch]],tblRegister[Batch])))</f>
        <v/>
      </c>
      <c r="J19" s="91"/>
      <c r="K19" s="91" t="str">
        <f ca="1">IF(OR(tblTaxes[[#This Row],[Batch]]="",NOT(ISBLANK(tblTaxes[[#This Row],[Not Taxable]]))),"",tblTaxes[[#This Row],[Gain | Loss]]*Tax_Rate)</f>
        <v/>
      </c>
    </row>
    <row r="20" spans="2:11" x14ac:dyDescent="0.25">
      <c r="B20" s="92">
        <f>ROW()-ROW(tblTaxes[[#Headers],[Ind]])</f>
        <v>15</v>
      </c>
      <c r="C20" s="93" t="str">
        <f t="array" aca="1" ref="C20" ca="1">IFERROR(SMALL(IFERROR(IF(tblRegister[Date]&gt;=P_Start,1,NA())*IF(tblRegister[Date]&lt;=P_End,1,NA())*IF(tblRegister[Gain|Loss]&lt;&gt;"",1,NA())*tblRegister[Batch],""),tblTaxes[[#This Row],[Ind]]),"")</f>
        <v/>
      </c>
      <c r="D20" s="107" t="str">
        <f ca="1">IF(tblTaxes[[#This Row],[Batch]]="","",INDEX(tblRegister[Date],MATCH(tblTaxes[[#This Row],[Batch]],tblRegister[Batch])))</f>
        <v/>
      </c>
      <c r="E20" s="94" t="str">
        <f ca="1">IF(tblTaxes[[#This Row],[Batch]]="","",INDEX(tblRegister[OUT Token],MATCH(tblTaxes[[#This Row],[Batch]],tblRegister[Batch])))</f>
        <v/>
      </c>
      <c r="F20" s="88" t="str">
        <f ca="1">IF(tblTaxes[[#This Row],[Batch]]="","",INDEX(tblRegister[OUT Quantity],MATCH(tblTaxes[[#This Row],[Batch]],tblRegister[Batch])))</f>
        <v/>
      </c>
      <c r="G20" s="89" t="str">
        <f ca="1">IF(tblTaxes[[#This Row],[Batch]]="","",INDEX(tblRegister[OUT Book Price],MATCH(tblTaxes[[#This Row],[Batch]],tblRegister[Batch])))</f>
        <v/>
      </c>
      <c r="H20" s="89" t="str">
        <f ca="1">IF(tblTaxes[[#This Row],[Batch]]="","",INDEX(tblRegister[IN Quantity],MATCH(tblTaxes[[#This Row],[Batch]],tblRegister[Batch]))/tblTaxes[[#This Row],[Quantity]])</f>
        <v/>
      </c>
      <c r="I20" s="90" t="str">
        <f ca="1">IF(tblTaxes[[#This Row],[Batch]]="","",INDEX(tblRegister[Gain|Loss],MATCH(tblTaxes[[#This Row],[Batch]],tblRegister[Batch])))</f>
        <v/>
      </c>
      <c r="J20" s="91"/>
      <c r="K20" s="91" t="str">
        <f ca="1">IF(OR(tblTaxes[[#This Row],[Batch]]="",NOT(ISBLANK(tblTaxes[[#This Row],[Not Taxable]]))),"",tblTaxes[[#This Row],[Gain | Loss]]*Tax_Rate)</f>
        <v/>
      </c>
    </row>
    <row r="21" spans="2:11" x14ac:dyDescent="0.25">
      <c r="B21" s="92">
        <f>ROW()-ROW(tblTaxes[[#Headers],[Ind]])</f>
        <v>16</v>
      </c>
      <c r="C21" s="93" t="str">
        <f t="array" aca="1" ref="C21" ca="1">IFERROR(SMALL(IFERROR(IF(tblRegister[Date]&gt;=P_Start,1,NA())*IF(tblRegister[Date]&lt;=P_End,1,NA())*IF(tblRegister[Gain|Loss]&lt;&gt;"",1,NA())*tblRegister[Batch],""),tblTaxes[[#This Row],[Ind]]),"")</f>
        <v/>
      </c>
      <c r="D21" s="107" t="str">
        <f ca="1">IF(tblTaxes[[#This Row],[Batch]]="","",INDEX(tblRegister[Date],MATCH(tblTaxes[[#This Row],[Batch]],tblRegister[Batch])))</f>
        <v/>
      </c>
      <c r="E21" s="94" t="str">
        <f ca="1">IF(tblTaxes[[#This Row],[Batch]]="","",INDEX(tblRegister[OUT Token],MATCH(tblTaxes[[#This Row],[Batch]],tblRegister[Batch])))</f>
        <v/>
      </c>
      <c r="F21" s="88" t="str">
        <f ca="1">IF(tblTaxes[[#This Row],[Batch]]="","",INDEX(tblRegister[OUT Quantity],MATCH(tblTaxes[[#This Row],[Batch]],tblRegister[Batch])))</f>
        <v/>
      </c>
      <c r="G21" s="89" t="str">
        <f ca="1">IF(tblTaxes[[#This Row],[Batch]]="","",INDEX(tblRegister[OUT Book Price],MATCH(tblTaxes[[#This Row],[Batch]],tblRegister[Batch])))</f>
        <v/>
      </c>
      <c r="H21" s="89" t="str">
        <f ca="1">IF(tblTaxes[[#This Row],[Batch]]="","",INDEX(tblRegister[IN Quantity],MATCH(tblTaxes[[#This Row],[Batch]],tblRegister[Batch]))/tblTaxes[[#This Row],[Quantity]])</f>
        <v/>
      </c>
      <c r="I21" s="90" t="str">
        <f ca="1">IF(tblTaxes[[#This Row],[Batch]]="","",INDEX(tblRegister[Gain|Loss],MATCH(tblTaxes[[#This Row],[Batch]],tblRegister[Batch])))</f>
        <v/>
      </c>
      <c r="J21" s="91"/>
      <c r="K21" s="91" t="str">
        <f ca="1">IF(OR(tblTaxes[[#This Row],[Batch]]="",NOT(ISBLANK(tblTaxes[[#This Row],[Not Taxable]]))),"",tblTaxes[[#This Row],[Gain | Loss]]*Tax_Rate)</f>
        <v/>
      </c>
    </row>
    <row r="22" spans="2:11" x14ac:dyDescent="0.25">
      <c r="B22" s="92">
        <f>ROW()-ROW(tblTaxes[[#Headers],[Ind]])</f>
        <v>17</v>
      </c>
      <c r="C22" s="93" t="str">
        <f t="array" aca="1" ref="C22" ca="1">IFERROR(SMALL(IFERROR(IF(tblRegister[Date]&gt;=P_Start,1,NA())*IF(tblRegister[Date]&lt;=P_End,1,NA())*IF(tblRegister[Gain|Loss]&lt;&gt;"",1,NA())*tblRegister[Batch],""),tblTaxes[[#This Row],[Ind]]),"")</f>
        <v/>
      </c>
      <c r="D22" s="107" t="str">
        <f ca="1">IF(tblTaxes[[#This Row],[Batch]]="","",INDEX(tblRegister[Date],MATCH(tblTaxes[[#This Row],[Batch]],tblRegister[Batch])))</f>
        <v/>
      </c>
      <c r="E22" s="94" t="str">
        <f ca="1">IF(tblTaxes[[#This Row],[Batch]]="","",INDEX(tblRegister[OUT Token],MATCH(tblTaxes[[#This Row],[Batch]],tblRegister[Batch])))</f>
        <v/>
      </c>
      <c r="F22" s="88" t="str">
        <f ca="1">IF(tblTaxes[[#This Row],[Batch]]="","",INDEX(tblRegister[OUT Quantity],MATCH(tblTaxes[[#This Row],[Batch]],tblRegister[Batch])))</f>
        <v/>
      </c>
      <c r="G22" s="89" t="str">
        <f ca="1">IF(tblTaxes[[#This Row],[Batch]]="","",INDEX(tblRegister[OUT Book Price],MATCH(tblTaxes[[#This Row],[Batch]],tblRegister[Batch])))</f>
        <v/>
      </c>
      <c r="H22" s="89" t="str">
        <f ca="1">IF(tblTaxes[[#This Row],[Batch]]="","",INDEX(tblRegister[IN Quantity],MATCH(tblTaxes[[#This Row],[Batch]],tblRegister[Batch]))/tblTaxes[[#This Row],[Quantity]])</f>
        <v/>
      </c>
      <c r="I22" s="90" t="str">
        <f ca="1">IF(tblTaxes[[#This Row],[Batch]]="","",INDEX(tblRegister[Gain|Loss],MATCH(tblTaxes[[#This Row],[Batch]],tblRegister[Batch])))</f>
        <v/>
      </c>
      <c r="J22" s="91"/>
      <c r="K22" s="91" t="str">
        <f ca="1">IF(OR(tblTaxes[[#This Row],[Batch]]="",NOT(ISBLANK(tblTaxes[[#This Row],[Not Taxable]]))),"",tblTaxes[[#This Row],[Gain | Loss]]*Tax_Rate)</f>
        <v/>
      </c>
    </row>
    <row r="23" spans="2:11" x14ac:dyDescent="0.25">
      <c r="B23" s="92">
        <f>ROW()-ROW(tblTaxes[[#Headers],[Ind]])</f>
        <v>18</v>
      </c>
      <c r="C23" s="93" t="str">
        <f t="array" aca="1" ref="C23" ca="1">IFERROR(SMALL(IFERROR(IF(tblRegister[Date]&gt;=P_Start,1,NA())*IF(tblRegister[Date]&lt;=P_End,1,NA())*IF(tblRegister[Gain|Loss]&lt;&gt;"",1,NA())*tblRegister[Batch],""),tblTaxes[[#This Row],[Ind]]),"")</f>
        <v/>
      </c>
      <c r="D23" s="107" t="str">
        <f ca="1">IF(tblTaxes[[#This Row],[Batch]]="","",INDEX(tblRegister[Date],MATCH(tblTaxes[[#This Row],[Batch]],tblRegister[Batch])))</f>
        <v/>
      </c>
      <c r="E23" s="94" t="str">
        <f ca="1">IF(tblTaxes[[#This Row],[Batch]]="","",INDEX(tblRegister[OUT Token],MATCH(tblTaxes[[#This Row],[Batch]],tblRegister[Batch])))</f>
        <v/>
      </c>
      <c r="F23" s="88" t="str">
        <f ca="1">IF(tblTaxes[[#This Row],[Batch]]="","",INDEX(tblRegister[OUT Quantity],MATCH(tblTaxes[[#This Row],[Batch]],tblRegister[Batch])))</f>
        <v/>
      </c>
      <c r="G23" s="89" t="str">
        <f ca="1">IF(tblTaxes[[#This Row],[Batch]]="","",INDEX(tblRegister[OUT Book Price],MATCH(tblTaxes[[#This Row],[Batch]],tblRegister[Batch])))</f>
        <v/>
      </c>
      <c r="H23" s="89" t="str">
        <f ca="1">IF(tblTaxes[[#This Row],[Batch]]="","",INDEX(tblRegister[IN Quantity],MATCH(tblTaxes[[#This Row],[Batch]],tblRegister[Batch]))/tblTaxes[[#This Row],[Quantity]])</f>
        <v/>
      </c>
      <c r="I23" s="90" t="str">
        <f ca="1">IF(tblTaxes[[#This Row],[Batch]]="","",INDEX(tblRegister[Gain|Loss],MATCH(tblTaxes[[#This Row],[Batch]],tblRegister[Batch])))</f>
        <v/>
      </c>
      <c r="J23" s="91"/>
      <c r="K23" s="91" t="str">
        <f ca="1">IF(OR(tblTaxes[[#This Row],[Batch]]="",NOT(ISBLANK(tblTaxes[[#This Row],[Not Taxable]]))),"",tblTaxes[[#This Row],[Gain | Loss]]*Tax_Rate)</f>
        <v/>
      </c>
    </row>
    <row r="24" spans="2:11" x14ac:dyDescent="0.25">
      <c r="B24" s="92">
        <f>ROW()-ROW(tblTaxes[[#Headers],[Ind]])</f>
        <v>19</v>
      </c>
      <c r="C24" s="93" t="str">
        <f t="array" aca="1" ref="C24" ca="1">IFERROR(SMALL(IFERROR(IF(tblRegister[Date]&gt;=P_Start,1,NA())*IF(tblRegister[Date]&lt;=P_End,1,NA())*IF(tblRegister[Gain|Loss]&lt;&gt;"",1,NA())*tblRegister[Batch],""),tblTaxes[[#This Row],[Ind]]),"")</f>
        <v/>
      </c>
      <c r="D24" s="107" t="str">
        <f ca="1">IF(tblTaxes[[#This Row],[Batch]]="","",INDEX(tblRegister[Date],MATCH(tblTaxes[[#This Row],[Batch]],tblRegister[Batch])))</f>
        <v/>
      </c>
      <c r="E24" s="94" t="str">
        <f ca="1">IF(tblTaxes[[#This Row],[Batch]]="","",INDEX(tblRegister[OUT Token],MATCH(tblTaxes[[#This Row],[Batch]],tblRegister[Batch])))</f>
        <v/>
      </c>
      <c r="F24" s="88" t="str">
        <f ca="1">IF(tblTaxes[[#This Row],[Batch]]="","",INDEX(tblRegister[OUT Quantity],MATCH(tblTaxes[[#This Row],[Batch]],tblRegister[Batch])))</f>
        <v/>
      </c>
      <c r="G24" s="89" t="str">
        <f ca="1">IF(tblTaxes[[#This Row],[Batch]]="","",INDEX(tblRegister[OUT Book Price],MATCH(tblTaxes[[#This Row],[Batch]],tblRegister[Batch])))</f>
        <v/>
      </c>
      <c r="H24" s="89" t="str">
        <f ca="1">IF(tblTaxes[[#This Row],[Batch]]="","",INDEX(tblRegister[IN Quantity],MATCH(tblTaxes[[#This Row],[Batch]],tblRegister[Batch]))/tblTaxes[[#This Row],[Quantity]])</f>
        <v/>
      </c>
      <c r="I24" s="90" t="str">
        <f ca="1">IF(tblTaxes[[#This Row],[Batch]]="","",INDEX(tblRegister[Gain|Loss],MATCH(tblTaxes[[#This Row],[Batch]],tblRegister[Batch])))</f>
        <v/>
      </c>
      <c r="J24" s="91"/>
      <c r="K24" s="91" t="str">
        <f ca="1">IF(OR(tblTaxes[[#This Row],[Batch]]="",NOT(ISBLANK(tblTaxes[[#This Row],[Not Taxable]]))),"",tblTaxes[[#This Row],[Gain | Loss]]*Tax_Rate)</f>
        <v/>
      </c>
    </row>
    <row r="25" spans="2:11" x14ac:dyDescent="0.25">
      <c r="B25" s="92">
        <f>ROW()-ROW(tblTaxes[[#Headers],[Ind]])</f>
        <v>20</v>
      </c>
      <c r="C25" s="93" t="str">
        <f t="array" aca="1" ref="C25" ca="1">IFERROR(SMALL(IFERROR(IF(tblRegister[Date]&gt;=P_Start,1,NA())*IF(tblRegister[Date]&lt;=P_End,1,NA())*IF(tblRegister[Gain|Loss]&lt;&gt;"",1,NA())*tblRegister[Batch],""),tblTaxes[[#This Row],[Ind]]),"")</f>
        <v/>
      </c>
      <c r="D25" s="107" t="str">
        <f ca="1">IF(tblTaxes[[#This Row],[Batch]]="","",INDEX(tblRegister[Date],MATCH(tblTaxes[[#This Row],[Batch]],tblRegister[Batch])))</f>
        <v/>
      </c>
      <c r="E25" s="94" t="str">
        <f ca="1">IF(tblTaxes[[#This Row],[Batch]]="","",INDEX(tblRegister[OUT Token],MATCH(tblTaxes[[#This Row],[Batch]],tblRegister[Batch])))</f>
        <v/>
      </c>
      <c r="F25" s="88" t="str">
        <f ca="1">IF(tblTaxes[[#This Row],[Batch]]="","",INDEX(tblRegister[OUT Quantity],MATCH(tblTaxes[[#This Row],[Batch]],tblRegister[Batch])))</f>
        <v/>
      </c>
      <c r="G25" s="89" t="str">
        <f ca="1">IF(tblTaxes[[#This Row],[Batch]]="","",INDEX(tblRegister[OUT Book Price],MATCH(tblTaxes[[#This Row],[Batch]],tblRegister[Batch])))</f>
        <v/>
      </c>
      <c r="H25" s="89" t="str">
        <f ca="1">IF(tblTaxes[[#This Row],[Batch]]="","",INDEX(tblRegister[IN Quantity],MATCH(tblTaxes[[#This Row],[Batch]],tblRegister[Batch]))/tblTaxes[[#This Row],[Quantity]])</f>
        <v/>
      </c>
      <c r="I25" s="90" t="str">
        <f ca="1">IF(tblTaxes[[#This Row],[Batch]]="","",INDEX(tblRegister[Gain|Loss],MATCH(tblTaxes[[#This Row],[Batch]],tblRegister[Batch])))</f>
        <v/>
      </c>
      <c r="J25" s="91"/>
      <c r="K25" s="91" t="str">
        <f ca="1">IF(OR(tblTaxes[[#This Row],[Batch]]="",NOT(ISBLANK(tblTaxes[[#This Row],[Not Taxable]]))),"",tblTaxes[[#This Row],[Gain | Loss]]*Tax_Rate)</f>
        <v/>
      </c>
    </row>
    <row r="26" spans="2:11" x14ac:dyDescent="0.25">
      <c r="B26" s="92">
        <f>ROW()-ROW(tblTaxes[[#Headers],[Ind]])</f>
        <v>21</v>
      </c>
      <c r="C26" s="93" t="str">
        <f t="array" aca="1" ref="C26" ca="1">IFERROR(SMALL(IFERROR(IF(tblRegister[Date]&gt;=P_Start,1,NA())*IF(tblRegister[Date]&lt;=P_End,1,NA())*IF(tblRegister[Gain|Loss]&lt;&gt;"",1,NA())*tblRegister[Batch],""),tblTaxes[[#This Row],[Ind]]),"")</f>
        <v/>
      </c>
      <c r="D26" s="107" t="str">
        <f ca="1">IF(tblTaxes[[#This Row],[Batch]]="","",INDEX(tblRegister[Date],MATCH(tblTaxes[[#This Row],[Batch]],tblRegister[Batch])))</f>
        <v/>
      </c>
      <c r="E26" s="94" t="str">
        <f ca="1">IF(tblTaxes[[#This Row],[Batch]]="","",INDEX(tblRegister[OUT Token],MATCH(tblTaxes[[#This Row],[Batch]],tblRegister[Batch])))</f>
        <v/>
      </c>
      <c r="F26" s="88" t="str">
        <f ca="1">IF(tblTaxes[[#This Row],[Batch]]="","",INDEX(tblRegister[OUT Quantity],MATCH(tblTaxes[[#This Row],[Batch]],tblRegister[Batch])))</f>
        <v/>
      </c>
      <c r="G26" s="89" t="str">
        <f ca="1">IF(tblTaxes[[#This Row],[Batch]]="","",INDEX(tblRegister[OUT Book Price],MATCH(tblTaxes[[#This Row],[Batch]],tblRegister[Batch])))</f>
        <v/>
      </c>
      <c r="H26" s="89" t="str">
        <f ca="1">IF(tblTaxes[[#This Row],[Batch]]="","",INDEX(tblRegister[IN Quantity],MATCH(tblTaxes[[#This Row],[Batch]],tblRegister[Batch]))/tblTaxes[[#This Row],[Quantity]])</f>
        <v/>
      </c>
      <c r="I26" s="90" t="str">
        <f ca="1">IF(tblTaxes[[#This Row],[Batch]]="","",INDEX(tblRegister[Gain|Loss],MATCH(tblTaxes[[#This Row],[Batch]],tblRegister[Batch])))</f>
        <v/>
      </c>
      <c r="J26" s="91"/>
      <c r="K26" s="91" t="str">
        <f ca="1">IF(OR(tblTaxes[[#This Row],[Batch]]="",NOT(ISBLANK(tblTaxes[[#This Row],[Not Taxable]]))),"",tblTaxes[[#This Row],[Gain | Loss]]*Tax_Rate)</f>
        <v/>
      </c>
    </row>
    <row r="27" spans="2:11" x14ac:dyDescent="0.25">
      <c r="B27" s="92">
        <f>ROW()-ROW(tblTaxes[[#Headers],[Ind]])</f>
        <v>22</v>
      </c>
      <c r="C27" s="93" t="str">
        <f t="array" aca="1" ref="C27" ca="1">IFERROR(SMALL(IFERROR(IF(tblRegister[Date]&gt;=P_Start,1,NA())*IF(tblRegister[Date]&lt;=P_End,1,NA())*IF(tblRegister[Gain|Loss]&lt;&gt;"",1,NA())*tblRegister[Batch],""),tblTaxes[[#This Row],[Ind]]),"")</f>
        <v/>
      </c>
      <c r="D27" s="107" t="str">
        <f ca="1">IF(tblTaxes[[#This Row],[Batch]]="","",INDEX(tblRegister[Date],MATCH(tblTaxes[[#This Row],[Batch]],tblRegister[Batch])))</f>
        <v/>
      </c>
      <c r="E27" s="94" t="str">
        <f ca="1">IF(tblTaxes[[#This Row],[Batch]]="","",INDEX(tblRegister[OUT Token],MATCH(tblTaxes[[#This Row],[Batch]],tblRegister[Batch])))</f>
        <v/>
      </c>
      <c r="F27" s="88" t="str">
        <f ca="1">IF(tblTaxes[[#This Row],[Batch]]="","",INDEX(tblRegister[OUT Quantity],MATCH(tblTaxes[[#This Row],[Batch]],tblRegister[Batch])))</f>
        <v/>
      </c>
      <c r="G27" s="89" t="str">
        <f ca="1">IF(tblTaxes[[#This Row],[Batch]]="","",INDEX(tblRegister[OUT Book Price],MATCH(tblTaxes[[#This Row],[Batch]],tblRegister[Batch])))</f>
        <v/>
      </c>
      <c r="H27" s="89" t="str">
        <f ca="1">IF(tblTaxes[[#This Row],[Batch]]="","",INDEX(tblRegister[IN Quantity],MATCH(tblTaxes[[#This Row],[Batch]],tblRegister[Batch]))/tblTaxes[[#This Row],[Quantity]])</f>
        <v/>
      </c>
      <c r="I27" s="90" t="str">
        <f ca="1">IF(tblTaxes[[#This Row],[Batch]]="","",INDEX(tblRegister[Gain|Loss],MATCH(tblTaxes[[#This Row],[Batch]],tblRegister[Batch])))</f>
        <v/>
      </c>
      <c r="J27" s="91"/>
      <c r="K27" s="91" t="str">
        <f ca="1">IF(OR(tblTaxes[[#This Row],[Batch]]="",NOT(ISBLANK(tblTaxes[[#This Row],[Not Taxable]]))),"",tblTaxes[[#This Row],[Gain | Loss]]*Tax_Rate)</f>
        <v/>
      </c>
    </row>
    <row r="28" spans="2:11" x14ac:dyDescent="0.25">
      <c r="B28" s="92">
        <f>ROW()-ROW(tblTaxes[[#Headers],[Ind]])</f>
        <v>23</v>
      </c>
      <c r="C28" s="93" t="str">
        <f t="array" aca="1" ref="C28" ca="1">IFERROR(SMALL(IFERROR(IF(tblRegister[Date]&gt;=P_Start,1,NA())*IF(tblRegister[Date]&lt;=P_End,1,NA())*IF(tblRegister[Gain|Loss]&lt;&gt;"",1,NA())*tblRegister[Batch],""),tblTaxes[[#This Row],[Ind]]),"")</f>
        <v/>
      </c>
      <c r="D28" s="107" t="str">
        <f ca="1">IF(tblTaxes[[#This Row],[Batch]]="","",INDEX(tblRegister[Date],MATCH(tblTaxes[[#This Row],[Batch]],tblRegister[Batch])))</f>
        <v/>
      </c>
      <c r="E28" s="94" t="str">
        <f ca="1">IF(tblTaxes[[#This Row],[Batch]]="","",INDEX(tblRegister[OUT Token],MATCH(tblTaxes[[#This Row],[Batch]],tblRegister[Batch])))</f>
        <v/>
      </c>
      <c r="F28" s="88" t="str">
        <f ca="1">IF(tblTaxes[[#This Row],[Batch]]="","",INDEX(tblRegister[OUT Quantity],MATCH(tblTaxes[[#This Row],[Batch]],tblRegister[Batch])))</f>
        <v/>
      </c>
      <c r="G28" s="89" t="str">
        <f ca="1">IF(tblTaxes[[#This Row],[Batch]]="","",INDEX(tblRegister[OUT Book Price],MATCH(tblTaxes[[#This Row],[Batch]],tblRegister[Batch])))</f>
        <v/>
      </c>
      <c r="H28" s="89" t="str">
        <f ca="1">IF(tblTaxes[[#This Row],[Batch]]="","",INDEX(tblRegister[IN Quantity],MATCH(tblTaxes[[#This Row],[Batch]],tblRegister[Batch]))/tblTaxes[[#This Row],[Quantity]])</f>
        <v/>
      </c>
      <c r="I28" s="90" t="str">
        <f ca="1">IF(tblTaxes[[#This Row],[Batch]]="","",INDEX(tblRegister[Gain|Loss],MATCH(tblTaxes[[#This Row],[Batch]],tblRegister[Batch])))</f>
        <v/>
      </c>
      <c r="J28" s="91"/>
      <c r="K28" s="91" t="str">
        <f ca="1">IF(OR(tblTaxes[[#This Row],[Batch]]="",NOT(ISBLANK(tblTaxes[[#This Row],[Not Taxable]]))),"",tblTaxes[[#This Row],[Gain | Loss]]*Tax_Rate)</f>
        <v/>
      </c>
    </row>
    <row r="29" spans="2:11" x14ac:dyDescent="0.25">
      <c r="B29" s="92">
        <f>ROW()-ROW(tblTaxes[[#Headers],[Ind]])</f>
        <v>24</v>
      </c>
      <c r="C29" s="93" t="str">
        <f t="array" aca="1" ref="C29" ca="1">IFERROR(SMALL(IFERROR(IF(tblRegister[Date]&gt;=P_Start,1,NA())*IF(tblRegister[Date]&lt;=P_End,1,NA())*IF(tblRegister[Gain|Loss]&lt;&gt;"",1,NA())*tblRegister[Batch],""),tblTaxes[[#This Row],[Ind]]),"")</f>
        <v/>
      </c>
      <c r="D29" s="107" t="str">
        <f ca="1">IF(tblTaxes[[#This Row],[Batch]]="","",INDEX(tblRegister[Date],MATCH(tblTaxes[[#This Row],[Batch]],tblRegister[Batch])))</f>
        <v/>
      </c>
      <c r="E29" s="94" t="str">
        <f ca="1">IF(tblTaxes[[#This Row],[Batch]]="","",INDEX(tblRegister[OUT Token],MATCH(tblTaxes[[#This Row],[Batch]],tblRegister[Batch])))</f>
        <v/>
      </c>
      <c r="F29" s="88" t="str">
        <f ca="1">IF(tblTaxes[[#This Row],[Batch]]="","",INDEX(tblRegister[OUT Quantity],MATCH(tblTaxes[[#This Row],[Batch]],tblRegister[Batch])))</f>
        <v/>
      </c>
      <c r="G29" s="89" t="str">
        <f ca="1">IF(tblTaxes[[#This Row],[Batch]]="","",INDEX(tblRegister[OUT Book Price],MATCH(tblTaxes[[#This Row],[Batch]],tblRegister[Batch])))</f>
        <v/>
      </c>
      <c r="H29" s="89" t="str">
        <f ca="1">IF(tblTaxes[[#This Row],[Batch]]="","",INDEX(tblRegister[IN Quantity],MATCH(tblTaxes[[#This Row],[Batch]],tblRegister[Batch]))/tblTaxes[[#This Row],[Quantity]])</f>
        <v/>
      </c>
      <c r="I29" s="90" t="str">
        <f ca="1">IF(tblTaxes[[#This Row],[Batch]]="","",INDEX(tblRegister[Gain|Loss],MATCH(tblTaxes[[#This Row],[Batch]],tblRegister[Batch])))</f>
        <v/>
      </c>
      <c r="J29" s="91"/>
      <c r="K29" s="91" t="str">
        <f ca="1">IF(OR(tblTaxes[[#This Row],[Batch]]="",NOT(ISBLANK(tblTaxes[[#This Row],[Not Taxable]]))),"",tblTaxes[[#This Row],[Gain | Loss]]*Tax_Rate)</f>
        <v/>
      </c>
    </row>
    <row r="30" spans="2:11" x14ac:dyDescent="0.25">
      <c r="B30" s="92">
        <f>ROW()-ROW(tblTaxes[[#Headers],[Ind]])</f>
        <v>25</v>
      </c>
      <c r="C30" s="93" t="str">
        <f t="array" aca="1" ref="C30" ca="1">IFERROR(SMALL(IFERROR(IF(tblRegister[Date]&gt;=P_Start,1,NA())*IF(tblRegister[Date]&lt;=P_End,1,NA())*IF(tblRegister[Gain|Loss]&lt;&gt;"",1,NA())*tblRegister[Batch],""),tblTaxes[[#This Row],[Ind]]),"")</f>
        <v/>
      </c>
      <c r="D30" s="107" t="str">
        <f ca="1">IF(tblTaxes[[#This Row],[Batch]]="","",INDEX(tblRegister[Date],MATCH(tblTaxes[[#This Row],[Batch]],tblRegister[Batch])))</f>
        <v/>
      </c>
      <c r="E30" s="94" t="str">
        <f ca="1">IF(tblTaxes[[#This Row],[Batch]]="","",INDEX(tblRegister[OUT Token],MATCH(tblTaxes[[#This Row],[Batch]],tblRegister[Batch])))</f>
        <v/>
      </c>
      <c r="F30" s="88" t="str">
        <f ca="1">IF(tblTaxes[[#This Row],[Batch]]="","",INDEX(tblRegister[OUT Quantity],MATCH(tblTaxes[[#This Row],[Batch]],tblRegister[Batch])))</f>
        <v/>
      </c>
      <c r="G30" s="89" t="str">
        <f ca="1">IF(tblTaxes[[#This Row],[Batch]]="","",INDEX(tblRegister[OUT Book Price],MATCH(tblTaxes[[#This Row],[Batch]],tblRegister[Batch])))</f>
        <v/>
      </c>
      <c r="H30" s="89" t="str">
        <f ca="1">IF(tblTaxes[[#This Row],[Batch]]="","",INDEX(tblRegister[IN Quantity],MATCH(tblTaxes[[#This Row],[Batch]],tblRegister[Batch]))/tblTaxes[[#This Row],[Quantity]])</f>
        <v/>
      </c>
      <c r="I30" s="90" t="str">
        <f ca="1">IF(tblTaxes[[#This Row],[Batch]]="","",INDEX(tblRegister[Gain|Loss],MATCH(tblTaxes[[#This Row],[Batch]],tblRegister[Batch])))</f>
        <v/>
      </c>
      <c r="J30" s="91"/>
      <c r="K30" s="91" t="str">
        <f ca="1">IF(OR(tblTaxes[[#This Row],[Batch]]="",NOT(ISBLANK(tblTaxes[[#This Row],[Not Taxable]]))),"",tblTaxes[[#This Row],[Gain | Loss]]*Tax_Rate)</f>
        <v/>
      </c>
    </row>
    <row r="31" spans="2:11" x14ac:dyDescent="0.25">
      <c r="B31" s="92">
        <f>ROW()-ROW(tblTaxes[[#Headers],[Ind]])</f>
        <v>26</v>
      </c>
      <c r="C31" s="93" t="str">
        <f t="array" aca="1" ref="C31" ca="1">IFERROR(SMALL(IFERROR(IF(tblRegister[Date]&gt;=P_Start,1,NA())*IF(tblRegister[Date]&lt;=P_End,1,NA())*IF(tblRegister[Gain|Loss]&lt;&gt;"",1,NA())*tblRegister[Batch],""),tblTaxes[[#This Row],[Ind]]),"")</f>
        <v/>
      </c>
      <c r="D31" s="107" t="str">
        <f ca="1">IF(tblTaxes[[#This Row],[Batch]]="","",INDEX(tblRegister[Date],MATCH(tblTaxes[[#This Row],[Batch]],tblRegister[Batch])))</f>
        <v/>
      </c>
      <c r="E31" s="94" t="str">
        <f ca="1">IF(tblTaxes[[#This Row],[Batch]]="","",INDEX(tblRegister[OUT Token],MATCH(tblTaxes[[#This Row],[Batch]],tblRegister[Batch])))</f>
        <v/>
      </c>
      <c r="F31" s="88" t="str">
        <f ca="1">IF(tblTaxes[[#This Row],[Batch]]="","",INDEX(tblRegister[OUT Quantity],MATCH(tblTaxes[[#This Row],[Batch]],tblRegister[Batch])))</f>
        <v/>
      </c>
      <c r="G31" s="89" t="str">
        <f ca="1">IF(tblTaxes[[#This Row],[Batch]]="","",INDEX(tblRegister[OUT Book Price],MATCH(tblTaxes[[#This Row],[Batch]],tblRegister[Batch])))</f>
        <v/>
      </c>
      <c r="H31" s="89" t="str">
        <f ca="1">IF(tblTaxes[[#This Row],[Batch]]="","",INDEX(tblRegister[IN Quantity],MATCH(tblTaxes[[#This Row],[Batch]],tblRegister[Batch]))/tblTaxes[[#This Row],[Quantity]])</f>
        <v/>
      </c>
      <c r="I31" s="90" t="str">
        <f ca="1">IF(tblTaxes[[#This Row],[Batch]]="","",INDEX(tblRegister[Gain|Loss],MATCH(tblTaxes[[#This Row],[Batch]],tblRegister[Batch])))</f>
        <v/>
      </c>
      <c r="J31" s="91"/>
      <c r="K31" s="91" t="str">
        <f ca="1">IF(OR(tblTaxes[[#This Row],[Batch]]="",NOT(ISBLANK(tblTaxes[[#This Row],[Not Taxable]]))),"",tblTaxes[[#This Row],[Gain | Loss]]*Tax_Rate)</f>
        <v/>
      </c>
    </row>
    <row r="32" spans="2:11" x14ac:dyDescent="0.25">
      <c r="B32" s="92">
        <f>ROW()-ROW(tblTaxes[[#Headers],[Ind]])</f>
        <v>27</v>
      </c>
      <c r="C32" s="93" t="str">
        <f t="array" aca="1" ref="C32" ca="1">IFERROR(SMALL(IFERROR(IF(tblRegister[Date]&gt;=P_Start,1,NA())*IF(tblRegister[Date]&lt;=P_End,1,NA())*IF(tblRegister[Gain|Loss]&lt;&gt;"",1,NA())*tblRegister[Batch],""),tblTaxes[[#This Row],[Ind]]),"")</f>
        <v/>
      </c>
      <c r="D32" s="107" t="str">
        <f ca="1">IF(tblTaxes[[#This Row],[Batch]]="","",INDEX(tblRegister[Date],MATCH(tblTaxes[[#This Row],[Batch]],tblRegister[Batch])))</f>
        <v/>
      </c>
      <c r="E32" s="94" t="str">
        <f ca="1">IF(tblTaxes[[#This Row],[Batch]]="","",INDEX(tblRegister[OUT Token],MATCH(tblTaxes[[#This Row],[Batch]],tblRegister[Batch])))</f>
        <v/>
      </c>
      <c r="F32" s="88" t="str">
        <f ca="1">IF(tblTaxes[[#This Row],[Batch]]="","",INDEX(tblRegister[OUT Quantity],MATCH(tblTaxes[[#This Row],[Batch]],tblRegister[Batch])))</f>
        <v/>
      </c>
      <c r="G32" s="89" t="str">
        <f ca="1">IF(tblTaxes[[#This Row],[Batch]]="","",INDEX(tblRegister[OUT Book Price],MATCH(tblTaxes[[#This Row],[Batch]],tblRegister[Batch])))</f>
        <v/>
      </c>
      <c r="H32" s="89" t="str">
        <f ca="1">IF(tblTaxes[[#This Row],[Batch]]="","",INDEX(tblRegister[IN Quantity],MATCH(tblTaxes[[#This Row],[Batch]],tblRegister[Batch]))/tblTaxes[[#This Row],[Quantity]])</f>
        <v/>
      </c>
      <c r="I32" s="90" t="str">
        <f ca="1">IF(tblTaxes[[#This Row],[Batch]]="","",INDEX(tblRegister[Gain|Loss],MATCH(tblTaxes[[#This Row],[Batch]],tblRegister[Batch])))</f>
        <v/>
      </c>
      <c r="J32" s="91"/>
      <c r="K32" s="91" t="str">
        <f ca="1">IF(OR(tblTaxes[[#This Row],[Batch]]="",NOT(ISBLANK(tblTaxes[[#This Row],[Not Taxable]]))),"",tblTaxes[[#This Row],[Gain | Loss]]*Tax_Rate)</f>
        <v/>
      </c>
    </row>
    <row r="33" spans="2:11" x14ac:dyDescent="0.25">
      <c r="B33" s="92">
        <f>ROW()-ROW(tblTaxes[[#Headers],[Ind]])</f>
        <v>28</v>
      </c>
      <c r="C33" s="93" t="str">
        <f t="array" aca="1" ref="C33" ca="1">IFERROR(SMALL(IFERROR(IF(tblRegister[Date]&gt;=P_Start,1,NA())*IF(tblRegister[Date]&lt;=P_End,1,NA())*IF(tblRegister[Gain|Loss]&lt;&gt;"",1,NA())*tblRegister[Batch],""),tblTaxes[[#This Row],[Ind]]),"")</f>
        <v/>
      </c>
      <c r="D33" s="107" t="str">
        <f ca="1">IF(tblTaxes[[#This Row],[Batch]]="","",INDEX(tblRegister[Date],MATCH(tblTaxes[[#This Row],[Batch]],tblRegister[Batch])))</f>
        <v/>
      </c>
      <c r="E33" s="94" t="str">
        <f ca="1">IF(tblTaxes[[#This Row],[Batch]]="","",INDEX(tblRegister[OUT Token],MATCH(tblTaxes[[#This Row],[Batch]],tblRegister[Batch])))</f>
        <v/>
      </c>
      <c r="F33" s="88" t="str">
        <f ca="1">IF(tblTaxes[[#This Row],[Batch]]="","",INDEX(tblRegister[OUT Quantity],MATCH(tblTaxes[[#This Row],[Batch]],tblRegister[Batch])))</f>
        <v/>
      </c>
      <c r="G33" s="89" t="str">
        <f ca="1">IF(tblTaxes[[#This Row],[Batch]]="","",INDEX(tblRegister[OUT Book Price],MATCH(tblTaxes[[#This Row],[Batch]],tblRegister[Batch])))</f>
        <v/>
      </c>
      <c r="H33" s="89" t="str">
        <f ca="1">IF(tblTaxes[[#This Row],[Batch]]="","",INDEX(tblRegister[IN Quantity],MATCH(tblTaxes[[#This Row],[Batch]],tblRegister[Batch]))/tblTaxes[[#This Row],[Quantity]])</f>
        <v/>
      </c>
      <c r="I33" s="90" t="str">
        <f ca="1">IF(tblTaxes[[#This Row],[Batch]]="","",INDEX(tblRegister[Gain|Loss],MATCH(tblTaxes[[#This Row],[Batch]],tblRegister[Batch])))</f>
        <v/>
      </c>
      <c r="J33" s="91"/>
      <c r="K33" s="91" t="str">
        <f ca="1">IF(OR(tblTaxes[[#This Row],[Batch]]="",NOT(ISBLANK(tblTaxes[[#This Row],[Not Taxable]]))),"",tblTaxes[[#This Row],[Gain | Loss]]*Tax_Rate)</f>
        <v/>
      </c>
    </row>
    <row r="34" spans="2:11" x14ac:dyDescent="0.25">
      <c r="B34" s="92">
        <f>ROW()-ROW(tblTaxes[[#Headers],[Ind]])</f>
        <v>29</v>
      </c>
      <c r="C34" s="93" t="str">
        <f t="array" aca="1" ref="C34" ca="1">IFERROR(SMALL(IFERROR(IF(tblRegister[Date]&gt;=P_Start,1,NA())*IF(tblRegister[Date]&lt;=P_End,1,NA())*IF(tblRegister[Gain|Loss]&lt;&gt;"",1,NA())*tblRegister[Batch],""),tblTaxes[[#This Row],[Ind]]),"")</f>
        <v/>
      </c>
      <c r="D34" s="107" t="str">
        <f ca="1">IF(tblTaxes[[#This Row],[Batch]]="","",INDEX(tblRegister[Date],MATCH(tblTaxes[[#This Row],[Batch]],tblRegister[Batch])))</f>
        <v/>
      </c>
      <c r="E34" s="94" t="str">
        <f ca="1">IF(tblTaxes[[#This Row],[Batch]]="","",INDEX(tblRegister[OUT Token],MATCH(tblTaxes[[#This Row],[Batch]],tblRegister[Batch])))</f>
        <v/>
      </c>
      <c r="F34" s="88" t="str">
        <f ca="1">IF(tblTaxes[[#This Row],[Batch]]="","",INDEX(tblRegister[OUT Quantity],MATCH(tblTaxes[[#This Row],[Batch]],tblRegister[Batch])))</f>
        <v/>
      </c>
      <c r="G34" s="89" t="str">
        <f ca="1">IF(tblTaxes[[#This Row],[Batch]]="","",INDEX(tblRegister[OUT Book Price],MATCH(tblTaxes[[#This Row],[Batch]],tblRegister[Batch])))</f>
        <v/>
      </c>
      <c r="H34" s="89" t="str">
        <f ca="1">IF(tblTaxes[[#This Row],[Batch]]="","",INDEX(tblRegister[IN Quantity],MATCH(tblTaxes[[#This Row],[Batch]],tblRegister[Batch]))/tblTaxes[[#This Row],[Quantity]])</f>
        <v/>
      </c>
      <c r="I34" s="90" t="str">
        <f ca="1">IF(tblTaxes[[#This Row],[Batch]]="","",INDEX(tblRegister[Gain|Loss],MATCH(tblTaxes[[#This Row],[Batch]],tblRegister[Batch])))</f>
        <v/>
      </c>
      <c r="J34" s="91"/>
      <c r="K34" s="91" t="str">
        <f ca="1">IF(OR(tblTaxes[[#This Row],[Batch]]="",NOT(ISBLANK(tblTaxes[[#This Row],[Not Taxable]]))),"",tblTaxes[[#This Row],[Gain | Loss]]*Tax_Rate)</f>
        <v/>
      </c>
    </row>
    <row r="35" spans="2:11" x14ac:dyDescent="0.25">
      <c r="B35" s="92">
        <f>ROW()-ROW(tblTaxes[[#Headers],[Ind]])</f>
        <v>30</v>
      </c>
      <c r="C35" s="93" t="str">
        <f t="array" aca="1" ref="C35" ca="1">IFERROR(SMALL(IFERROR(IF(tblRegister[Date]&gt;=P_Start,1,NA())*IF(tblRegister[Date]&lt;=P_End,1,NA())*IF(tblRegister[Gain|Loss]&lt;&gt;"",1,NA())*tblRegister[Batch],""),tblTaxes[[#This Row],[Ind]]),"")</f>
        <v/>
      </c>
      <c r="D35" s="107" t="str">
        <f ca="1">IF(tblTaxes[[#This Row],[Batch]]="","",INDEX(tblRegister[Date],MATCH(tblTaxes[[#This Row],[Batch]],tblRegister[Batch])))</f>
        <v/>
      </c>
      <c r="E35" s="94" t="str">
        <f ca="1">IF(tblTaxes[[#This Row],[Batch]]="","",INDEX(tblRegister[OUT Token],MATCH(tblTaxes[[#This Row],[Batch]],tblRegister[Batch])))</f>
        <v/>
      </c>
      <c r="F35" s="88" t="str">
        <f ca="1">IF(tblTaxes[[#This Row],[Batch]]="","",INDEX(tblRegister[OUT Quantity],MATCH(tblTaxes[[#This Row],[Batch]],tblRegister[Batch])))</f>
        <v/>
      </c>
      <c r="G35" s="89" t="str">
        <f ca="1">IF(tblTaxes[[#This Row],[Batch]]="","",INDEX(tblRegister[OUT Book Price],MATCH(tblTaxes[[#This Row],[Batch]],tblRegister[Batch])))</f>
        <v/>
      </c>
      <c r="H35" s="89" t="str">
        <f ca="1">IF(tblTaxes[[#This Row],[Batch]]="","",INDEX(tblRegister[IN Quantity],MATCH(tblTaxes[[#This Row],[Batch]],tblRegister[Batch]))/tblTaxes[[#This Row],[Quantity]])</f>
        <v/>
      </c>
      <c r="I35" s="90" t="str">
        <f ca="1">IF(tblTaxes[[#This Row],[Batch]]="","",INDEX(tblRegister[Gain|Loss],MATCH(tblTaxes[[#This Row],[Batch]],tblRegister[Batch])))</f>
        <v/>
      </c>
      <c r="J35" s="91"/>
      <c r="K35" s="91" t="str">
        <f ca="1">IF(OR(tblTaxes[[#This Row],[Batch]]="",NOT(ISBLANK(tblTaxes[[#This Row],[Not Taxable]]))),"",tblTaxes[[#This Row],[Gain | Loss]]*Tax_Rate)</f>
        <v/>
      </c>
    </row>
    <row r="36" spans="2:11" x14ac:dyDescent="0.25">
      <c r="B36" s="92">
        <f>ROW()-ROW(tblTaxes[[#Headers],[Ind]])</f>
        <v>31</v>
      </c>
      <c r="C36" s="93" t="str">
        <f t="array" aca="1" ref="C36" ca="1">IFERROR(SMALL(IFERROR(IF(tblRegister[Date]&gt;=P_Start,1,NA())*IF(tblRegister[Date]&lt;=P_End,1,NA())*IF(tblRegister[Gain|Loss]&lt;&gt;"",1,NA())*tblRegister[Batch],""),tblTaxes[[#This Row],[Ind]]),"")</f>
        <v/>
      </c>
      <c r="D36" s="107" t="str">
        <f ca="1">IF(tblTaxes[[#This Row],[Batch]]="","",INDEX(tblRegister[Date],MATCH(tblTaxes[[#This Row],[Batch]],tblRegister[Batch])))</f>
        <v/>
      </c>
      <c r="E36" s="94" t="str">
        <f ca="1">IF(tblTaxes[[#This Row],[Batch]]="","",INDEX(tblRegister[OUT Token],MATCH(tblTaxes[[#This Row],[Batch]],tblRegister[Batch])))</f>
        <v/>
      </c>
      <c r="F36" s="88" t="str">
        <f ca="1">IF(tblTaxes[[#This Row],[Batch]]="","",INDEX(tblRegister[OUT Quantity],MATCH(tblTaxes[[#This Row],[Batch]],tblRegister[Batch])))</f>
        <v/>
      </c>
      <c r="G36" s="89" t="str">
        <f ca="1">IF(tblTaxes[[#This Row],[Batch]]="","",INDEX(tblRegister[OUT Book Price],MATCH(tblTaxes[[#This Row],[Batch]],tblRegister[Batch])))</f>
        <v/>
      </c>
      <c r="H36" s="89" t="str">
        <f ca="1">IF(tblTaxes[[#This Row],[Batch]]="","",INDEX(tblRegister[IN Quantity],MATCH(tblTaxes[[#This Row],[Batch]],tblRegister[Batch]))/tblTaxes[[#This Row],[Quantity]])</f>
        <v/>
      </c>
      <c r="I36" s="90" t="str">
        <f ca="1">IF(tblTaxes[[#This Row],[Batch]]="","",INDEX(tblRegister[Gain|Loss],MATCH(tblTaxes[[#This Row],[Batch]],tblRegister[Batch])))</f>
        <v/>
      </c>
      <c r="J36" s="91"/>
      <c r="K36" s="91" t="str">
        <f ca="1">IF(OR(tblTaxes[[#This Row],[Batch]]="",NOT(ISBLANK(tblTaxes[[#This Row],[Not Taxable]]))),"",tblTaxes[[#This Row],[Gain | Loss]]*Tax_Rate)</f>
        <v/>
      </c>
    </row>
    <row r="37" spans="2:11" x14ac:dyDescent="0.25">
      <c r="B37" s="95">
        <f>ROW()-ROW(tblTaxes[[#Headers],[Ind]])</f>
        <v>32</v>
      </c>
      <c r="C37" s="96" t="str">
        <f t="array" aca="1" ref="C37" ca="1">IFERROR(SMALL(IFERROR(IF(tblRegister[Date]&gt;=P_Start,1,NA())*IF(tblRegister[Date]&lt;=P_End,1,NA())*IF(tblRegister[Gain|Loss]&lt;&gt;"",1,NA())*tblRegister[Batch],""),tblTaxes[[#This Row],[Ind]]),"")</f>
        <v/>
      </c>
      <c r="D37" s="108" t="str">
        <f ca="1">IF(tblTaxes[[#This Row],[Batch]]="","",INDEX(tblRegister[Date],MATCH(tblTaxes[[#This Row],[Batch]],tblRegister[Batch])))</f>
        <v/>
      </c>
      <c r="E37" s="97" t="str">
        <f ca="1">IF(tblTaxes[[#This Row],[Batch]]="","",INDEX(tblRegister[OUT Token],MATCH(tblTaxes[[#This Row],[Batch]],tblRegister[Batch])))</f>
        <v/>
      </c>
      <c r="F37" s="98" t="str">
        <f ca="1">IF(tblTaxes[[#This Row],[Batch]]="","",INDEX(tblRegister[OUT Quantity],MATCH(tblTaxes[[#This Row],[Batch]],tblRegister[Batch])))</f>
        <v/>
      </c>
      <c r="G37" s="99" t="str">
        <f ca="1">IF(tblTaxes[[#This Row],[Batch]]="","",INDEX(tblRegister[OUT Book Price],MATCH(tblTaxes[[#This Row],[Batch]],tblRegister[Batch])))</f>
        <v/>
      </c>
      <c r="H37" s="99" t="str">
        <f ca="1">IF(tblTaxes[[#This Row],[Batch]]="","",INDEX(tblRegister[IN Quantity],MATCH(tblTaxes[[#This Row],[Batch]],tblRegister[Batch]))/tblTaxes[[#This Row],[Quantity]])</f>
        <v/>
      </c>
      <c r="I37" s="100" t="str">
        <f ca="1">IF(tblTaxes[[#This Row],[Batch]]="","",INDEX(tblRegister[Gain|Loss],MATCH(tblTaxes[[#This Row],[Batch]],tblRegister[Batch])))</f>
        <v/>
      </c>
      <c r="J37" s="101"/>
      <c r="K37" s="101" t="str">
        <f ca="1">IF(OR(tblTaxes[[#This Row],[Batch]]="",NOT(ISBLANK(tblTaxes[[#This Row],[Not Taxable]]))),"",tblTaxes[[#This Row],[Gain | Loss]]*Tax_Rate)</f>
        <v/>
      </c>
    </row>
    <row r="38" spans="2:11" x14ac:dyDescent="0.25">
      <c r="B38" t="s">
        <v>148</v>
      </c>
      <c r="I38" s="31">
        <f ca="1">SUBTOTAL(109,tblTaxes[Gain | Loss])</f>
        <v>92691.487179487187</v>
      </c>
      <c r="J38" s="31"/>
      <c r="K38" s="31">
        <f ca="1">SUBTOTAL(109,tblTaxes[Tax to Pay])</f>
        <v>16684.467692307691</v>
      </c>
    </row>
  </sheetData>
  <sheetProtection sheet="1" objects="1" scenarios="1" insertRows="0"/>
  <mergeCells count="3">
    <mergeCell ref="D2:D3"/>
    <mergeCell ref="J2:J3"/>
    <mergeCell ref="K2:K3"/>
  </mergeCells>
  <conditionalFormatting sqref="I6:I37">
    <cfRule type="expression" dxfId="44" priority="1">
      <formula>AND($I6&lt;&gt;"",$I6&lt;0)</formula>
    </cfRule>
    <cfRule type="expression" dxfId="43" priority="2">
      <formula>AND($I6&lt;&gt;"",$I6&gt;0)</formula>
    </cfRule>
  </conditionalFormatting>
  <dataValidations count="1">
    <dataValidation type="date" allowBlank="1" showInputMessage="1" showErrorMessage="1" sqref="E3:F3" xr:uid="{E730C399-DE30-4E17-BF6A-3FA08AA152B2}">
      <formula1>36526</formula1>
      <formula2>51501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E1D-F5C6-43EC-99E3-3A813964DE0C}">
  <sheetPr>
    <tabColor theme="2" tint="-0.749992370372631"/>
  </sheetPr>
  <dimension ref="A1:I103"/>
  <sheetViews>
    <sheetView showGridLines="0" showRowColHeaders="0" workbookViewId="0">
      <selection activeCell="F37" sqref="F37"/>
    </sheetView>
  </sheetViews>
  <sheetFormatPr defaultColWidth="0" defaultRowHeight="15" zeroHeight="1" x14ac:dyDescent="0.25"/>
  <cols>
    <col min="1" max="1" width="2.85546875" customWidth="1"/>
    <col min="2" max="2" width="10" customWidth="1"/>
    <col min="3" max="3" width="17.140625" customWidth="1"/>
    <col min="4" max="5" width="14.140625" hidden="1" customWidth="1"/>
    <col min="6" max="8" width="17.140625" customWidth="1"/>
    <col min="9" max="9" width="2.85546875" customWidth="1"/>
    <col min="10" max="16384" width="9.140625" hidden="1"/>
  </cols>
  <sheetData>
    <row r="1" spans="2:8" x14ac:dyDescent="0.25"/>
    <row r="2" spans="2:8" x14ac:dyDescent="0.25">
      <c r="B2" s="66" t="s">
        <v>6</v>
      </c>
      <c r="C2" s="67" t="s">
        <v>129</v>
      </c>
      <c r="D2" s="67" t="s">
        <v>130</v>
      </c>
      <c r="E2" s="67" t="s">
        <v>131</v>
      </c>
      <c r="F2" s="67" t="s">
        <v>132</v>
      </c>
      <c r="G2" s="67" t="s">
        <v>143</v>
      </c>
      <c r="H2" s="66" t="s">
        <v>8</v>
      </c>
    </row>
    <row r="3" spans="2:8" x14ac:dyDescent="0.25">
      <c r="B3" s="68" t="str">
        <f>tblRates[[#This Row],[Token]]</f>
        <v>BTC</v>
      </c>
      <c r="C3" s="69">
        <f>SUMIF(tblRegister[IN Token],tblBalance[[#This Row],[Token]],tblRegister[IN Quantity])-SUMIF(tblRegister[OUT Token],tblBalance[[#This Row],[Token]],tblRegister[OUT Quantity])</f>
        <v>5</v>
      </c>
      <c r="D3" s="69">
        <f>SUMIF(tblRegister[IN Token],tblBalance[[#This Row],[Token]],tblRegister[IN Quantity])</f>
        <v>65</v>
      </c>
      <c r="E3" s="69">
        <f>SUMIF(tblRegister[OUT Token],tblBalance[[#This Row],[Token]],tblRegister[OUT Quantity])</f>
        <v>60</v>
      </c>
      <c r="F3" s="69">
        <f t="array" aca="1" ref="F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76762.820512820501</v>
      </c>
      <c r="G3" s="69">
        <f>INDEX(tblRates[],MATCH(tblBalance[[#This Row],[Token]],tblRates[Token],0),3)*tblBalance[[#This Row],[Balance]]</f>
        <v>52885.701584677357</v>
      </c>
      <c r="H3" s="70">
        <f ca="1">tblBalance[[#This Row],[Market Value]]-tblBalance[[#This Row],[Book Value]]</f>
        <v>-23877.118928143143</v>
      </c>
    </row>
    <row r="4" spans="2:8" x14ac:dyDescent="0.25">
      <c r="B4" s="71" t="str">
        <f>tblRates[[#This Row],[Token]]</f>
        <v>THR</v>
      </c>
      <c r="C4" s="72">
        <f>SUMIF(tblRegister[IN Token],tblBalance[[#This Row],[Token]],tblRegister[IN Quantity])-SUMIF(tblRegister[OUT Token],tblBalance[[#This Row],[Token]],tblRegister[OUT Quantity])</f>
        <v>0</v>
      </c>
      <c r="D4" s="72">
        <f>SUMIF(tblRegister[IN Token],tblBalance[[#This Row],[Token]],tblRegister[IN Quantity])</f>
        <v>0</v>
      </c>
      <c r="E4" s="72">
        <f>SUMIF(tblRegister[OUT Token],tblBalance[[#This Row],[Token]],tblRegister[OUT Quantity])</f>
        <v>0</v>
      </c>
      <c r="F4" s="72">
        <f t="array" aca="1" ref="F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" s="72">
        <f>INDEX(tblRates[],MATCH(tblBalance[[#This Row],[Token]],tblRates[Token],0),3)*tblBalance[[#This Row],[Balance]]</f>
        <v>0</v>
      </c>
      <c r="H4" s="73">
        <f ca="1">tblBalance[[#This Row],[Market Value]]-tblBalance[[#This Row],[Book Value]]</f>
        <v>0</v>
      </c>
    </row>
    <row r="5" spans="2:8" x14ac:dyDescent="0.25">
      <c r="B5" s="71" t="str">
        <f>tblRates[[#This Row],[Token]]</f>
        <v>MKR</v>
      </c>
      <c r="C5" s="72">
        <f>SUMIF(tblRegister[IN Token],tblBalance[[#This Row],[Token]],tblRegister[IN Quantity])-SUMIF(tblRegister[OUT Token],tblBalance[[#This Row],[Token]],tblRegister[OUT Quantity])</f>
        <v>0</v>
      </c>
      <c r="D5" s="72">
        <f>SUMIF(tblRegister[IN Token],tblBalance[[#This Row],[Token]],tblRegister[IN Quantity])</f>
        <v>0</v>
      </c>
      <c r="E5" s="72">
        <f>SUMIF(tblRegister[OUT Token],tblBalance[[#This Row],[Token]],tblRegister[OUT Quantity])</f>
        <v>0</v>
      </c>
      <c r="F5" s="72">
        <f t="array" aca="1" ref="F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" s="72">
        <f>INDEX(tblRates[],MATCH(tblBalance[[#This Row],[Token]],tblRates[Token],0),3)*tblBalance[[#This Row],[Balance]]</f>
        <v>0</v>
      </c>
      <c r="H5" s="73">
        <f ca="1">tblBalance[[#This Row],[Market Value]]-tblBalance[[#This Row],[Book Value]]</f>
        <v>0</v>
      </c>
    </row>
    <row r="6" spans="2:8" x14ac:dyDescent="0.25">
      <c r="B6" s="71" t="str">
        <f>tblRates[[#This Row],[Token]]</f>
        <v>BCH</v>
      </c>
      <c r="C6" s="72">
        <f>SUMIF(tblRegister[IN Token],tblBalance[[#This Row],[Token]],tblRegister[IN Quantity])-SUMIF(tblRegister[OUT Token],tblBalance[[#This Row],[Token]],tblRegister[OUT Quantity])</f>
        <v>0</v>
      </c>
      <c r="D6" s="72">
        <f>SUMIF(tblRegister[IN Token],tblBalance[[#This Row],[Token]],tblRegister[IN Quantity])</f>
        <v>0</v>
      </c>
      <c r="E6" s="72">
        <f>SUMIF(tblRegister[OUT Token],tblBalance[[#This Row],[Token]],tblRegister[OUT Quantity])</f>
        <v>0</v>
      </c>
      <c r="F6" s="72">
        <f t="array" aca="1" ref="F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" s="72">
        <f>INDEX(tblRates[],MATCH(tblBalance[[#This Row],[Token]],tblRates[Token],0),3)*tblBalance[[#This Row],[Balance]]</f>
        <v>0</v>
      </c>
      <c r="H6" s="73">
        <f ca="1">tblBalance[[#This Row],[Market Value]]-tblBalance[[#This Row],[Book Value]]</f>
        <v>0</v>
      </c>
    </row>
    <row r="7" spans="2:8" x14ac:dyDescent="0.25">
      <c r="B7" s="71" t="str">
        <f>tblRates[[#This Row],[Token]]</f>
        <v>ETH</v>
      </c>
      <c r="C7" s="72">
        <f>SUMIF(tblRegister[IN Token],tblBalance[[#This Row],[Token]],tblRegister[IN Quantity])-SUMIF(tblRegister[OUT Token],tblBalance[[#This Row],[Token]],tblRegister[OUT Quantity])</f>
        <v>500</v>
      </c>
      <c r="D7" s="72">
        <f>SUMIF(tblRegister[IN Token],tblBalance[[#This Row],[Token]],tblRegister[IN Quantity])</f>
        <v>1800</v>
      </c>
      <c r="E7" s="72">
        <f>SUMIF(tblRegister[OUT Token],tblBalance[[#This Row],[Token]],tblRegister[OUT Quantity])</f>
        <v>1300</v>
      </c>
      <c r="F7" s="72">
        <f t="array" aca="1" ref="F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210916.66666666666</v>
      </c>
      <c r="G7" s="72">
        <f>INDEX(tblRates[],MATCH(tblBalance[[#This Row],[Token]],tblRates[Token],0),3)*tblBalance[[#This Row],[Balance]]</f>
        <v>134793.97777802206</v>
      </c>
      <c r="H7" s="73">
        <f ca="1">tblBalance[[#This Row],[Market Value]]-tblBalance[[#This Row],[Book Value]]</f>
        <v>-76122.688888644596</v>
      </c>
    </row>
    <row r="8" spans="2:8" x14ac:dyDescent="0.25">
      <c r="B8" s="71" t="str">
        <f>tblRates[[#This Row],[Token]]</f>
        <v>XIN</v>
      </c>
      <c r="C8" s="72">
        <f>SUMIF(tblRegister[IN Token],tblBalance[[#This Row],[Token]],tblRegister[IN Quantity])-SUMIF(tblRegister[OUT Token],tblBalance[[#This Row],[Token]],tblRegister[OUT Quantity])</f>
        <v>0</v>
      </c>
      <c r="D8" s="72">
        <f>SUMIF(tblRegister[IN Token],tblBalance[[#This Row],[Token]],tblRegister[IN Quantity])</f>
        <v>0</v>
      </c>
      <c r="E8" s="72">
        <f>SUMIF(tblRegister[OUT Token],tblBalance[[#This Row],[Token]],tblRegister[OUT Quantity])</f>
        <v>0</v>
      </c>
      <c r="F8" s="72">
        <f t="array" aca="1" ref="F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" s="72">
        <f>INDEX(tblRates[],MATCH(tblBalance[[#This Row],[Token]],tblRates[Token],0),3)*tblBalance[[#This Row],[Balance]]</f>
        <v>0</v>
      </c>
      <c r="H8" s="73">
        <f ca="1">tblBalance[[#This Row],[Market Value]]-tblBalance[[#This Row],[Book Value]]</f>
        <v>0</v>
      </c>
    </row>
    <row r="9" spans="2:8" x14ac:dyDescent="0.25">
      <c r="B9" s="71" t="str">
        <f>tblRates[[#This Row],[Token]]</f>
        <v>BSV</v>
      </c>
      <c r="C9" s="72">
        <f>SUMIF(tblRegister[IN Token],tblBalance[[#This Row],[Token]],tblRegister[IN Quantity])-SUMIF(tblRegister[OUT Token],tblBalance[[#This Row],[Token]],tblRegister[OUT Quantity])</f>
        <v>0</v>
      </c>
      <c r="D9" s="72">
        <f>SUMIF(tblRegister[IN Token],tblBalance[[#This Row],[Token]],tblRegister[IN Quantity])</f>
        <v>0</v>
      </c>
      <c r="E9" s="72">
        <f>SUMIF(tblRegister[OUT Token],tblBalance[[#This Row],[Token]],tblRegister[OUT Quantity])</f>
        <v>0</v>
      </c>
      <c r="F9" s="72">
        <f t="array" aca="1" ref="F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" s="72">
        <f>INDEX(tblRates[],MATCH(tblBalance[[#This Row],[Token]],tblRates[Token],0),3)*tblBalance[[#This Row],[Balance]]</f>
        <v>0</v>
      </c>
      <c r="H9" s="73">
        <f ca="1">tblBalance[[#This Row],[Market Value]]-tblBalance[[#This Row],[Book Value]]</f>
        <v>0</v>
      </c>
    </row>
    <row r="10" spans="2:8" x14ac:dyDescent="0.25">
      <c r="B10" s="71" t="str">
        <f>tblRates[[#This Row],[Token]]</f>
        <v>DASH</v>
      </c>
      <c r="C10" s="72">
        <f>SUMIF(tblRegister[IN Token],tblBalance[[#This Row],[Token]],tblRegister[IN Quantity])-SUMIF(tblRegister[OUT Token],tblBalance[[#This Row],[Token]],tblRegister[OUT Quantity])</f>
        <v>0</v>
      </c>
      <c r="D10" s="72">
        <f>SUMIF(tblRegister[IN Token],tblBalance[[#This Row],[Token]],tblRegister[IN Quantity])</f>
        <v>0</v>
      </c>
      <c r="E10" s="72">
        <f>SUMIF(tblRegister[OUT Token],tblBalance[[#This Row],[Token]],tblRegister[OUT Quantity])</f>
        <v>0</v>
      </c>
      <c r="F10" s="72">
        <f t="array" aca="1" ref="F1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0" s="72">
        <f>INDEX(tblRates[],MATCH(tblBalance[[#This Row],[Token]],tblRates[Token],0),3)*tblBalance[[#This Row],[Balance]]</f>
        <v>0</v>
      </c>
      <c r="H10" s="73">
        <f ca="1">tblBalance[[#This Row],[Market Value]]-tblBalance[[#This Row],[Book Value]]</f>
        <v>0</v>
      </c>
    </row>
    <row r="11" spans="2:8" x14ac:dyDescent="0.25">
      <c r="B11" s="71" t="str">
        <f>tblRates[[#This Row],[Token]]</f>
        <v>LTC</v>
      </c>
      <c r="C11" s="72">
        <f>SUMIF(tblRegister[IN Token],tblBalance[[#This Row],[Token]],tblRegister[IN Quantity])-SUMIF(tblRegister[OUT Token],tblBalance[[#This Row],[Token]],tblRegister[OUT Quantity])</f>
        <v>800</v>
      </c>
      <c r="D11" s="72">
        <f>SUMIF(tblRegister[IN Token],tblBalance[[#This Row],[Token]],tblRegister[IN Quantity])</f>
        <v>1000</v>
      </c>
      <c r="E11" s="72">
        <f>SUMIF(tblRegister[OUT Token],tblBalance[[#This Row],[Token]],tblRegister[OUT Quantity])</f>
        <v>200</v>
      </c>
      <c r="F11" s="72">
        <f t="array" aca="1" ref="F1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56000</v>
      </c>
      <c r="G11" s="72">
        <f>INDEX(tblRates[],MATCH(tblBalance[[#This Row],[Token]],tblRates[Token],0),3)*tblBalance[[#This Row],[Balance]]</f>
        <v>89163.676295970581</v>
      </c>
      <c r="H11" s="73">
        <f ca="1">tblBalance[[#This Row],[Market Value]]-tblBalance[[#This Row],[Book Value]]</f>
        <v>33163.676295970581</v>
      </c>
    </row>
    <row r="12" spans="2:8" x14ac:dyDescent="0.25">
      <c r="B12" s="71" t="str">
        <f>tblRates[[#This Row],[Token]]</f>
        <v>ZEC</v>
      </c>
      <c r="C12" s="72">
        <f>SUMIF(tblRegister[IN Token],tblBalance[[#This Row],[Token]],tblRegister[IN Quantity])-SUMIF(tblRegister[OUT Token],tblBalance[[#This Row],[Token]],tblRegister[OUT Quantity])</f>
        <v>0</v>
      </c>
      <c r="D12" s="72">
        <f>SUMIF(tblRegister[IN Token],tblBalance[[#This Row],[Token]],tblRegister[IN Quantity])</f>
        <v>0</v>
      </c>
      <c r="E12" s="72">
        <f>SUMIF(tblRegister[OUT Token],tblBalance[[#This Row],[Token]],tblRegister[OUT Quantity])</f>
        <v>0</v>
      </c>
      <c r="F12" s="72">
        <f t="array" aca="1" ref="F1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2" s="72">
        <f>INDEX(tblRates[],MATCH(tblBalance[[#This Row],[Token]],tblRates[Token],0),3)*tblBalance[[#This Row],[Balance]]</f>
        <v>0</v>
      </c>
      <c r="H12" s="73">
        <f ca="1">tblBalance[[#This Row],[Market Value]]-tblBalance[[#This Row],[Book Value]]</f>
        <v>0</v>
      </c>
    </row>
    <row r="13" spans="2:8" x14ac:dyDescent="0.25">
      <c r="B13" s="71" t="str">
        <f>tblRates[[#This Row],[Token]]</f>
        <v>XMR</v>
      </c>
      <c r="C13" s="72">
        <f>SUMIF(tblRegister[IN Token],tblBalance[[#This Row],[Token]],tblRegister[IN Quantity])-SUMIF(tblRegister[OUT Token],tblBalance[[#This Row],[Token]],tblRegister[OUT Quantity])</f>
        <v>0</v>
      </c>
      <c r="D13" s="72">
        <f>SUMIF(tblRegister[IN Token],tblBalance[[#This Row],[Token]],tblRegister[IN Quantity])</f>
        <v>0</v>
      </c>
      <c r="E13" s="72">
        <f>SUMIF(tblRegister[OUT Token],tblBalance[[#This Row],[Token]],tblRegister[OUT Quantity])</f>
        <v>0</v>
      </c>
      <c r="F13" s="72">
        <f t="array" aca="1" ref="F1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3" s="72">
        <f>INDEX(tblRates[],MATCH(tblBalance[[#This Row],[Token]],tblRates[Token],0),3)*tblBalance[[#This Row],[Balance]]</f>
        <v>0</v>
      </c>
      <c r="H13" s="73">
        <f ca="1">tblBalance[[#This Row],[Market Value]]-tblBalance[[#This Row],[Book Value]]</f>
        <v>0</v>
      </c>
    </row>
    <row r="14" spans="2:8" x14ac:dyDescent="0.25">
      <c r="B14" s="71" t="str">
        <f>tblRates[[#This Row],[Token]]</f>
        <v>QBIT</v>
      </c>
      <c r="C14" s="72">
        <f>SUMIF(tblRegister[IN Token],tblBalance[[#This Row],[Token]],tblRegister[IN Quantity])-SUMIF(tblRegister[OUT Token],tblBalance[[#This Row],[Token]],tblRegister[OUT Quantity])</f>
        <v>0</v>
      </c>
      <c r="D14" s="72">
        <f>SUMIF(tblRegister[IN Token],tblBalance[[#This Row],[Token]],tblRegister[IN Quantity])</f>
        <v>0</v>
      </c>
      <c r="E14" s="72">
        <f>SUMIF(tblRegister[OUT Token],tblBalance[[#This Row],[Token]],tblRegister[OUT Quantity])</f>
        <v>0</v>
      </c>
      <c r="F14" s="72">
        <f t="array" aca="1" ref="F1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4" s="72">
        <f>INDEX(tblRates[],MATCH(tblBalance[[#This Row],[Token]],tblRates[Token],0),3)*tblBalance[[#This Row],[Balance]]</f>
        <v>0</v>
      </c>
      <c r="H14" s="73">
        <f ca="1">tblBalance[[#This Row],[Market Value]]-tblBalance[[#This Row],[Book Value]]</f>
        <v>0</v>
      </c>
    </row>
    <row r="15" spans="2:8" x14ac:dyDescent="0.25">
      <c r="B15" s="71" t="str">
        <f>tblRates[[#This Row],[Token]]</f>
        <v>BNB</v>
      </c>
      <c r="C15" s="72">
        <f>SUMIF(tblRegister[IN Token],tblBalance[[#This Row],[Token]],tblRegister[IN Quantity])-SUMIF(tblRegister[OUT Token],tblBalance[[#This Row],[Token]],tblRegister[OUT Quantity])</f>
        <v>0</v>
      </c>
      <c r="D15" s="72">
        <f>SUMIF(tblRegister[IN Token],tblBalance[[#This Row],[Token]],tblRegister[IN Quantity])</f>
        <v>0</v>
      </c>
      <c r="E15" s="72">
        <f>SUMIF(tblRegister[OUT Token],tblBalance[[#This Row],[Token]],tblRegister[OUT Quantity])</f>
        <v>0</v>
      </c>
      <c r="F15" s="72">
        <f t="array" aca="1" ref="F1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5" s="72">
        <f>INDEX(tblRates[],MATCH(tblBalance[[#This Row],[Token]],tblRates[Token],0),3)*tblBalance[[#This Row],[Balance]]</f>
        <v>0</v>
      </c>
      <c r="H15" s="73">
        <f ca="1">tblBalance[[#This Row],[Market Value]]-tblBalance[[#This Row],[Book Value]]</f>
        <v>0</v>
      </c>
    </row>
    <row r="16" spans="2:8" x14ac:dyDescent="0.25">
      <c r="B16" s="71" t="str">
        <f>tblRates[[#This Row],[Token]]</f>
        <v>DCR</v>
      </c>
      <c r="C16" s="72">
        <f>SUMIF(tblRegister[IN Token],tblBalance[[#This Row],[Token]],tblRegister[IN Quantity])-SUMIF(tblRegister[OUT Token],tblBalance[[#This Row],[Token]],tblRegister[OUT Quantity])</f>
        <v>0</v>
      </c>
      <c r="D16" s="72">
        <f>SUMIF(tblRegister[IN Token],tblBalance[[#This Row],[Token]],tblRegister[IN Quantity])</f>
        <v>0</v>
      </c>
      <c r="E16" s="72">
        <f>SUMIF(tblRegister[OUT Token],tblBalance[[#This Row],[Token]],tblRegister[OUT Quantity])</f>
        <v>0</v>
      </c>
      <c r="F16" s="72">
        <f t="array" aca="1" ref="F1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6" s="72">
        <f>INDEX(tblRates[],MATCH(tblBalance[[#This Row],[Token]],tblRates[Token],0),3)*tblBalance[[#This Row],[Balance]]</f>
        <v>0</v>
      </c>
      <c r="H16" s="73">
        <f ca="1">tblBalance[[#This Row],[Market Value]]-tblBalance[[#This Row],[Book Value]]</f>
        <v>0</v>
      </c>
    </row>
    <row r="17" spans="2:8" x14ac:dyDescent="0.25">
      <c r="B17" s="71" t="str">
        <f>tblRates[[#This Row],[Token]]</f>
        <v>BTG</v>
      </c>
      <c r="C17" s="72">
        <f>SUMIF(tblRegister[IN Token],tblBalance[[#This Row],[Token]],tblRegister[IN Quantity])-SUMIF(tblRegister[OUT Token],tblBalance[[#This Row],[Token]],tblRegister[OUT Quantity])</f>
        <v>0</v>
      </c>
      <c r="D17" s="72">
        <f>SUMIF(tblRegister[IN Token],tblBalance[[#This Row],[Token]],tblRegister[IN Quantity])</f>
        <v>0</v>
      </c>
      <c r="E17" s="72">
        <f>SUMIF(tblRegister[OUT Token],tblBalance[[#This Row],[Token]],tblRegister[OUT Quantity])</f>
        <v>0</v>
      </c>
      <c r="F17" s="72">
        <f t="array" aca="1" ref="F1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7" s="72">
        <f>INDEX(tblRates[],MATCH(tblBalance[[#This Row],[Token]],tblRates[Token],0),3)*tblBalance[[#This Row],[Balance]]</f>
        <v>0</v>
      </c>
      <c r="H17" s="73">
        <f ca="1">tblBalance[[#This Row],[Market Value]]-tblBalance[[#This Row],[Book Value]]</f>
        <v>0</v>
      </c>
    </row>
    <row r="18" spans="2:8" x14ac:dyDescent="0.25">
      <c r="B18" s="71" t="str">
        <f>tblRates[[#This Row],[Token]]</f>
        <v>NEO</v>
      </c>
      <c r="C18" s="72">
        <f>SUMIF(tblRegister[IN Token],tblBalance[[#This Row],[Token]],tblRegister[IN Quantity])-SUMIF(tblRegister[OUT Token],tblBalance[[#This Row],[Token]],tblRegister[OUT Quantity])</f>
        <v>0</v>
      </c>
      <c r="D18" s="72">
        <f>SUMIF(tblRegister[IN Token],tblBalance[[#This Row],[Token]],tblRegister[IN Quantity])</f>
        <v>0</v>
      </c>
      <c r="E18" s="72">
        <f>SUMIF(tblRegister[OUT Token],tblBalance[[#This Row],[Token]],tblRegister[OUT Quantity])</f>
        <v>0</v>
      </c>
      <c r="F18" s="72">
        <f t="array" aca="1" ref="F1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8" s="72">
        <f>INDEX(tblRates[],MATCH(tblBalance[[#This Row],[Token]],tblRates[Token],0),3)*tblBalance[[#This Row],[Balance]]</f>
        <v>0</v>
      </c>
      <c r="H18" s="73">
        <f ca="1">tblBalance[[#This Row],[Market Value]]-tblBalance[[#This Row],[Book Value]]</f>
        <v>0</v>
      </c>
    </row>
    <row r="19" spans="2:8" x14ac:dyDescent="0.25">
      <c r="B19" s="71" t="str">
        <f>tblRates[[#This Row],[Token]]</f>
        <v>REP</v>
      </c>
      <c r="C19" s="72">
        <f>SUMIF(tblRegister[IN Token],tblBalance[[#This Row],[Token]],tblRegister[IN Quantity])-SUMIF(tblRegister[OUT Token],tblBalance[[#This Row],[Token]],tblRegister[OUT Quantity])</f>
        <v>0</v>
      </c>
      <c r="D19" s="72">
        <f>SUMIF(tblRegister[IN Token],tblBalance[[#This Row],[Token]],tblRegister[IN Quantity])</f>
        <v>0</v>
      </c>
      <c r="E19" s="72">
        <f>SUMIF(tblRegister[OUT Token],tblBalance[[#This Row],[Token]],tblRegister[OUT Quantity])</f>
        <v>0</v>
      </c>
      <c r="F19" s="72">
        <f t="array" aca="1" ref="F1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9" s="72">
        <f>INDEX(tblRates[],MATCH(tblBalance[[#This Row],[Token]],tblRates[Token],0),3)*tblBalance[[#This Row],[Balance]]</f>
        <v>0</v>
      </c>
      <c r="H19" s="73">
        <f ca="1">tblBalance[[#This Row],[Market Value]]-tblBalance[[#This Row],[Book Value]]</f>
        <v>0</v>
      </c>
    </row>
    <row r="20" spans="2:8" x14ac:dyDescent="0.25">
      <c r="B20" s="71" t="str">
        <f>tblRates[[#This Row],[Token]]</f>
        <v>XZC</v>
      </c>
      <c r="C20" s="72">
        <f>SUMIF(tblRegister[IN Token],tblBalance[[#This Row],[Token]],tblRegister[IN Quantity])-SUMIF(tblRegister[OUT Token],tblBalance[[#This Row],[Token]],tblRegister[OUT Quantity])</f>
        <v>0</v>
      </c>
      <c r="D20" s="72">
        <f>SUMIF(tblRegister[IN Token],tblBalance[[#This Row],[Token]],tblRegister[IN Quantity])</f>
        <v>0</v>
      </c>
      <c r="E20" s="72">
        <f>SUMIF(tblRegister[OUT Token],tblBalance[[#This Row],[Token]],tblRegister[OUT Quantity])</f>
        <v>0</v>
      </c>
      <c r="F20" s="72">
        <f t="array" aca="1" ref="F2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0" s="72">
        <f>INDEX(tblRates[],MATCH(tblBalance[[#This Row],[Token]],tblRates[Token],0),3)*tblBalance[[#This Row],[Balance]]</f>
        <v>0</v>
      </c>
      <c r="H20" s="73">
        <f ca="1">tblBalance[[#This Row],[Market Value]]-tblBalance[[#This Row],[Book Value]]</f>
        <v>0</v>
      </c>
    </row>
    <row r="21" spans="2:8" x14ac:dyDescent="0.25">
      <c r="B21" s="71" t="str">
        <f>tblRates[[#This Row],[Token]]</f>
        <v>NRG</v>
      </c>
      <c r="C21" s="72">
        <f>SUMIF(tblRegister[IN Token],tblBalance[[#This Row],[Token]],tblRegister[IN Quantity])-SUMIF(tblRegister[OUT Token],tblBalance[[#This Row],[Token]],tblRegister[OUT Quantity])</f>
        <v>0</v>
      </c>
      <c r="D21" s="72">
        <f>SUMIF(tblRegister[IN Token],tblBalance[[#This Row],[Token]],tblRegister[IN Quantity])</f>
        <v>0</v>
      </c>
      <c r="E21" s="72">
        <f>SUMIF(tblRegister[OUT Token],tblBalance[[#This Row],[Token]],tblRegister[OUT Quantity])</f>
        <v>0</v>
      </c>
      <c r="F21" s="72">
        <f t="array" aca="1" ref="F2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1" s="72">
        <f>INDEX(tblRates[],MATCH(tblBalance[[#This Row],[Token]],tblRates[Token],0),3)*tblBalance[[#This Row],[Balance]]</f>
        <v>0</v>
      </c>
      <c r="H21" s="73">
        <f ca="1">tblBalance[[#This Row],[Market Value]]-tblBalance[[#This Row],[Book Value]]</f>
        <v>0</v>
      </c>
    </row>
    <row r="22" spans="2:8" x14ac:dyDescent="0.25">
      <c r="B22" s="71" t="str">
        <f>tblRates[[#This Row],[Token]]</f>
        <v>ETC</v>
      </c>
      <c r="C22" s="72">
        <f>SUMIF(tblRegister[IN Token],tblBalance[[#This Row],[Token]],tblRegister[IN Quantity])-SUMIF(tblRegister[OUT Token],tblBalance[[#This Row],[Token]],tblRegister[OUT Quantity])</f>
        <v>0</v>
      </c>
      <c r="D22" s="72">
        <f>SUMIF(tblRegister[IN Token],tblBalance[[#This Row],[Token]],tblRegister[IN Quantity])</f>
        <v>0</v>
      </c>
      <c r="E22" s="72">
        <f>SUMIF(tblRegister[OUT Token],tblBalance[[#This Row],[Token]],tblRegister[OUT Quantity])</f>
        <v>0</v>
      </c>
      <c r="F22" s="72">
        <f t="array" aca="1" ref="F2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2" s="72">
        <f>INDEX(tblRates[],MATCH(tblBalance[[#This Row],[Token]],tblRates[Token],0),3)*tblBalance[[#This Row],[Balance]]</f>
        <v>0</v>
      </c>
      <c r="H22" s="73">
        <f ca="1">tblBalance[[#This Row],[Market Value]]-tblBalance[[#This Row],[Book Value]]</f>
        <v>0</v>
      </c>
    </row>
    <row r="23" spans="2:8" x14ac:dyDescent="0.25">
      <c r="B23" s="71" t="str">
        <f>tblRates[[#This Row],[Token]]</f>
        <v>QNT</v>
      </c>
      <c r="C23" s="72">
        <f>SUMIF(tblRegister[IN Token],tblBalance[[#This Row],[Token]],tblRegister[IN Quantity])-SUMIF(tblRegister[OUT Token],tblBalance[[#This Row],[Token]],tblRegister[OUT Quantity])</f>
        <v>0</v>
      </c>
      <c r="D23" s="72">
        <f>SUMIF(tblRegister[IN Token],tblBalance[[#This Row],[Token]],tblRegister[IN Quantity])</f>
        <v>0</v>
      </c>
      <c r="E23" s="72">
        <f>SUMIF(tblRegister[OUT Token],tblBalance[[#This Row],[Token]],tblRegister[OUT Quantity])</f>
        <v>0</v>
      </c>
      <c r="F23" s="72">
        <f t="array" aca="1" ref="F2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3" s="72">
        <f>INDEX(tblRates[],MATCH(tblBalance[[#This Row],[Token]],tblRates[Token],0),3)*tblBalance[[#This Row],[Balance]]</f>
        <v>0</v>
      </c>
      <c r="H23" s="73">
        <f ca="1">tblBalance[[#This Row],[Market Value]]-tblBalance[[#This Row],[Book Value]]</f>
        <v>0</v>
      </c>
    </row>
    <row r="24" spans="2:8" x14ac:dyDescent="0.25">
      <c r="B24" s="71" t="str">
        <f>tblRates[[#This Row],[Token]]</f>
        <v>EOS</v>
      </c>
      <c r="C24" s="72">
        <f>SUMIF(tblRegister[IN Token],tblBalance[[#This Row],[Token]],tblRegister[IN Quantity])-SUMIF(tblRegister[OUT Token],tblBalance[[#This Row],[Token]],tblRegister[OUT Quantity])</f>
        <v>0</v>
      </c>
      <c r="D24" s="72">
        <f>SUMIF(tblRegister[IN Token],tblBalance[[#This Row],[Token]],tblRegister[IN Quantity])</f>
        <v>0</v>
      </c>
      <c r="E24" s="72">
        <f>SUMIF(tblRegister[OUT Token],tblBalance[[#This Row],[Token]],tblRegister[OUT Quantity])</f>
        <v>0</v>
      </c>
      <c r="F24" s="72">
        <f t="array" aca="1" ref="F2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4" s="72">
        <f>INDEX(tblRates[],MATCH(tblBalance[[#This Row],[Token]],tblRates[Token],0),3)*tblBalance[[#This Row],[Balance]]</f>
        <v>0</v>
      </c>
      <c r="H24" s="73">
        <f ca="1">tblBalance[[#This Row],[Market Value]]-tblBalance[[#This Row],[Book Value]]</f>
        <v>0</v>
      </c>
    </row>
    <row r="25" spans="2:8" x14ac:dyDescent="0.25">
      <c r="B25" s="71" t="str">
        <f>tblRates[[#This Row],[Token]]</f>
        <v>MCO</v>
      </c>
      <c r="C25" s="72">
        <f>SUMIF(tblRegister[IN Token],tblBalance[[#This Row],[Token]],tblRegister[IN Quantity])-SUMIF(tblRegister[OUT Token],tblBalance[[#This Row],[Token]],tblRegister[OUT Quantity])</f>
        <v>0</v>
      </c>
      <c r="D25" s="72">
        <f>SUMIF(tblRegister[IN Token],tblBalance[[#This Row],[Token]],tblRegister[IN Quantity])</f>
        <v>0</v>
      </c>
      <c r="E25" s="72">
        <f>SUMIF(tblRegister[OUT Token],tblBalance[[#This Row],[Token]],tblRegister[OUT Quantity])</f>
        <v>0</v>
      </c>
      <c r="F25" s="72">
        <f t="array" aca="1" ref="F2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5" s="72">
        <f>INDEX(tblRates[],MATCH(tblBalance[[#This Row],[Token]],tblRates[Token],0),3)*tblBalance[[#This Row],[Balance]]</f>
        <v>0</v>
      </c>
      <c r="H25" s="73">
        <f ca="1">tblBalance[[#This Row],[Market Value]]-tblBalance[[#This Row],[Book Value]]</f>
        <v>0</v>
      </c>
    </row>
    <row r="26" spans="2:8" x14ac:dyDescent="0.25">
      <c r="B26" s="71" t="str">
        <f>tblRates[[#This Row],[Token]]</f>
        <v>ATOM</v>
      </c>
      <c r="C26" s="72">
        <f>SUMIF(tblRegister[IN Token],tblBalance[[#This Row],[Token]],tblRegister[IN Quantity])-SUMIF(tblRegister[OUT Token],tblBalance[[#This Row],[Token]],tblRegister[OUT Quantity])</f>
        <v>0</v>
      </c>
      <c r="D26" s="72">
        <f>SUMIF(tblRegister[IN Token],tblBalance[[#This Row],[Token]],tblRegister[IN Quantity])</f>
        <v>0</v>
      </c>
      <c r="E26" s="72">
        <f>SUMIF(tblRegister[OUT Token],tblBalance[[#This Row],[Token]],tblRegister[OUT Quantity])</f>
        <v>0</v>
      </c>
      <c r="F26" s="72">
        <f t="array" aca="1" ref="F2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6" s="72">
        <f>INDEX(tblRates[],MATCH(tblBalance[[#This Row],[Token]],tblRates[Token],0),3)*tblBalance[[#This Row],[Balance]]</f>
        <v>0</v>
      </c>
      <c r="H26" s="73">
        <f ca="1">tblBalance[[#This Row],[Market Value]]-tblBalance[[#This Row],[Book Value]]</f>
        <v>0</v>
      </c>
    </row>
    <row r="27" spans="2:8" x14ac:dyDescent="0.25">
      <c r="B27" s="71" t="str">
        <f>tblRates[[#This Row],[Token]]</f>
        <v>QTUM</v>
      </c>
      <c r="C27" s="72">
        <f>SUMIF(tblRegister[IN Token],tblBalance[[#This Row],[Token]],tblRegister[IN Quantity])-SUMIF(tblRegister[OUT Token],tblBalance[[#This Row],[Token]],tblRegister[OUT Quantity])</f>
        <v>0</v>
      </c>
      <c r="D27" s="72">
        <f>SUMIF(tblRegister[IN Token],tblBalance[[#This Row],[Token]],tblRegister[IN Quantity])</f>
        <v>0</v>
      </c>
      <c r="E27" s="72">
        <f>SUMIF(tblRegister[OUT Token],tblBalance[[#This Row],[Token]],tblRegister[OUT Quantity])</f>
        <v>0</v>
      </c>
      <c r="F27" s="72">
        <f t="array" aca="1" ref="F2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7" s="72">
        <f>INDEX(tblRates[],MATCH(tblBalance[[#This Row],[Token]],tblRates[Token],0),3)*tblBalance[[#This Row],[Balance]]</f>
        <v>0</v>
      </c>
      <c r="H27" s="73">
        <f ca="1">tblBalance[[#This Row],[Market Value]]-tblBalance[[#This Row],[Book Value]]</f>
        <v>0</v>
      </c>
    </row>
    <row r="28" spans="2:8" x14ac:dyDescent="0.25">
      <c r="B28" s="71" t="str">
        <f>tblRates[[#This Row],[Token]]</f>
        <v>HC</v>
      </c>
      <c r="C28" s="72">
        <f>SUMIF(tblRegister[IN Token],tblBalance[[#This Row],[Token]],tblRegister[IN Quantity])-SUMIF(tblRegister[OUT Token],tblBalance[[#This Row],[Token]],tblRegister[OUT Quantity])</f>
        <v>0</v>
      </c>
      <c r="D28" s="72">
        <f>SUMIF(tblRegister[IN Token],tblBalance[[#This Row],[Token]],tblRegister[IN Quantity])</f>
        <v>0</v>
      </c>
      <c r="E28" s="72">
        <f>SUMIF(tblRegister[OUT Token],tblBalance[[#This Row],[Token]],tblRegister[OUT Quantity])</f>
        <v>0</v>
      </c>
      <c r="F28" s="72">
        <f t="array" aca="1" ref="F2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8" s="72">
        <f>INDEX(tblRates[],MATCH(tblBalance[[#This Row],[Token]],tblRates[Token],0),3)*tblBalance[[#This Row],[Balance]]</f>
        <v>0</v>
      </c>
      <c r="H28" s="73">
        <f ca="1">tblBalance[[#This Row],[Market Value]]-tblBalance[[#This Row],[Book Value]]</f>
        <v>0</v>
      </c>
    </row>
    <row r="29" spans="2:8" x14ac:dyDescent="0.25">
      <c r="B29" s="71" t="str">
        <f>tblRates[[#This Row],[Token]]</f>
        <v>GRIN</v>
      </c>
      <c r="C29" s="72">
        <f>SUMIF(tblRegister[IN Token],tblBalance[[#This Row],[Token]],tblRegister[IN Quantity])-SUMIF(tblRegister[OUT Token],tblBalance[[#This Row],[Token]],tblRegister[OUT Quantity])</f>
        <v>0</v>
      </c>
      <c r="D29" s="72">
        <f>SUMIF(tblRegister[IN Token],tblBalance[[#This Row],[Token]],tblRegister[IN Quantity])</f>
        <v>0</v>
      </c>
      <c r="E29" s="72">
        <f>SUMIF(tblRegister[OUT Token],tblBalance[[#This Row],[Token]],tblRegister[OUT Quantity])</f>
        <v>0</v>
      </c>
      <c r="F29" s="72">
        <f t="array" aca="1" ref="F2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29" s="72">
        <f>INDEX(tblRates[],MATCH(tblBalance[[#This Row],[Token]],tblRates[Token],0),3)*tblBalance[[#This Row],[Balance]]</f>
        <v>0</v>
      </c>
      <c r="H29" s="73">
        <f ca="1">tblBalance[[#This Row],[Market Value]]-tblBalance[[#This Row],[Book Value]]</f>
        <v>0</v>
      </c>
    </row>
    <row r="30" spans="2:8" x14ac:dyDescent="0.25">
      <c r="B30" s="71" t="str">
        <f>tblRates[[#This Row],[Token]]</f>
        <v>ELA</v>
      </c>
      <c r="C30" s="72">
        <f>SUMIF(tblRegister[IN Token],tblBalance[[#This Row],[Token]],tblRegister[IN Quantity])-SUMIF(tblRegister[OUT Token],tblBalance[[#This Row],[Token]],tblRegister[OUT Quantity])</f>
        <v>0</v>
      </c>
      <c r="D30" s="72">
        <f>SUMIF(tblRegister[IN Token],tblBalance[[#This Row],[Token]],tblRegister[IN Quantity])</f>
        <v>0</v>
      </c>
      <c r="E30" s="72">
        <f>SUMIF(tblRegister[OUT Token],tblBalance[[#This Row],[Token]],tblRegister[OUT Quantity])</f>
        <v>0</v>
      </c>
      <c r="F30" s="72">
        <f t="array" aca="1" ref="F3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0" s="72">
        <f>INDEX(tblRates[],MATCH(tblBalance[[#This Row],[Token]],tblRates[Token],0),3)*tblBalance[[#This Row],[Balance]]</f>
        <v>0</v>
      </c>
      <c r="H30" s="73">
        <f ca="1">tblBalance[[#This Row],[Market Value]]-tblBalance[[#This Row],[Book Value]]</f>
        <v>0</v>
      </c>
    </row>
    <row r="31" spans="2:8" x14ac:dyDescent="0.25">
      <c r="B31" s="71" t="str">
        <f>tblRates[[#This Row],[Token]]</f>
        <v>HT</v>
      </c>
      <c r="C31" s="72">
        <f>SUMIF(tblRegister[IN Token],tblBalance[[#This Row],[Token]],tblRegister[IN Quantity])-SUMIF(tblRegister[OUT Token],tblBalance[[#This Row],[Token]],tblRegister[OUT Quantity])</f>
        <v>0</v>
      </c>
      <c r="D31" s="72">
        <f>SUMIF(tblRegister[IN Token],tblBalance[[#This Row],[Token]],tblRegister[IN Quantity])</f>
        <v>0</v>
      </c>
      <c r="E31" s="72">
        <f>SUMIF(tblRegister[OUT Token],tblBalance[[#This Row],[Token]],tblRegister[OUT Quantity])</f>
        <v>0</v>
      </c>
      <c r="F31" s="72">
        <f t="array" aca="1" ref="F3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1" s="72">
        <f>INDEX(tblRates[],MATCH(tblBalance[[#This Row],[Token]],tblRates[Token],0),3)*tblBalance[[#This Row],[Balance]]</f>
        <v>0</v>
      </c>
      <c r="H31" s="73">
        <f ca="1">tblBalance[[#This Row],[Market Value]]-tblBalance[[#This Row],[Book Value]]</f>
        <v>0</v>
      </c>
    </row>
    <row r="32" spans="2:8" x14ac:dyDescent="0.25">
      <c r="B32" s="71" t="str">
        <f>tblRates[[#This Row],[Token]]</f>
        <v>LINK</v>
      </c>
      <c r="C32" s="72">
        <f>SUMIF(tblRegister[IN Token],tblBalance[[#This Row],[Token]],tblRegister[IN Quantity])-SUMIF(tblRegister[OUT Token],tblBalance[[#This Row],[Token]],tblRegister[OUT Quantity])</f>
        <v>0</v>
      </c>
      <c r="D32" s="72">
        <f>SUMIF(tblRegister[IN Token],tblBalance[[#This Row],[Token]],tblRegister[IN Quantity])</f>
        <v>0</v>
      </c>
      <c r="E32" s="72">
        <f>SUMIF(tblRegister[OUT Token],tblBalance[[#This Row],[Token]],tblRegister[OUT Quantity])</f>
        <v>0</v>
      </c>
      <c r="F32" s="72">
        <f t="array" aca="1" ref="F3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2" s="72">
        <f>INDEX(tblRates[],MATCH(tblBalance[[#This Row],[Token]],tblRates[Token],0),3)*tblBalance[[#This Row],[Balance]]</f>
        <v>0</v>
      </c>
      <c r="H32" s="73">
        <f ca="1">tblBalance[[#This Row],[Market Value]]-tblBalance[[#This Row],[Book Value]]</f>
        <v>0</v>
      </c>
    </row>
    <row r="33" spans="2:8" x14ac:dyDescent="0.25">
      <c r="B33" s="71" t="str">
        <f>tblRates[[#This Row],[Token]]</f>
        <v>OMG</v>
      </c>
      <c r="C33" s="72">
        <f>SUMIF(tblRegister[IN Token],tblBalance[[#This Row],[Token]],tblRegister[IN Quantity])-SUMIF(tblRegister[OUT Token],tblBalance[[#This Row],[Token]],tblRegister[OUT Quantity])</f>
        <v>0</v>
      </c>
      <c r="D33" s="72">
        <f>SUMIF(tblRegister[IN Token],tblBalance[[#This Row],[Token]],tblRegister[IN Quantity])</f>
        <v>0</v>
      </c>
      <c r="E33" s="72">
        <f>SUMIF(tblRegister[OUT Token],tblBalance[[#This Row],[Token]],tblRegister[OUT Quantity])</f>
        <v>0</v>
      </c>
      <c r="F33" s="72">
        <f t="array" aca="1" ref="F3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3" s="72">
        <f>INDEX(tblRates[],MATCH(tblBalance[[#This Row],[Token]],tblRates[Token],0),3)*tblBalance[[#This Row],[Balance]]</f>
        <v>0</v>
      </c>
      <c r="H33" s="73">
        <f ca="1">tblBalance[[#This Row],[Market Value]]-tblBalance[[#This Row],[Book Value]]</f>
        <v>0</v>
      </c>
    </row>
    <row r="34" spans="2:8" x14ac:dyDescent="0.25">
      <c r="B34" s="71" t="str">
        <f>tblRates[[#This Row],[Token]]</f>
        <v>NEX</v>
      </c>
      <c r="C34" s="72">
        <f>SUMIF(tblRegister[IN Token],tblBalance[[#This Row],[Token]],tblRegister[IN Quantity])-SUMIF(tblRegister[OUT Token],tblBalance[[#This Row],[Token]],tblRegister[OUT Quantity])</f>
        <v>0</v>
      </c>
      <c r="D34" s="72">
        <f>SUMIF(tblRegister[IN Token],tblBalance[[#This Row],[Token]],tblRegister[IN Quantity])</f>
        <v>0</v>
      </c>
      <c r="E34" s="72">
        <f>SUMIF(tblRegister[OUT Token],tblBalance[[#This Row],[Token]],tblRegister[OUT Quantity])</f>
        <v>0</v>
      </c>
      <c r="F34" s="72">
        <f t="array" aca="1" ref="F3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4" s="72">
        <f>INDEX(tblRates[],MATCH(tblBalance[[#This Row],[Token]],tblRates[Token],0),3)*tblBalance[[#This Row],[Balance]]</f>
        <v>0</v>
      </c>
      <c r="H34" s="73">
        <f ca="1">tblBalance[[#This Row],[Market Value]]-tblBalance[[#This Row],[Book Value]]</f>
        <v>0</v>
      </c>
    </row>
    <row r="35" spans="2:8" x14ac:dyDescent="0.25">
      <c r="B35" s="71" t="str">
        <f>tblRates[[#This Row],[Token]]</f>
        <v>MONA</v>
      </c>
      <c r="C35" s="72">
        <f>SUMIF(tblRegister[IN Token],tblBalance[[#This Row],[Token]],tblRegister[IN Quantity])-SUMIF(tblRegister[OUT Token],tblBalance[[#This Row],[Token]],tblRegister[OUT Quantity])</f>
        <v>0</v>
      </c>
      <c r="D35" s="72">
        <f>SUMIF(tblRegister[IN Token],tblBalance[[#This Row],[Token]],tblRegister[IN Quantity])</f>
        <v>0</v>
      </c>
      <c r="E35" s="72">
        <f>SUMIF(tblRegister[OUT Token],tblBalance[[#This Row],[Token]],tblRegister[OUT Quantity])</f>
        <v>0</v>
      </c>
      <c r="F35" s="72">
        <f t="array" aca="1" ref="F3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5" s="72">
        <f>INDEX(tblRates[],MATCH(tblBalance[[#This Row],[Token]],tblRates[Token],0),3)*tblBalance[[#This Row],[Balance]]</f>
        <v>0</v>
      </c>
      <c r="H35" s="73">
        <f ca="1">tblBalance[[#This Row],[Market Value]]-tblBalance[[#This Row],[Book Value]]</f>
        <v>0</v>
      </c>
    </row>
    <row r="36" spans="2:8" x14ac:dyDescent="0.25">
      <c r="B36" s="71" t="str">
        <f>tblRates[[#This Row],[Token]]</f>
        <v>GXC</v>
      </c>
      <c r="C36" s="72">
        <f>SUMIF(tblRegister[IN Token],tblBalance[[#This Row],[Token]],tblRegister[IN Quantity])-SUMIF(tblRegister[OUT Token],tblBalance[[#This Row],[Token]],tblRegister[OUT Quantity])</f>
        <v>0</v>
      </c>
      <c r="D36" s="72">
        <f>SUMIF(tblRegister[IN Token],tblBalance[[#This Row],[Token]],tblRegister[IN Quantity])</f>
        <v>0</v>
      </c>
      <c r="E36" s="72">
        <f>SUMIF(tblRegister[OUT Token],tblBalance[[#This Row],[Token]],tblRegister[OUT Quantity])</f>
        <v>0</v>
      </c>
      <c r="F36" s="72">
        <f t="array" aca="1" ref="F3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6" s="72">
        <f>INDEX(tblRates[],MATCH(tblBalance[[#This Row],[Token]],tblRates[Token],0),3)*tblBalance[[#This Row],[Balance]]</f>
        <v>0</v>
      </c>
      <c r="H36" s="73">
        <f ca="1">tblBalance[[#This Row],[Market Value]]-tblBalance[[#This Row],[Book Value]]</f>
        <v>0</v>
      </c>
    </row>
    <row r="37" spans="2:8" x14ac:dyDescent="0.25">
      <c r="B37" s="71" t="str">
        <f>tblRates[[#This Row],[Token]]</f>
        <v>WAVES</v>
      </c>
      <c r="C37" s="72">
        <f>SUMIF(tblRegister[IN Token],tblBalance[[#This Row],[Token]],tblRegister[IN Quantity])-SUMIF(tblRegister[OUT Token],tblBalance[[#This Row],[Token]],tblRegister[OUT Quantity])</f>
        <v>0</v>
      </c>
      <c r="D37" s="72">
        <f>SUMIF(tblRegister[IN Token],tblBalance[[#This Row],[Token]],tblRegister[IN Quantity])</f>
        <v>0</v>
      </c>
      <c r="E37" s="72">
        <f>SUMIF(tblRegister[OUT Token],tblBalance[[#This Row],[Token]],tblRegister[OUT Quantity])</f>
        <v>0</v>
      </c>
      <c r="F37" s="72">
        <f t="array" aca="1" ref="F3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7" s="72">
        <f>INDEX(tblRates[],MATCH(tblBalance[[#This Row],[Token]],tblRates[Token],0),3)*tblBalance[[#This Row],[Balance]]</f>
        <v>0</v>
      </c>
      <c r="H37" s="73">
        <f ca="1">tblBalance[[#This Row],[Market Value]]-tblBalance[[#This Row],[Book Value]]</f>
        <v>0</v>
      </c>
    </row>
    <row r="38" spans="2:8" x14ac:dyDescent="0.25">
      <c r="B38" s="71" t="str">
        <f>tblRates[[#This Row],[Token]]</f>
        <v>LEO</v>
      </c>
      <c r="C38" s="72">
        <f>SUMIF(tblRegister[IN Token],tblBalance[[#This Row],[Token]],tblRegister[IN Quantity])-SUMIF(tblRegister[OUT Token],tblBalance[[#This Row],[Token]],tblRegister[OUT Quantity])</f>
        <v>0</v>
      </c>
      <c r="D38" s="72">
        <f>SUMIF(tblRegister[IN Token],tblBalance[[#This Row],[Token]],tblRegister[IN Quantity])</f>
        <v>0</v>
      </c>
      <c r="E38" s="72">
        <f>SUMIF(tblRegister[OUT Token],tblBalance[[#This Row],[Token]],tblRegister[OUT Quantity])</f>
        <v>0</v>
      </c>
      <c r="F38" s="72">
        <f t="array" aca="1" ref="F3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8" s="72">
        <f>INDEX(tblRates[],MATCH(tblBalance[[#This Row],[Token]],tblRates[Token],0),3)*tblBalance[[#This Row],[Balance]]</f>
        <v>0</v>
      </c>
      <c r="H38" s="73">
        <f ca="1">tblBalance[[#This Row],[Market Value]]-tblBalance[[#This Row],[Book Value]]</f>
        <v>0</v>
      </c>
    </row>
    <row r="39" spans="2:8" x14ac:dyDescent="0.25">
      <c r="B39" s="71" t="str">
        <f>tblRates[[#This Row],[Token]]</f>
        <v>LSK</v>
      </c>
      <c r="C39" s="72">
        <f>SUMIF(tblRegister[IN Token],tblBalance[[#This Row],[Token]],tblRegister[IN Quantity])-SUMIF(tblRegister[OUT Token],tblBalance[[#This Row],[Token]],tblRegister[OUT Quantity])</f>
        <v>0</v>
      </c>
      <c r="D39" s="72">
        <f>SUMIF(tblRegister[IN Token],tblBalance[[#This Row],[Token]],tblRegister[IN Quantity])</f>
        <v>0</v>
      </c>
      <c r="E39" s="72">
        <f>SUMIF(tblRegister[OUT Token],tblBalance[[#This Row],[Token]],tblRegister[OUT Quantity])</f>
        <v>0</v>
      </c>
      <c r="F39" s="72">
        <f t="array" aca="1" ref="F3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39" s="72">
        <f>INDEX(tblRates[],MATCH(tblBalance[[#This Row],[Token]],tblRates[Token],0),3)*tblBalance[[#This Row],[Balance]]</f>
        <v>0</v>
      </c>
      <c r="H39" s="73">
        <f ca="1">tblBalance[[#This Row],[Market Value]]-tblBalance[[#This Row],[Book Value]]</f>
        <v>0</v>
      </c>
    </row>
    <row r="40" spans="2:8" x14ac:dyDescent="0.25">
      <c r="B40" s="71" t="str">
        <f>tblRates[[#This Row],[Token]]</f>
        <v>ETP</v>
      </c>
      <c r="C40" s="72">
        <f>SUMIF(tblRegister[IN Token],tblBalance[[#This Row],[Token]],tblRegister[IN Quantity])-SUMIF(tblRegister[OUT Token],tblBalance[[#This Row],[Token]],tblRegister[OUT Quantity])</f>
        <v>0</v>
      </c>
      <c r="D40" s="72">
        <f>SUMIF(tblRegister[IN Token],tblBalance[[#This Row],[Token]],tblRegister[IN Quantity])</f>
        <v>0</v>
      </c>
      <c r="E40" s="72">
        <f>SUMIF(tblRegister[OUT Token],tblBalance[[#This Row],[Token]],tblRegister[OUT Quantity])</f>
        <v>0</v>
      </c>
      <c r="F40" s="72">
        <f t="array" aca="1" ref="F4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0" s="72">
        <f>INDEX(tblRates[],MATCH(tblBalance[[#This Row],[Token]],tblRates[Token],0),3)*tblBalance[[#This Row],[Balance]]</f>
        <v>0</v>
      </c>
      <c r="H40" s="73">
        <f ca="1">tblBalance[[#This Row],[Market Value]]-tblBalance[[#This Row],[Book Value]]</f>
        <v>0</v>
      </c>
    </row>
    <row r="41" spans="2:8" x14ac:dyDescent="0.25">
      <c r="B41" s="71" t="str">
        <f>tblRates[[#This Row],[Token]]</f>
        <v>KCS</v>
      </c>
      <c r="C41" s="72">
        <f>SUMIF(tblRegister[IN Token],tblBalance[[#This Row],[Token]],tblRegister[IN Quantity])-SUMIF(tblRegister[OUT Token],tblBalance[[#This Row],[Token]],tblRegister[OUT Quantity])</f>
        <v>0</v>
      </c>
      <c r="D41" s="72">
        <f>SUMIF(tblRegister[IN Token],tblBalance[[#This Row],[Token]],tblRegister[IN Quantity])</f>
        <v>0</v>
      </c>
      <c r="E41" s="72">
        <f>SUMIF(tblRegister[OUT Token],tblBalance[[#This Row],[Token]],tblRegister[OUT Quantity])</f>
        <v>0</v>
      </c>
      <c r="F41" s="72">
        <f t="array" aca="1" ref="F4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1" s="72">
        <f>INDEX(tblRates[],MATCH(tblBalance[[#This Row],[Token]],tblRates[Token],0),3)*tblBalance[[#This Row],[Balance]]</f>
        <v>0</v>
      </c>
      <c r="H41" s="73">
        <f ca="1">tblBalance[[#This Row],[Market Value]]-tblBalance[[#This Row],[Book Value]]</f>
        <v>0</v>
      </c>
    </row>
    <row r="42" spans="2:8" x14ac:dyDescent="0.25">
      <c r="B42" s="71" t="str">
        <f>tblRates[[#This Row],[Token]]</f>
        <v>NAS</v>
      </c>
      <c r="C42" s="72">
        <f>SUMIF(tblRegister[IN Token],tblBalance[[#This Row],[Token]],tblRegister[IN Quantity])-SUMIF(tblRegister[OUT Token],tblBalance[[#This Row],[Token]],tblRegister[OUT Quantity])</f>
        <v>0</v>
      </c>
      <c r="D42" s="72">
        <f>SUMIF(tblRegister[IN Token],tblBalance[[#This Row],[Token]],tblRegister[IN Quantity])</f>
        <v>0</v>
      </c>
      <c r="E42" s="72">
        <f>SUMIF(tblRegister[OUT Token],tblBalance[[#This Row],[Token]],tblRegister[OUT Quantity])</f>
        <v>0</v>
      </c>
      <c r="F42" s="72">
        <f t="array" aca="1" ref="F4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2" s="72">
        <f>INDEX(tblRates[],MATCH(tblBalance[[#This Row],[Token]],tblRates[Token],0),3)*tblBalance[[#This Row],[Balance]]</f>
        <v>0</v>
      </c>
      <c r="H42" s="73">
        <f ca="1">tblBalance[[#This Row],[Market Value]]-tblBalance[[#This Row],[Book Value]]</f>
        <v>0</v>
      </c>
    </row>
    <row r="43" spans="2:8" x14ac:dyDescent="0.25">
      <c r="B43" s="71" t="str">
        <f>tblRates[[#This Row],[Token]]</f>
        <v>ONT</v>
      </c>
      <c r="C43" s="72">
        <f>SUMIF(tblRegister[IN Token],tblBalance[[#This Row],[Token]],tblRegister[IN Quantity])-SUMIF(tblRegister[OUT Token],tblBalance[[#This Row],[Token]],tblRegister[OUT Quantity])</f>
        <v>0</v>
      </c>
      <c r="D43" s="72">
        <f>SUMIF(tblRegister[IN Token],tblBalance[[#This Row],[Token]],tblRegister[IN Quantity])</f>
        <v>0</v>
      </c>
      <c r="E43" s="72">
        <f>SUMIF(tblRegister[OUT Token],tblBalance[[#This Row],[Token]],tblRegister[OUT Quantity])</f>
        <v>0</v>
      </c>
      <c r="F43" s="72">
        <f t="array" aca="1" ref="F4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3" s="72">
        <f>INDEX(tblRates[],MATCH(tblBalance[[#This Row],[Token]],tblRates[Token],0),3)*tblBalance[[#This Row],[Balance]]</f>
        <v>0</v>
      </c>
      <c r="H43" s="73">
        <f ca="1">tblBalance[[#This Row],[Market Value]]-tblBalance[[#This Row],[Book Value]]</f>
        <v>0</v>
      </c>
    </row>
    <row r="44" spans="2:8" x14ac:dyDescent="0.25">
      <c r="B44" s="71" t="str">
        <f>tblRates[[#This Row],[Token]]</f>
        <v>KMD</v>
      </c>
      <c r="C44" s="72">
        <f>SUMIF(tblRegister[IN Token],tblBalance[[#This Row],[Token]],tblRegister[IN Quantity])-SUMIF(tblRegister[OUT Token],tblBalance[[#This Row],[Token]],tblRegister[OUT Quantity])</f>
        <v>0</v>
      </c>
      <c r="D44" s="72">
        <f>SUMIF(tblRegister[IN Token],tblBalance[[#This Row],[Token]],tblRegister[IN Quantity])</f>
        <v>0</v>
      </c>
      <c r="E44" s="72">
        <f>SUMIF(tblRegister[OUT Token],tblBalance[[#This Row],[Token]],tblRegister[OUT Quantity])</f>
        <v>0</v>
      </c>
      <c r="F44" s="72">
        <f t="array" aca="1" ref="F4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4" s="72">
        <f>INDEX(tblRates[],MATCH(tblBalance[[#This Row],[Token]],tblRates[Token],0),3)*tblBalance[[#This Row],[Balance]]</f>
        <v>0</v>
      </c>
      <c r="H44" s="73">
        <f ca="1">tblBalance[[#This Row],[Market Value]]-tblBalance[[#This Row],[Book Value]]</f>
        <v>0</v>
      </c>
    </row>
    <row r="45" spans="2:8" x14ac:dyDescent="0.25">
      <c r="B45" s="71" t="str">
        <f>tblRates[[#This Row],[Token]]</f>
        <v>NANO</v>
      </c>
      <c r="C45" s="72">
        <f>SUMIF(tblRegister[IN Token],tblBalance[[#This Row],[Token]],tblRegister[IN Quantity])-SUMIF(tblRegister[OUT Token],tblBalance[[#This Row],[Token]],tblRegister[OUT Quantity])</f>
        <v>0</v>
      </c>
      <c r="D45" s="72">
        <f>SUMIF(tblRegister[IN Token],tblBalance[[#This Row],[Token]],tblRegister[IN Quantity])</f>
        <v>0</v>
      </c>
      <c r="E45" s="72">
        <f>SUMIF(tblRegister[OUT Token],tblBalance[[#This Row],[Token]],tblRegister[OUT Quantity])</f>
        <v>0</v>
      </c>
      <c r="F45" s="72">
        <f t="array" aca="1" ref="F4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5" s="72">
        <f>INDEX(tblRates[],MATCH(tblBalance[[#This Row],[Token]],tblRates[Token],0),3)*tblBalance[[#This Row],[Balance]]</f>
        <v>0</v>
      </c>
      <c r="H45" s="73">
        <f ca="1">tblBalance[[#This Row],[Market Value]]-tblBalance[[#This Row],[Book Value]]</f>
        <v>0</v>
      </c>
    </row>
    <row r="46" spans="2:8" x14ac:dyDescent="0.25">
      <c r="B46" s="71" t="str">
        <f>tblRates[[#This Row],[Token]]</f>
        <v>BCD</v>
      </c>
      <c r="C46" s="72">
        <f>SUMIF(tblRegister[IN Token],tblBalance[[#This Row],[Token]],tblRegister[IN Quantity])-SUMIF(tblRegister[OUT Token],tblBalance[[#This Row],[Token]],tblRegister[OUT Quantity])</f>
        <v>0</v>
      </c>
      <c r="D46" s="72">
        <f>SUMIF(tblRegister[IN Token],tblBalance[[#This Row],[Token]],tblRegister[IN Quantity])</f>
        <v>0</v>
      </c>
      <c r="E46" s="72">
        <f>SUMIF(tblRegister[OUT Token],tblBalance[[#This Row],[Token]],tblRegister[OUT Quantity])</f>
        <v>0</v>
      </c>
      <c r="F46" s="72">
        <f t="array" aca="1" ref="F4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6" s="72">
        <f>INDEX(tblRates[],MATCH(tblBalance[[#This Row],[Token]],tblRates[Token],0),3)*tblBalance[[#This Row],[Balance]]</f>
        <v>0</v>
      </c>
      <c r="H46" s="73">
        <f ca="1">tblBalance[[#This Row],[Market Value]]-tblBalance[[#This Row],[Book Value]]</f>
        <v>0</v>
      </c>
    </row>
    <row r="47" spans="2:8" x14ac:dyDescent="0.25">
      <c r="B47" s="71" t="str">
        <f>tblRates[[#This Row],[Token]]</f>
        <v>DAI</v>
      </c>
      <c r="C47" s="72">
        <f>SUMIF(tblRegister[IN Token],tblBalance[[#This Row],[Token]],tblRegister[IN Quantity])-SUMIF(tblRegister[OUT Token],tblBalance[[#This Row],[Token]],tblRegister[OUT Quantity])</f>
        <v>0</v>
      </c>
      <c r="D47" s="72">
        <f>SUMIF(tblRegister[IN Token],tblBalance[[#This Row],[Token]],tblRegister[IN Quantity])</f>
        <v>0</v>
      </c>
      <c r="E47" s="72">
        <f>SUMIF(tblRegister[OUT Token],tblBalance[[#This Row],[Token]],tblRegister[OUT Quantity])</f>
        <v>0</v>
      </c>
      <c r="F47" s="72">
        <f t="array" aca="1" ref="F4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7" s="72">
        <f>INDEX(tblRates[],MATCH(tblBalance[[#This Row],[Token]],tblRates[Token],0),3)*tblBalance[[#This Row],[Balance]]</f>
        <v>0</v>
      </c>
      <c r="H47" s="73">
        <f ca="1">tblBalance[[#This Row],[Market Value]]-tblBalance[[#This Row],[Book Value]]</f>
        <v>0</v>
      </c>
    </row>
    <row r="48" spans="2:8" x14ac:dyDescent="0.25">
      <c r="B48" s="71" t="str">
        <f>tblRates[[#This Row],[Token]]</f>
        <v>USDC</v>
      </c>
      <c r="C48" s="72">
        <f>SUMIF(tblRegister[IN Token],tblBalance[[#This Row],[Token]],tblRegister[IN Quantity])-SUMIF(tblRegister[OUT Token],tblBalance[[#This Row],[Token]],tblRegister[OUT Quantity])</f>
        <v>0</v>
      </c>
      <c r="D48" s="72">
        <f>SUMIF(tblRegister[IN Token],tblBalance[[#This Row],[Token]],tblRegister[IN Quantity])</f>
        <v>0</v>
      </c>
      <c r="E48" s="72">
        <f>SUMIF(tblRegister[OUT Token],tblBalance[[#This Row],[Token]],tblRegister[OUT Quantity])</f>
        <v>0</v>
      </c>
      <c r="F48" s="72">
        <f t="array" aca="1" ref="F4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8" s="72">
        <f>INDEX(tblRates[],MATCH(tblBalance[[#This Row],[Token]],tblRates[Token],0),3)*tblBalance[[#This Row],[Balance]]</f>
        <v>0</v>
      </c>
      <c r="H48" s="73">
        <f ca="1">tblBalance[[#This Row],[Market Value]]-tblBalance[[#This Row],[Book Value]]</f>
        <v>0</v>
      </c>
    </row>
    <row r="49" spans="2:8" x14ac:dyDescent="0.25">
      <c r="B49" s="71" t="str">
        <f>tblRates[[#This Row],[Token]]</f>
        <v>PAX</v>
      </c>
      <c r="C49" s="72">
        <f>SUMIF(tblRegister[IN Token],tblBalance[[#This Row],[Token]],tblRegister[IN Quantity])-SUMIF(tblRegister[OUT Token],tblBalance[[#This Row],[Token]],tblRegister[OUT Quantity])</f>
        <v>0</v>
      </c>
      <c r="D49" s="72">
        <f>SUMIF(tblRegister[IN Token],tblBalance[[#This Row],[Token]],tblRegister[IN Quantity])</f>
        <v>0</v>
      </c>
      <c r="E49" s="72">
        <f>SUMIF(tblRegister[OUT Token],tblBalance[[#This Row],[Token]],tblRegister[OUT Quantity])</f>
        <v>0</v>
      </c>
      <c r="F49" s="72">
        <f t="array" aca="1" ref="F4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49" s="72">
        <f>INDEX(tblRates[],MATCH(tblBalance[[#This Row],[Token]],tblRates[Token],0),3)*tblBalance[[#This Row],[Balance]]</f>
        <v>0</v>
      </c>
      <c r="H49" s="73">
        <f ca="1">tblBalance[[#This Row],[Market Value]]-tblBalance[[#This Row],[Book Value]]</f>
        <v>0</v>
      </c>
    </row>
    <row r="50" spans="2:8" x14ac:dyDescent="0.25">
      <c r="B50" s="71" t="str">
        <f>tblRates[[#This Row],[Token]]</f>
        <v>TUSD</v>
      </c>
      <c r="C50" s="72">
        <f>SUMIF(tblRegister[IN Token],tblBalance[[#This Row],[Token]],tblRegister[IN Quantity])-SUMIF(tblRegister[OUT Token],tblBalance[[#This Row],[Token]],tblRegister[OUT Quantity])</f>
        <v>0</v>
      </c>
      <c r="D50" s="72">
        <f>SUMIF(tblRegister[IN Token],tblBalance[[#This Row],[Token]],tblRegister[IN Quantity])</f>
        <v>0</v>
      </c>
      <c r="E50" s="72">
        <f>SUMIF(tblRegister[OUT Token],tblBalance[[#This Row],[Token]],tblRegister[OUT Quantity])</f>
        <v>0</v>
      </c>
      <c r="F50" s="72">
        <f t="array" aca="1" ref="F5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0" s="72">
        <f>INDEX(tblRates[],MATCH(tblBalance[[#This Row],[Token]],tblRates[Token],0),3)*tblBalance[[#This Row],[Balance]]</f>
        <v>0</v>
      </c>
      <c r="H50" s="73">
        <f ca="1">tblBalance[[#This Row],[Market Value]]-tblBalance[[#This Row],[Book Value]]</f>
        <v>0</v>
      </c>
    </row>
    <row r="51" spans="2:8" x14ac:dyDescent="0.25">
      <c r="B51" s="71" t="str">
        <f>tblRates[[#This Row],[Token]]</f>
        <v>USDT</v>
      </c>
      <c r="C51" s="72">
        <f>SUMIF(tblRegister[IN Token],tblBalance[[#This Row],[Token]],tblRegister[IN Quantity])-SUMIF(tblRegister[OUT Token],tblBalance[[#This Row],[Token]],tblRegister[OUT Quantity])</f>
        <v>0</v>
      </c>
      <c r="D51" s="72">
        <f>SUMIF(tblRegister[IN Token],tblBalance[[#This Row],[Token]],tblRegister[IN Quantity])</f>
        <v>0</v>
      </c>
      <c r="E51" s="72">
        <f>SUMIF(tblRegister[OUT Token],tblBalance[[#This Row],[Token]],tblRegister[OUT Quantity])</f>
        <v>0</v>
      </c>
      <c r="F51" s="72">
        <f t="array" aca="1" ref="F5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1" s="72">
        <f>INDEX(tblRates[],MATCH(tblBalance[[#This Row],[Token]],tblRates[Token],0),3)*tblBalance[[#This Row],[Balance]]</f>
        <v>0</v>
      </c>
      <c r="H51" s="73">
        <f ca="1">tblBalance[[#This Row],[Market Value]]-tblBalance[[#This Row],[Book Value]]</f>
        <v>0</v>
      </c>
    </row>
    <row r="52" spans="2:8" x14ac:dyDescent="0.25">
      <c r="B52" s="71" t="str">
        <f>tblRates[[#This Row],[Token]]</f>
        <v>XTZ</v>
      </c>
      <c r="C52" s="72">
        <f>SUMIF(tblRegister[IN Token],tblBalance[[#This Row],[Token]],tblRegister[IN Quantity])-SUMIF(tblRegister[OUT Token],tblBalance[[#This Row],[Token]],tblRegister[OUT Quantity])</f>
        <v>0</v>
      </c>
      <c r="D52" s="72">
        <f>SUMIF(tblRegister[IN Token],tblBalance[[#This Row],[Token]],tblRegister[IN Quantity])</f>
        <v>0</v>
      </c>
      <c r="E52" s="72">
        <f>SUMIF(tblRegister[OUT Token],tblBalance[[#This Row],[Token]],tblRegister[OUT Quantity])</f>
        <v>0</v>
      </c>
      <c r="F52" s="72">
        <f t="array" aca="1" ref="F5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2" s="72">
        <f>INDEX(tblRates[],MATCH(tblBalance[[#This Row],[Token]],tblRates[Token],0),3)*tblBalance[[#This Row],[Balance]]</f>
        <v>0</v>
      </c>
      <c r="H52" s="73">
        <f ca="1">tblBalance[[#This Row],[Market Value]]-tblBalance[[#This Row],[Book Value]]</f>
        <v>0</v>
      </c>
    </row>
    <row r="53" spans="2:8" x14ac:dyDescent="0.25">
      <c r="B53" s="71" t="str">
        <f>tblRates[[#This Row],[Token]]</f>
        <v>STRAT</v>
      </c>
      <c r="C53" s="72">
        <f>SUMIF(tblRegister[IN Token],tblBalance[[#This Row],[Token]],tblRegister[IN Quantity])-SUMIF(tblRegister[OUT Token],tblBalance[[#This Row],[Token]],tblRegister[OUT Quantity])</f>
        <v>0</v>
      </c>
      <c r="D53" s="72">
        <f>SUMIF(tblRegister[IN Token],tblBalance[[#This Row],[Token]],tblRegister[IN Quantity])</f>
        <v>0</v>
      </c>
      <c r="E53" s="72">
        <f>SUMIF(tblRegister[OUT Token],tblBalance[[#This Row],[Token]],tblRegister[OUT Quantity])</f>
        <v>0</v>
      </c>
      <c r="F53" s="72">
        <f t="array" aca="1" ref="F5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3" s="72">
        <f>INDEX(tblRates[],MATCH(tblBalance[[#This Row],[Token]],tblRates[Token],0),3)*tblBalance[[#This Row],[Balance]]</f>
        <v>0</v>
      </c>
      <c r="H53" s="73">
        <f ca="1">tblBalance[[#This Row],[Market Value]]-tblBalance[[#This Row],[Book Value]]</f>
        <v>0</v>
      </c>
    </row>
    <row r="54" spans="2:8" x14ac:dyDescent="0.25">
      <c r="B54" s="71" t="str">
        <f>tblRates[[#This Row],[Token]]</f>
        <v>HEDG</v>
      </c>
      <c r="C54" s="72">
        <f>SUMIF(tblRegister[IN Token],tblBalance[[#This Row],[Token]],tblRegister[IN Quantity])-SUMIF(tblRegister[OUT Token],tblBalance[[#This Row],[Token]],tblRegister[OUT Quantity])</f>
        <v>0</v>
      </c>
      <c r="D54" s="72">
        <f>SUMIF(tblRegister[IN Token],tblBalance[[#This Row],[Token]],tblRegister[IN Quantity])</f>
        <v>0</v>
      </c>
      <c r="E54" s="72">
        <f>SUMIF(tblRegister[OUT Token],tblBalance[[#This Row],[Token]],tblRegister[OUT Quantity])</f>
        <v>0</v>
      </c>
      <c r="F54" s="72">
        <f t="array" aca="1" ref="F5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4" s="72">
        <f>INDEX(tblRates[],MATCH(tblBalance[[#This Row],[Token]],tblRates[Token],0),3)*tblBalance[[#This Row],[Balance]]</f>
        <v>0</v>
      </c>
      <c r="H54" s="73">
        <f ca="1">tblBalance[[#This Row],[Market Value]]-tblBalance[[#This Row],[Book Value]]</f>
        <v>0</v>
      </c>
    </row>
    <row r="55" spans="2:8" x14ac:dyDescent="0.25">
      <c r="B55" s="71" t="str">
        <f>tblRates[[#This Row],[Token]]</f>
        <v>AE</v>
      </c>
      <c r="C55" s="72">
        <f>SUMIF(tblRegister[IN Token],tblBalance[[#This Row],[Token]],tblRegister[IN Quantity])-SUMIF(tblRegister[OUT Token],tblBalance[[#This Row],[Token]],tblRegister[OUT Quantity])</f>
        <v>0</v>
      </c>
      <c r="D55" s="72">
        <f>SUMIF(tblRegister[IN Token],tblBalance[[#This Row],[Token]],tblRegister[IN Quantity])</f>
        <v>0</v>
      </c>
      <c r="E55" s="72">
        <f>SUMIF(tblRegister[OUT Token],tblBalance[[#This Row],[Token]],tblRegister[OUT Quantity])</f>
        <v>0</v>
      </c>
      <c r="F55" s="72">
        <f t="array" aca="1" ref="F5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5" s="72">
        <f>INDEX(tblRates[],MATCH(tblBalance[[#This Row],[Token]],tblRates[Token],0),3)*tblBalance[[#This Row],[Balance]]</f>
        <v>0</v>
      </c>
      <c r="H55" s="73">
        <f ca="1">tblBalance[[#This Row],[Market Value]]-tblBalance[[#This Row],[Book Value]]</f>
        <v>0</v>
      </c>
    </row>
    <row r="56" spans="2:8" x14ac:dyDescent="0.25">
      <c r="B56" s="71" t="str">
        <f>tblRates[[#This Row],[Token]]</f>
        <v>XRP</v>
      </c>
      <c r="C56" s="72">
        <f>SUMIF(tblRegister[IN Token],tblBalance[[#This Row],[Token]],tblRegister[IN Quantity])-SUMIF(tblRegister[OUT Token],tblBalance[[#This Row],[Token]],tblRegister[OUT Quantity])</f>
        <v>0</v>
      </c>
      <c r="D56" s="72">
        <f>SUMIF(tblRegister[IN Token],tblBalance[[#This Row],[Token]],tblRegister[IN Quantity])</f>
        <v>0</v>
      </c>
      <c r="E56" s="72">
        <f>SUMIF(tblRegister[OUT Token],tblBalance[[#This Row],[Token]],tblRegister[OUT Quantity])</f>
        <v>0</v>
      </c>
      <c r="F56" s="72">
        <f t="array" aca="1" ref="F5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6" s="72">
        <f>INDEX(tblRates[],MATCH(tblBalance[[#This Row],[Token]],tblRates[Token],0),3)*tblBalance[[#This Row],[Balance]]</f>
        <v>0</v>
      </c>
      <c r="H56" s="73">
        <f ca="1">tblBalance[[#This Row],[Market Value]]-tblBalance[[#This Row],[Book Value]]</f>
        <v>0</v>
      </c>
    </row>
    <row r="57" spans="2:8" x14ac:dyDescent="0.25">
      <c r="B57" s="71" t="str">
        <f>tblRates[[#This Row],[Token]]</f>
        <v>MIOTA</v>
      </c>
      <c r="C57" s="72">
        <f>SUMIF(tblRegister[IN Token],tblBalance[[#This Row],[Token]],tblRegister[IN Quantity])-SUMIF(tblRegister[OUT Token],tblBalance[[#This Row],[Token]],tblRegister[OUT Quantity])</f>
        <v>0</v>
      </c>
      <c r="D57" s="72">
        <f>SUMIF(tblRegister[IN Token],tblBalance[[#This Row],[Token]],tblRegister[IN Quantity])</f>
        <v>0</v>
      </c>
      <c r="E57" s="72">
        <f>SUMIF(tblRegister[OUT Token],tblBalance[[#This Row],[Token]],tblRegister[OUT Quantity])</f>
        <v>0</v>
      </c>
      <c r="F57" s="72">
        <f t="array" aca="1" ref="F5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7" s="72">
        <f>INDEX(tblRates[],MATCH(tblBalance[[#This Row],[Token]],tblRates[Token],0),3)*tblBalance[[#This Row],[Balance]]</f>
        <v>0</v>
      </c>
      <c r="H57" s="73">
        <f ca="1">tblBalance[[#This Row],[Market Value]]-tblBalance[[#This Row],[Book Value]]</f>
        <v>0</v>
      </c>
    </row>
    <row r="58" spans="2:8" x14ac:dyDescent="0.25">
      <c r="B58" s="71" t="str">
        <f>tblRates[[#This Row],[Token]]</f>
        <v>STEEM</v>
      </c>
      <c r="C58" s="72">
        <f>SUMIF(tblRegister[IN Token],tblBalance[[#This Row],[Token]],tblRegister[IN Quantity])-SUMIF(tblRegister[OUT Token],tblBalance[[#This Row],[Token]],tblRegister[OUT Quantity])</f>
        <v>0</v>
      </c>
      <c r="D58" s="72">
        <f>SUMIF(tblRegister[IN Token],tblBalance[[#This Row],[Token]],tblRegister[IN Quantity])</f>
        <v>0</v>
      </c>
      <c r="E58" s="72">
        <f>SUMIF(tblRegister[OUT Token],tblBalance[[#This Row],[Token]],tblRegister[OUT Quantity])</f>
        <v>0</v>
      </c>
      <c r="F58" s="72">
        <f t="array" aca="1" ref="F5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8" s="72">
        <f>INDEX(tblRates[],MATCH(tblBalance[[#This Row],[Token]],tblRates[Token],0),3)*tblBalance[[#This Row],[Balance]]</f>
        <v>0</v>
      </c>
      <c r="H58" s="73">
        <f ca="1">tblBalance[[#This Row],[Market Value]]-tblBalance[[#This Row],[Book Value]]</f>
        <v>0</v>
      </c>
    </row>
    <row r="59" spans="2:8" x14ac:dyDescent="0.25">
      <c r="B59" s="71" t="str">
        <f>tblRates[[#This Row],[Token]]</f>
        <v>ICX</v>
      </c>
      <c r="C59" s="72">
        <f>SUMIF(tblRegister[IN Token],tblBalance[[#This Row],[Token]],tblRegister[IN Quantity])-SUMIF(tblRegister[OUT Token],tblBalance[[#This Row],[Token]],tblRegister[OUT Quantity])</f>
        <v>0</v>
      </c>
      <c r="D59" s="72">
        <f>SUMIF(tblRegister[IN Token],tblBalance[[#This Row],[Token]],tblRegister[IN Quantity])</f>
        <v>0</v>
      </c>
      <c r="E59" s="72">
        <f>SUMIF(tblRegister[OUT Token],tblBalance[[#This Row],[Token]],tblRegister[OUT Quantity])</f>
        <v>0</v>
      </c>
      <c r="F59" s="72">
        <f t="array" aca="1" ref="F5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59" s="72">
        <f>INDEX(tblRates[],MATCH(tblBalance[[#This Row],[Token]],tblRates[Token],0),3)*tblBalance[[#This Row],[Balance]]</f>
        <v>0</v>
      </c>
      <c r="H59" s="73">
        <f ca="1">tblBalance[[#This Row],[Market Value]]-tblBalance[[#This Row],[Book Value]]</f>
        <v>0</v>
      </c>
    </row>
    <row r="60" spans="2:8" x14ac:dyDescent="0.25">
      <c r="B60" s="71" t="str">
        <f>tblRates[[#This Row],[Token]]</f>
        <v>ZRX</v>
      </c>
      <c r="C60" s="72">
        <f>SUMIF(tblRegister[IN Token],tblBalance[[#This Row],[Token]],tblRegister[IN Quantity])-SUMIF(tblRegister[OUT Token],tblBalance[[#This Row],[Token]],tblRegister[OUT Quantity])</f>
        <v>0</v>
      </c>
      <c r="D60" s="72">
        <f>SUMIF(tblRegister[IN Token],tblBalance[[#This Row],[Token]],tblRegister[IN Quantity])</f>
        <v>0</v>
      </c>
      <c r="E60" s="72">
        <f>SUMIF(tblRegister[OUT Token],tblBalance[[#This Row],[Token]],tblRegister[OUT Quantity])</f>
        <v>0</v>
      </c>
      <c r="F60" s="72">
        <f t="array" aca="1" ref="F6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0" s="72">
        <f>INDEX(tblRates[],MATCH(tblBalance[[#This Row],[Token]],tblRates[Token],0),3)*tblBalance[[#This Row],[Balance]]</f>
        <v>0</v>
      </c>
      <c r="H60" s="73">
        <f ca="1">tblBalance[[#This Row],[Market Value]]-tblBalance[[#This Row],[Book Value]]</f>
        <v>0</v>
      </c>
    </row>
    <row r="61" spans="2:8" x14ac:dyDescent="0.25">
      <c r="B61" s="71" t="str">
        <f>tblRates[[#This Row],[Token]]</f>
        <v>BAT</v>
      </c>
      <c r="C61" s="72">
        <f>SUMIF(tblRegister[IN Token],tblBalance[[#This Row],[Token]],tblRegister[IN Quantity])-SUMIF(tblRegister[OUT Token],tblBalance[[#This Row],[Token]],tblRegister[OUT Quantity])</f>
        <v>0</v>
      </c>
      <c r="D61" s="72">
        <f>SUMIF(tblRegister[IN Token],tblBalance[[#This Row],[Token]],tblRegister[IN Quantity])</f>
        <v>0</v>
      </c>
      <c r="E61" s="72">
        <f>SUMIF(tblRegister[OUT Token],tblBalance[[#This Row],[Token]],tblRegister[OUT Quantity])</f>
        <v>0</v>
      </c>
      <c r="F61" s="72">
        <f t="array" aca="1" ref="F6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1" s="72">
        <f>INDEX(tblRates[],MATCH(tblBalance[[#This Row],[Token]],tblRates[Token],0),3)*tblBalance[[#This Row],[Balance]]</f>
        <v>0</v>
      </c>
      <c r="H61" s="73">
        <f ca="1">tblBalance[[#This Row],[Market Value]]-tblBalance[[#This Row],[Book Value]]</f>
        <v>0</v>
      </c>
    </row>
    <row r="62" spans="2:8" x14ac:dyDescent="0.25">
      <c r="B62" s="71" t="str">
        <f>tblRates[[#This Row],[Token]]</f>
        <v>ODE</v>
      </c>
      <c r="C62" s="72">
        <f>SUMIF(tblRegister[IN Token],tblBalance[[#This Row],[Token]],tblRegister[IN Quantity])-SUMIF(tblRegister[OUT Token],tblBalance[[#This Row],[Token]],tblRegister[OUT Quantity])</f>
        <v>0</v>
      </c>
      <c r="D62" s="72">
        <f>SUMIF(tblRegister[IN Token],tblBalance[[#This Row],[Token]],tblRegister[IN Quantity])</f>
        <v>0</v>
      </c>
      <c r="E62" s="72">
        <f>SUMIF(tblRegister[OUT Token],tblBalance[[#This Row],[Token]],tblRegister[OUT Quantity])</f>
        <v>0</v>
      </c>
      <c r="F62" s="72">
        <f t="array" aca="1" ref="F6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2" s="72">
        <f>INDEX(tblRates[],MATCH(tblBalance[[#This Row],[Token]],tblRates[Token],0),3)*tblBalance[[#This Row],[Balance]]</f>
        <v>0</v>
      </c>
      <c r="H62" s="73">
        <f ca="1">tblBalance[[#This Row],[Market Value]]-tblBalance[[#This Row],[Book Value]]</f>
        <v>0</v>
      </c>
    </row>
    <row r="63" spans="2:8" x14ac:dyDescent="0.25">
      <c r="B63" s="71" t="str">
        <f>tblRates[[#This Row],[Token]]</f>
        <v>SOLVE</v>
      </c>
      <c r="C63" s="72">
        <f>SUMIF(tblRegister[IN Token],tblBalance[[#This Row],[Token]],tblRegister[IN Quantity])-SUMIF(tblRegister[OUT Token],tblBalance[[#This Row],[Token]],tblRegister[OUT Quantity])</f>
        <v>0</v>
      </c>
      <c r="D63" s="72">
        <f>SUMIF(tblRegister[IN Token],tblBalance[[#This Row],[Token]],tblRegister[IN Quantity])</f>
        <v>0</v>
      </c>
      <c r="E63" s="72">
        <f>SUMIF(tblRegister[OUT Token],tblBalance[[#This Row],[Token]],tblRegister[OUT Quantity])</f>
        <v>0</v>
      </c>
      <c r="F63" s="72">
        <f t="array" aca="1" ref="F6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3" s="72">
        <f>INDEX(tblRates[],MATCH(tblBalance[[#This Row],[Token]],tblRates[Token],0),3)*tblBalance[[#This Row],[Balance]]</f>
        <v>0</v>
      </c>
      <c r="H63" s="73">
        <f ca="1">tblBalance[[#This Row],[Market Value]]-tblBalance[[#This Row],[Book Value]]</f>
        <v>0</v>
      </c>
    </row>
    <row r="64" spans="2:8" x14ac:dyDescent="0.25">
      <c r="B64" s="71" t="str">
        <f>tblRates[[#This Row],[Token]]</f>
        <v>ABBC</v>
      </c>
      <c r="C64" s="72">
        <f>SUMIF(tblRegister[IN Token],tblBalance[[#This Row],[Token]],tblRegister[IN Quantity])-SUMIF(tblRegister[OUT Token],tblBalance[[#This Row],[Token]],tblRegister[OUT Quantity])</f>
        <v>0</v>
      </c>
      <c r="D64" s="72">
        <f>SUMIF(tblRegister[IN Token],tblBalance[[#This Row],[Token]],tblRegister[IN Quantity])</f>
        <v>0</v>
      </c>
      <c r="E64" s="72">
        <f>SUMIF(tblRegister[OUT Token],tblBalance[[#This Row],[Token]],tblRegister[OUT Quantity])</f>
        <v>0</v>
      </c>
      <c r="F64" s="72">
        <f t="array" aca="1" ref="F6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4" s="72">
        <f>INDEX(tblRates[],MATCH(tblBalance[[#This Row],[Token]],tblRates[Token],0),3)*tblBalance[[#This Row],[Balance]]</f>
        <v>0</v>
      </c>
      <c r="H64" s="73">
        <f ca="1">tblBalance[[#This Row],[Market Value]]-tblBalance[[#This Row],[Book Value]]</f>
        <v>0</v>
      </c>
    </row>
    <row r="65" spans="2:8" x14ac:dyDescent="0.25">
      <c r="B65" s="71" t="str">
        <f>tblRates[[#This Row],[Token]]</f>
        <v>INB</v>
      </c>
      <c r="C65" s="72">
        <f>SUMIF(tblRegister[IN Token],tblBalance[[#This Row],[Token]],tblRegister[IN Quantity])-SUMIF(tblRegister[OUT Token],tblBalance[[#This Row],[Token]],tblRegister[OUT Quantity])</f>
        <v>0</v>
      </c>
      <c r="D65" s="72">
        <f>SUMIF(tblRegister[IN Token],tblBalance[[#This Row],[Token]],tblRegister[IN Quantity])</f>
        <v>0</v>
      </c>
      <c r="E65" s="72">
        <f>SUMIF(tblRegister[OUT Token],tblBalance[[#This Row],[Token]],tblRegister[OUT Quantity])</f>
        <v>0</v>
      </c>
      <c r="F65" s="72">
        <f t="array" aca="1" ref="F6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5" s="72">
        <f>INDEX(tblRates[],MATCH(tblBalance[[#This Row],[Token]],tblRates[Token],0),3)*tblBalance[[#This Row],[Balance]]</f>
        <v>0</v>
      </c>
      <c r="H65" s="73">
        <f ca="1">tblBalance[[#This Row],[Market Value]]-tblBalance[[#This Row],[Book Value]]</f>
        <v>0</v>
      </c>
    </row>
    <row r="66" spans="2:8" x14ac:dyDescent="0.25">
      <c r="B66" s="71" t="str">
        <f>tblRates[[#This Row],[Token]]</f>
        <v>MAID</v>
      </c>
      <c r="C66" s="72">
        <f>SUMIF(tblRegister[IN Token],tblBalance[[#This Row],[Token]],tblRegister[IN Quantity])-SUMIF(tblRegister[OUT Token],tblBalance[[#This Row],[Token]],tblRegister[OUT Quantity])</f>
        <v>0</v>
      </c>
      <c r="D66" s="72">
        <f>SUMIF(tblRegister[IN Token],tblBalance[[#This Row],[Token]],tblRegister[IN Quantity])</f>
        <v>0</v>
      </c>
      <c r="E66" s="72">
        <f>SUMIF(tblRegister[OUT Token],tblBalance[[#This Row],[Token]],tblRegister[OUT Quantity])</f>
        <v>0</v>
      </c>
      <c r="F66" s="72">
        <f t="array" aca="1" ref="F6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6" s="72">
        <f>INDEX(tblRates[],MATCH(tblBalance[[#This Row],[Token]],tblRates[Token],0),3)*tblBalance[[#This Row],[Balance]]</f>
        <v>0</v>
      </c>
      <c r="H66" s="73">
        <f ca="1">tblBalance[[#This Row],[Market Value]]-tblBalance[[#This Row],[Book Value]]</f>
        <v>0</v>
      </c>
    </row>
    <row r="67" spans="2:8" x14ac:dyDescent="0.25">
      <c r="B67" s="71" t="str">
        <f>tblRates[[#This Row],[Token]]</f>
        <v>ELF</v>
      </c>
      <c r="C67" s="72">
        <f>SUMIF(tblRegister[IN Token],tblBalance[[#This Row],[Token]],tblRegister[IN Quantity])-SUMIF(tblRegister[OUT Token],tblBalance[[#This Row],[Token]],tblRegister[OUT Quantity])</f>
        <v>0</v>
      </c>
      <c r="D67" s="72">
        <f>SUMIF(tblRegister[IN Token],tblBalance[[#This Row],[Token]],tblRegister[IN Quantity])</f>
        <v>0</v>
      </c>
      <c r="E67" s="72">
        <f>SUMIF(tblRegister[OUT Token],tblBalance[[#This Row],[Token]],tblRegister[OUT Quantity])</f>
        <v>0</v>
      </c>
      <c r="F67" s="72">
        <f t="array" aca="1" ref="F6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7" s="72">
        <f>INDEX(tblRates[],MATCH(tblBalance[[#This Row],[Token]],tblRates[Token],0),3)*tblBalance[[#This Row],[Balance]]</f>
        <v>0</v>
      </c>
      <c r="H67" s="73">
        <f ca="1">tblBalance[[#This Row],[Market Value]]-tblBalance[[#This Row],[Book Value]]</f>
        <v>0</v>
      </c>
    </row>
    <row r="68" spans="2:8" x14ac:dyDescent="0.25">
      <c r="B68" s="71" t="str">
        <f>tblRates[[#This Row],[Token]]</f>
        <v>LAMB</v>
      </c>
      <c r="C68" s="72">
        <f>SUMIF(tblRegister[IN Token],tblBalance[[#This Row],[Token]],tblRegister[IN Quantity])-SUMIF(tblRegister[OUT Token],tblBalance[[#This Row],[Token]],tblRegister[OUT Quantity])</f>
        <v>0</v>
      </c>
      <c r="D68" s="72">
        <f>SUMIF(tblRegister[IN Token],tblBalance[[#This Row],[Token]],tblRegister[IN Quantity])</f>
        <v>0</v>
      </c>
      <c r="E68" s="72">
        <f>SUMIF(tblRegister[OUT Token],tblBalance[[#This Row],[Token]],tblRegister[OUT Quantity])</f>
        <v>0</v>
      </c>
      <c r="F68" s="72">
        <f t="array" aca="1" ref="F6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8" s="72">
        <f>INDEX(tblRates[],MATCH(tblBalance[[#This Row],[Token]],tblRates[Token],0),3)*tblBalance[[#This Row],[Balance]]</f>
        <v>0</v>
      </c>
      <c r="H68" s="73">
        <f ca="1">tblBalance[[#This Row],[Market Value]]-tblBalance[[#This Row],[Book Value]]</f>
        <v>0</v>
      </c>
    </row>
    <row r="69" spans="2:8" x14ac:dyDescent="0.25">
      <c r="B69" s="71" t="str">
        <f>tblRates[[#This Row],[Token]]</f>
        <v>VSYS</v>
      </c>
      <c r="C69" s="72">
        <f>SUMIF(tblRegister[IN Token],tblBalance[[#This Row],[Token]],tblRegister[IN Quantity])-SUMIF(tblRegister[OUT Token],tblBalance[[#This Row],[Token]],tblRegister[OUT Quantity])</f>
        <v>0</v>
      </c>
      <c r="D69" s="72">
        <f>SUMIF(tblRegister[IN Token],tblBalance[[#This Row],[Token]],tblRegister[IN Quantity])</f>
        <v>0</v>
      </c>
      <c r="E69" s="72">
        <f>SUMIF(tblRegister[OUT Token],tblBalance[[#This Row],[Token]],tblRegister[OUT Quantity])</f>
        <v>0</v>
      </c>
      <c r="F69" s="72">
        <f t="array" aca="1" ref="F6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69" s="72">
        <f>INDEX(tblRates[],MATCH(tblBalance[[#This Row],[Token]],tblRates[Token],0),3)*tblBalance[[#This Row],[Balance]]</f>
        <v>0</v>
      </c>
      <c r="H69" s="73">
        <f ca="1">tblBalance[[#This Row],[Market Value]]-tblBalance[[#This Row],[Book Value]]</f>
        <v>0</v>
      </c>
    </row>
    <row r="70" spans="2:8" x14ac:dyDescent="0.25">
      <c r="B70" s="71" t="str">
        <f>tblRates[[#This Row],[Token]]</f>
        <v>BTM</v>
      </c>
      <c r="C70" s="72">
        <f>SUMIF(tblRegister[IN Token],tblBalance[[#This Row],[Token]],tblRegister[IN Quantity])-SUMIF(tblRegister[OUT Token],tblBalance[[#This Row],[Token]],tblRegister[OUT Quantity])</f>
        <v>0</v>
      </c>
      <c r="D70" s="72">
        <f>SUMIF(tblRegister[IN Token],tblBalance[[#This Row],[Token]],tblRegister[IN Quantity])</f>
        <v>0</v>
      </c>
      <c r="E70" s="72">
        <f>SUMIF(tblRegister[OUT Token],tblBalance[[#This Row],[Token]],tblRegister[OUT Quantity])</f>
        <v>0</v>
      </c>
      <c r="F70" s="72">
        <f t="array" aca="1" ref="F7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0" s="72">
        <f>INDEX(tblRates[],MATCH(tblBalance[[#This Row],[Token]],tblRates[Token],0),3)*tblBalance[[#This Row],[Balance]]</f>
        <v>0</v>
      </c>
      <c r="H70" s="73">
        <f ca="1">tblBalance[[#This Row],[Market Value]]-tblBalance[[#This Row],[Book Value]]</f>
        <v>0</v>
      </c>
    </row>
    <row r="71" spans="2:8" x14ac:dyDescent="0.25">
      <c r="B71" s="71" t="str">
        <f>tblRates[[#This Row],[Token]]</f>
        <v>EKT</v>
      </c>
      <c r="C71" s="72">
        <f>SUMIF(tblRegister[IN Token],tblBalance[[#This Row],[Token]],tblRegister[IN Quantity])-SUMIF(tblRegister[OUT Token],tblBalance[[#This Row],[Token]],tblRegister[OUT Quantity])</f>
        <v>0</v>
      </c>
      <c r="D71" s="72">
        <f>SUMIF(tblRegister[IN Token],tblBalance[[#This Row],[Token]],tblRegister[IN Quantity])</f>
        <v>0</v>
      </c>
      <c r="E71" s="72">
        <f>SUMIF(tblRegister[OUT Token],tblBalance[[#This Row],[Token]],tblRegister[OUT Quantity])</f>
        <v>0</v>
      </c>
      <c r="F71" s="72">
        <f t="array" aca="1" ref="F7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1" s="72">
        <f>INDEX(tblRates[],MATCH(tblBalance[[#This Row],[Token]],tblRates[Token],0),3)*tblBalance[[#This Row],[Balance]]</f>
        <v>0</v>
      </c>
      <c r="H71" s="73">
        <f ca="1">tblBalance[[#This Row],[Market Value]]-tblBalance[[#This Row],[Book Value]]</f>
        <v>0</v>
      </c>
    </row>
    <row r="72" spans="2:8" x14ac:dyDescent="0.25">
      <c r="B72" s="71" t="str">
        <f>tblRates[[#This Row],[Token]]</f>
        <v>ENJ</v>
      </c>
      <c r="C72" s="72">
        <f>SUMIF(tblRegister[IN Token],tblBalance[[#This Row],[Token]],tblRegister[IN Quantity])-SUMIF(tblRegister[OUT Token],tblBalance[[#This Row],[Token]],tblRegister[OUT Quantity])</f>
        <v>0</v>
      </c>
      <c r="D72" s="72">
        <f>SUMIF(tblRegister[IN Token],tblBalance[[#This Row],[Token]],tblRegister[IN Quantity])</f>
        <v>0</v>
      </c>
      <c r="E72" s="72">
        <f>SUMIF(tblRegister[OUT Token],tblBalance[[#This Row],[Token]],tblRegister[OUT Quantity])</f>
        <v>0</v>
      </c>
      <c r="F72" s="72">
        <f t="array" aca="1" ref="F7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2" s="72">
        <f>INDEX(tblRates[],MATCH(tblBalance[[#This Row],[Token]],tblRates[Token],0),3)*tblBalance[[#This Row],[Balance]]</f>
        <v>0</v>
      </c>
      <c r="H72" s="73">
        <f ca="1">tblBalance[[#This Row],[Market Value]]-tblBalance[[#This Row],[Book Value]]</f>
        <v>0</v>
      </c>
    </row>
    <row r="73" spans="2:8" x14ac:dyDescent="0.25">
      <c r="B73" s="71" t="str">
        <f>tblRates[[#This Row],[Token]]</f>
        <v>ARDR</v>
      </c>
      <c r="C73" s="72">
        <f>SUMIF(tblRegister[IN Token],tblBalance[[#This Row],[Token]],tblRegister[IN Quantity])-SUMIF(tblRegister[OUT Token],tblBalance[[#This Row],[Token]],tblRegister[OUT Quantity])</f>
        <v>0</v>
      </c>
      <c r="D73" s="72">
        <f>SUMIF(tblRegister[IN Token],tblBalance[[#This Row],[Token]],tblRegister[IN Quantity])</f>
        <v>0</v>
      </c>
      <c r="E73" s="72">
        <f>SUMIF(tblRegister[OUT Token],tblBalance[[#This Row],[Token]],tblRegister[OUT Quantity])</f>
        <v>0</v>
      </c>
      <c r="F73" s="72">
        <f t="array" aca="1" ref="F7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3" s="72">
        <f>INDEX(tblRates[],MATCH(tblBalance[[#This Row],[Token]],tblRates[Token],0),3)*tblBalance[[#This Row],[Balance]]</f>
        <v>0</v>
      </c>
      <c r="H73" s="73">
        <f ca="1">tblBalance[[#This Row],[Market Value]]-tblBalance[[#This Row],[Book Value]]</f>
        <v>0</v>
      </c>
    </row>
    <row r="74" spans="2:8" x14ac:dyDescent="0.25">
      <c r="B74" s="71" t="str">
        <f>tblRates[[#This Row],[Token]]</f>
        <v>NEXO</v>
      </c>
      <c r="C74" s="72">
        <f>SUMIF(tblRegister[IN Token],tblBalance[[#This Row],[Token]],tblRegister[IN Quantity])-SUMIF(tblRegister[OUT Token],tblBalance[[#This Row],[Token]],tblRegister[OUT Quantity])</f>
        <v>0</v>
      </c>
      <c r="D74" s="72">
        <f>SUMIF(tblRegister[IN Token],tblBalance[[#This Row],[Token]],tblRegister[IN Quantity])</f>
        <v>0</v>
      </c>
      <c r="E74" s="72">
        <f>SUMIF(tblRegister[OUT Token],tblBalance[[#This Row],[Token]],tblRegister[OUT Quantity])</f>
        <v>0</v>
      </c>
      <c r="F74" s="72">
        <f t="array" aca="1" ref="F7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4" s="72">
        <f>INDEX(tblRates[],MATCH(tblBalance[[#This Row],[Token]],tblRates[Token],0),3)*tblBalance[[#This Row],[Balance]]</f>
        <v>0</v>
      </c>
      <c r="H74" s="73">
        <f ca="1">tblBalance[[#This Row],[Market Value]]-tblBalance[[#This Row],[Book Value]]</f>
        <v>0</v>
      </c>
    </row>
    <row r="75" spans="2:8" x14ac:dyDescent="0.25">
      <c r="B75" s="71" t="str">
        <f>tblRates[[#This Row],[Token]]</f>
        <v>THETA</v>
      </c>
      <c r="C75" s="72">
        <f>SUMIF(tblRegister[IN Token],tblBalance[[#This Row],[Token]],tblRegister[IN Quantity])-SUMIF(tblRegister[OUT Token],tblBalance[[#This Row],[Token]],tblRegister[OUT Quantity])</f>
        <v>0</v>
      </c>
      <c r="D75" s="72">
        <f>SUMIF(tblRegister[IN Token],tblBalance[[#This Row],[Token]],tblRegister[IN Quantity])</f>
        <v>0</v>
      </c>
      <c r="E75" s="72">
        <f>SUMIF(tblRegister[OUT Token],tblBalance[[#This Row],[Token]],tblRegister[OUT Quantity])</f>
        <v>0</v>
      </c>
      <c r="F75" s="72">
        <f t="array" aca="1" ref="F7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5" s="72">
        <f>INDEX(tblRates[],MATCH(tblBalance[[#This Row],[Token]],tblRates[Token],0),3)*tblBalance[[#This Row],[Balance]]</f>
        <v>0</v>
      </c>
      <c r="H75" s="73">
        <f ca="1">tblBalance[[#This Row],[Market Value]]-tblBalance[[#This Row],[Book Value]]</f>
        <v>0</v>
      </c>
    </row>
    <row r="76" spans="2:8" x14ac:dyDescent="0.25">
      <c r="B76" s="71" t="str">
        <f>tblRates[[#This Row],[Token]]</f>
        <v>XLM</v>
      </c>
      <c r="C76" s="72">
        <f>SUMIF(tblRegister[IN Token],tblBalance[[#This Row],[Token]],tblRegister[IN Quantity])-SUMIF(tblRegister[OUT Token],tblBalance[[#This Row],[Token]],tblRegister[OUT Quantity])</f>
        <v>0</v>
      </c>
      <c r="D76" s="72">
        <f>SUMIF(tblRegister[IN Token],tblBalance[[#This Row],[Token]],tblRegister[IN Quantity])</f>
        <v>0</v>
      </c>
      <c r="E76" s="72">
        <f>SUMIF(tblRegister[OUT Token],tblBalance[[#This Row],[Token]],tblRegister[OUT Quantity])</f>
        <v>0</v>
      </c>
      <c r="F76" s="72">
        <f t="array" aca="1" ref="F7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6" s="72">
        <f>INDEX(tblRates[],MATCH(tblBalance[[#This Row],[Token]],tblRates[Token],0),3)*tblBalance[[#This Row],[Balance]]</f>
        <v>0</v>
      </c>
      <c r="H76" s="73">
        <f ca="1">tblBalance[[#This Row],[Market Value]]-tblBalance[[#This Row],[Book Value]]</f>
        <v>0</v>
      </c>
    </row>
    <row r="77" spans="2:8" x14ac:dyDescent="0.25">
      <c r="B77" s="71" t="str">
        <f>tblRates[[#This Row],[Token]]</f>
        <v>GNT</v>
      </c>
      <c r="C77" s="72">
        <f>SUMIF(tblRegister[IN Token],tblBalance[[#This Row],[Token]],tblRegister[IN Quantity])-SUMIF(tblRegister[OUT Token],tblBalance[[#This Row],[Token]],tblRegister[OUT Quantity])</f>
        <v>0</v>
      </c>
      <c r="D77" s="72">
        <f>SUMIF(tblRegister[IN Token],tblBalance[[#This Row],[Token]],tblRegister[IN Quantity])</f>
        <v>0</v>
      </c>
      <c r="E77" s="72">
        <f>SUMIF(tblRegister[OUT Token],tblBalance[[#This Row],[Token]],tblRegister[OUT Quantity])</f>
        <v>0</v>
      </c>
      <c r="F77" s="72">
        <f t="array" aca="1" ref="F7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7" s="72">
        <f>INDEX(tblRates[],MATCH(tblBalance[[#This Row],[Token]],tblRates[Token],0),3)*tblBalance[[#This Row],[Balance]]</f>
        <v>0</v>
      </c>
      <c r="H77" s="73">
        <f ca="1">tblBalance[[#This Row],[Market Value]]-tblBalance[[#This Row],[Book Value]]</f>
        <v>0</v>
      </c>
    </row>
    <row r="78" spans="2:8" x14ac:dyDescent="0.25">
      <c r="B78" s="71" t="str">
        <f>tblRates[[#This Row],[Token]]</f>
        <v>XEM</v>
      </c>
      <c r="C78" s="72">
        <f>SUMIF(tblRegister[IN Token],tblBalance[[#This Row],[Token]],tblRegister[IN Quantity])-SUMIF(tblRegister[OUT Token],tblBalance[[#This Row],[Token]],tblRegister[OUT Quantity])</f>
        <v>0</v>
      </c>
      <c r="D78" s="72">
        <f>SUMIF(tblRegister[IN Token],tblBalance[[#This Row],[Token]],tblRegister[IN Quantity])</f>
        <v>0</v>
      </c>
      <c r="E78" s="72">
        <f>SUMIF(tblRegister[OUT Token],tblBalance[[#This Row],[Token]],tblRegister[OUT Quantity])</f>
        <v>0</v>
      </c>
      <c r="F78" s="72">
        <f t="array" aca="1" ref="F7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8" s="72">
        <f>INDEX(tblRates[],MATCH(tblBalance[[#This Row],[Token]],tblRates[Token],0),3)*tblBalance[[#This Row],[Balance]]</f>
        <v>0</v>
      </c>
      <c r="H78" s="73">
        <f ca="1">tblBalance[[#This Row],[Market Value]]-tblBalance[[#This Row],[Book Value]]</f>
        <v>0</v>
      </c>
    </row>
    <row r="79" spans="2:8" x14ac:dyDescent="0.25">
      <c r="B79" s="71" t="str">
        <f>tblRates[[#This Row],[Token]]</f>
        <v>ADA</v>
      </c>
      <c r="C79" s="72">
        <f>SUMIF(tblRegister[IN Token],tblBalance[[#This Row],[Token]],tblRegister[IN Quantity])-SUMIF(tblRegister[OUT Token],tblBalance[[#This Row],[Token]],tblRegister[OUT Quantity])</f>
        <v>0</v>
      </c>
      <c r="D79" s="72">
        <f>SUMIF(tblRegister[IN Token],tblBalance[[#This Row],[Token]],tblRegister[IN Quantity])</f>
        <v>0</v>
      </c>
      <c r="E79" s="72">
        <f>SUMIF(tblRegister[OUT Token],tblBalance[[#This Row],[Token]],tblRegister[OUT Quantity])</f>
        <v>0</v>
      </c>
      <c r="F79" s="72">
        <f t="array" aca="1" ref="F7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79" s="72">
        <f>INDEX(tblRates[],MATCH(tblBalance[[#This Row],[Token]],tblRates[Token],0),3)*tblBalance[[#This Row],[Balance]]</f>
        <v>0</v>
      </c>
      <c r="H79" s="73">
        <f ca="1">tblBalance[[#This Row],[Market Value]]-tblBalance[[#This Row],[Book Value]]</f>
        <v>0</v>
      </c>
    </row>
    <row r="80" spans="2:8" x14ac:dyDescent="0.25">
      <c r="B80" s="71" t="str">
        <f>tblRates[[#This Row],[Token]]</f>
        <v>WAX</v>
      </c>
      <c r="C80" s="72">
        <f>SUMIF(tblRegister[IN Token],tblBalance[[#This Row],[Token]],tblRegister[IN Quantity])-SUMIF(tblRegister[OUT Token],tblBalance[[#This Row],[Token]],tblRegister[OUT Quantity])</f>
        <v>0</v>
      </c>
      <c r="D80" s="72">
        <f>SUMIF(tblRegister[IN Token],tblBalance[[#This Row],[Token]],tblRegister[IN Quantity])</f>
        <v>0</v>
      </c>
      <c r="E80" s="72">
        <f>SUMIF(tblRegister[OUT Token],tblBalance[[#This Row],[Token]],tblRegister[OUT Quantity])</f>
        <v>0</v>
      </c>
      <c r="F80" s="72">
        <f t="array" aca="1" ref="F8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0" s="72">
        <f>INDEX(tblRates[],MATCH(tblBalance[[#This Row],[Token]],tblRates[Token],0),3)*tblBalance[[#This Row],[Balance]]</f>
        <v>0</v>
      </c>
      <c r="H80" s="73">
        <f ca="1">tblBalance[[#This Row],[Market Value]]-tblBalance[[#This Row],[Book Value]]</f>
        <v>0</v>
      </c>
    </row>
    <row r="81" spans="2:8" x14ac:dyDescent="0.25">
      <c r="B81" s="71" t="str">
        <f>tblRates[[#This Row],[Token]]</f>
        <v>BTS</v>
      </c>
      <c r="C81" s="72">
        <f>SUMIF(tblRegister[IN Token],tblBalance[[#This Row],[Token]],tblRegister[IN Quantity])-SUMIF(tblRegister[OUT Token],tblBalance[[#This Row],[Token]],tblRegister[OUT Quantity])</f>
        <v>0</v>
      </c>
      <c r="D81" s="72">
        <f>SUMIF(tblRegister[IN Token],tblBalance[[#This Row],[Token]],tblRegister[IN Quantity])</f>
        <v>0</v>
      </c>
      <c r="E81" s="72">
        <f>SUMIF(tblRegister[OUT Token],tblBalance[[#This Row],[Token]],tblRegister[OUT Quantity])</f>
        <v>0</v>
      </c>
      <c r="F81" s="72">
        <f t="array" aca="1" ref="F8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1" s="72">
        <f>INDEX(tblRates[],MATCH(tblBalance[[#This Row],[Token]],tblRates[Token],0),3)*tblBalance[[#This Row],[Balance]]</f>
        <v>0</v>
      </c>
      <c r="H81" s="73">
        <f ca="1">tblBalance[[#This Row],[Market Value]]-tblBalance[[#This Row],[Book Value]]</f>
        <v>0</v>
      </c>
    </row>
    <row r="82" spans="2:8" x14ac:dyDescent="0.25">
      <c r="B82" s="71" t="str">
        <f>tblRates[[#This Row],[Token]]</f>
        <v>CRO</v>
      </c>
      <c r="C82" s="72">
        <f>SUMIF(tblRegister[IN Token],tblBalance[[#This Row],[Token]],tblRegister[IN Quantity])-SUMIF(tblRegister[OUT Token],tblBalance[[#This Row],[Token]],tblRegister[OUT Quantity])</f>
        <v>0</v>
      </c>
      <c r="D82" s="72">
        <f>SUMIF(tblRegister[IN Token],tblBalance[[#This Row],[Token]],tblRegister[IN Quantity])</f>
        <v>0</v>
      </c>
      <c r="E82" s="72">
        <f>SUMIF(tblRegister[OUT Token],tblBalance[[#This Row],[Token]],tblRegister[OUT Quantity])</f>
        <v>0</v>
      </c>
      <c r="F82" s="72">
        <f t="array" aca="1" ref="F8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2" s="72">
        <f>INDEX(tblRates[],MATCH(tblBalance[[#This Row],[Token]],tblRates[Token],0),3)*tblBalance[[#This Row],[Balance]]</f>
        <v>0</v>
      </c>
      <c r="H82" s="73">
        <f ca="1">tblBalance[[#This Row],[Market Value]]-tblBalance[[#This Row],[Book Value]]</f>
        <v>0</v>
      </c>
    </row>
    <row r="83" spans="2:8" x14ac:dyDescent="0.25">
      <c r="B83" s="71" t="str">
        <f>tblRates[[#This Row],[Token]]</f>
        <v>RVN</v>
      </c>
      <c r="C83" s="72">
        <f>SUMIF(tblRegister[IN Token],tblBalance[[#This Row],[Token]],tblRegister[IN Quantity])-SUMIF(tblRegister[OUT Token],tblBalance[[#This Row],[Token]],tblRegister[OUT Quantity])</f>
        <v>0</v>
      </c>
      <c r="D83" s="72">
        <f>SUMIF(tblRegister[IN Token],tblBalance[[#This Row],[Token]],tblRegister[IN Quantity])</f>
        <v>0</v>
      </c>
      <c r="E83" s="72">
        <f>SUMIF(tblRegister[OUT Token],tblBalance[[#This Row],[Token]],tblRegister[OUT Quantity])</f>
        <v>0</v>
      </c>
      <c r="F83" s="72">
        <f t="array" aca="1" ref="F8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3" s="72">
        <f>INDEX(tblRates[],MATCH(tblBalance[[#This Row],[Token]],tblRates[Token],0),3)*tblBalance[[#This Row],[Balance]]</f>
        <v>0</v>
      </c>
      <c r="H83" s="73">
        <f ca="1">tblBalance[[#This Row],[Market Value]]-tblBalance[[#This Row],[Book Value]]</f>
        <v>0</v>
      </c>
    </row>
    <row r="84" spans="2:8" x14ac:dyDescent="0.25">
      <c r="B84" s="71" t="str">
        <f>tblRates[[#This Row],[Token]]</f>
        <v>EGT</v>
      </c>
      <c r="C84" s="72">
        <f>SUMIF(tblRegister[IN Token],tblBalance[[#This Row],[Token]],tblRegister[IN Quantity])-SUMIF(tblRegister[OUT Token],tblBalance[[#This Row],[Token]],tblRegister[OUT Quantity])</f>
        <v>0</v>
      </c>
      <c r="D84" s="72">
        <f>SUMIF(tblRegister[IN Token],tblBalance[[#This Row],[Token]],tblRegister[IN Quantity])</f>
        <v>0</v>
      </c>
      <c r="E84" s="72">
        <f>SUMIF(tblRegister[OUT Token],tblBalance[[#This Row],[Token]],tblRegister[OUT Quantity])</f>
        <v>0</v>
      </c>
      <c r="F84" s="72">
        <f t="array" aca="1" ref="F8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4" s="72">
        <f>INDEX(tblRates[],MATCH(tblBalance[[#This Row],[Token]],tblRates[Token],0),3)*tblBalance[[#This Row],[Balance]]</f>
        <v>0</v>
      </c>
      <c r="H84" s="73">
        <f ca="1">tblBalance[[#This Row],[Market Value]]-tblBalance[[#This Row],[Book Value]]</f>
        <v>0</v>
      </c>
    </row>
    <row r="85" spans="2:8" x14ac:dyDescent="0.25">
      <c r="B85" s="71" t="str">
        <f>tblRates[[#This Row],[Token]]</f>
        <v>PAI</v>
      </c>
      <c r="C85" s="72">
        <f>SUMIF(tblRegister[IN Token],tblBalance[[#This Row],[Token]],tblRegister[IN Quantity])-SUMIF(tblRegister[OUT Token],tblBalance[[#This Row],[Token]],tblRegister[OUT Quantity])</f>
        <v>0</v>
      </c>
      <c r="D85" s="72">
        <f>SUMIF(tblRegister[IN Token],tblBalance[[#This Row],[Token]],tblRegister[IN Quantity])</f>
        <v>0</v>
      </c>
      <c r="E85" s="72">
        <f>SUMIF(tblRegister[OUT Token],tblBalance[[#This Row],[Token]],tblRegister[OUT Quantity])</f>
        <v>0</v>
      </c>
      <c r="F85" s="72">
        <f t="array" aca="1" ref="F8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5" s="72">
        <f>INDEX(tblRates[],MATCH(tblBalance[[#This Row],[Token]],tblRates[Token],0),3)*tblBalance[[#This Row],[Balance]]</f>
        <v>0</v>
      </c>
      <c r="H85" s="73">
        <f ca="1">tblBalance[[#This Row],[Market Value]]-tblBalance[[#This Row],[Book Value]]</f>
        <v>0</v>
      </c>
    </row>
    <row r="86" spans="2:8" x14ac:dyDescent="0.25">
      <c r="B86" s="71" t="str">
        <f>tblRates[[#This Row],[Token]]</f>
        <v>MXM</v>
      </c>
      <c r="C86" s="72">
        <f>SUMIF(tblRegister[IN Token],tblBalance[[#This Row],[Token]],tblRegister[IN Quantity])-SUMIF(tblRegister[OUT Token],tblBalance[[#This Row],[Token]],tblRegister[OUT Quantity])</f>
        <v>0</v>
      </c>
      <c r="D86" s="72">
        <f>SUMIF(tblRegister[IN Token],tblBalance[[#This Row],[Token]],tblRegister[IN Quantity])</f>
        <v>0</v>
      </c>
      <c r="E86" s="72">
        <f>SUMIF(tblRegister[OUT Token],tblBalance[[#This Row],[Token]],tblRegister[OUT Quantity])</f>
        <v>0</v>
      </c>
      <c r="F86" s="72">
        <f t="array" aca="1" ref="F8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6" s="72">
        <f>INDEX(tblRates[],MATCH(tblBalance[[#This Row],[Token]],tblRates[Token],0),3)*tblBalance[[#This Row],[Balance]]</f>
        <v>0</v>
      </c>
      <c r="H86" s="73">
        <f ca="1">tblBalance[[#This Row],[Market Value]]-tblBalance[[#This Row],[Book Value]]</f>
        <v>0</v>
      </c>
    </row>
    <row r="87" spans="2:8" x14ac:dyDescent="0.25">
      <c r="B87" s="71" t="str">
        <f>tblRates[[#This Row],[Token]]</f>
        <v>TRX</v>
      </c>
      <c r="C87" s="72">
        <f>SUMIF(tblRegister[IN Token],tblBalance[[#This Row],[Token]],tblRegister[IN Quantity])-SUMIF(tblRegister[OUT Token],tblBalance[[#This Row],[Token]],tblRegister[OUT Quantity])</f>
        <v>0</v>
      </c>
      <c r="D87" s="72">
        <f>SUMIF(tblRegister[IN Token],tblBalance[[#This Row],[Token]],tblRegister[IN Quantity])</f>
        <v>0</v>
      </c>
      <c r="E87" s="72">
        <f>SUMIF(tblRegister[OUT Token],tblBalance[[#This Row],[Token]],tblRegister[OUT Quantity])</f>
        <v>0</v>
      </c>
      <c r="F87" s="72">
        <f t="array" aca="1" ref="F8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7" s="72">
        <f>INDEX(tblRates[],MATCH(tblBalance[[#This Row],[Token]],tblRates[Token],0),3)*tblBalance[[#This Row],[Balance]]</f>
        <v>0</v>
      </c>
      <c r="H87" s="73">
        <f ca="1">tblBalance[[#This Row],[Market Value]]-tblBalance[[#This Row],[Book Value]]</f>
        <v>0</v>
      </c>
    </row>
    <row r="88" spans="2:8" x14ac:dyDescent="0.25">
      <c r="B88" s="71" t="str">
        <f>tblRates[[#This Row],[Token]]</f>
        <v>AOA</v>
      </c>
      <c r="C88" s="72">
        <f>SUMIF(tblRegister[IN Token],tblBalance[[#This Row],[Token]],tblRegister[IN Quantity])-SUMIF(tblRegister[OUT Token],tblBalance[[#This Row],[Token]],tblRegister[OUT Quantity])</f>
        <v>0</v>
      </c>
      <c r="D88" s="72">
        <f>SUMIF(tblRegister[IN Token],tblBalance[[#This Row],[Token]],tblRegister[IN Quantity])</f>
        <v>0</v>
      </c>
      <c r="E88" s="72">
        <f>SUMIF(tblRegister[OUT Token],tblBalance[[#This Row],[Token]],tblRegister[OUT Quantity])</f>
        <v>0</v>
      </c>
      <c r="F88" s="72">
        <f t="array" aca="1" ref="F8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8" s="72">
        <f>INDEX(tblRates[],MATCH(tblBalance[[#This Row],[Token]],tblRates[Token],0),3)*tblBalance[[#This Row],[Balance]]</f>
        <v>0</v>
      </c>
      <c r="H88" s="73">
        <f ca="1">tblBalance[[#This Row],[Market Value]]-tblBalance[[#This Row],[Book Value]]</f>
        <v>0</v>
      </c>
    </row>
    <row r="89" spans="2:8" x14ac:dyDescent="0.25">
      <c r="B89" s="71" t="str">
        <f>tblRates[[#This Row],[Token]]</f>
        <v>SNT</v>
      </c>
      <c r="C89" s="72">
        <f>SUMIF(tblRegister[IN Token],tblBalance[[#This Row],[Token]],tblRegister[IN Quantity])-SUMIF(tblRegister[OUT Token],tblBalance[[#This Row],[Token]],tblRegister[OUT Quantity])</f>
        <v>0</v>
      </c>
      <c r="D89" s="72">
        <f>SUMIF(tblRegister[IN Token],tblBalance[[#This Row],[Token]],tblRegister[IN Quantity])</f>
        <v>0</v>
      </c>
      <c r="E89" s="72">
        <f>SUMIF(tblRegister[OUT Token],tblBalance[[#This Row],[Token]],tblRegister[OUT Quantity])</f>
        <v>0</v>
      </c>
      <c r="F89" s="72">
        <f t="array" aca="1" ref="F8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89" s="72">
        <f>INDEX(tblRates[],MATCH(tblBalance[[#This Row],[Token]],tblRates[Token],0),3)*tblBalance[[#This Row],[Balance]]</f>
        <v>0</v>
      </c>
      <c r="H89" s="73">
        <f ca="1">tblBalance[[#This Row],[Market Value]]-tblBalance[[#This Row],[Book Value]]</f>
        <v>0</v>
      </c>
    </row>
    <row r="90" spans="2:8" x14ac:dyDescent="0.25">
      <c r="B90" s="71" t="str">
        <f>tblRates[[#This Row],[Token]]</f>
        <v>ZIL</v>
      </c>
      <c r="C90" s="72">
        <f>SUMIF(tblRegister[IN Token],tblBalance[[#This Row],[Token]],tblRegister[IN Quantity])-SUMIF(tblRegister[OUT Token],tblBalance[[#This Row],[Token]],tblRegister[OUT Quantity])</f>
        <v>0</v>
      </c>
      <c r="D90" s="72">
        <f>SUMIF(tblRegister[IN Token],tblBalance[[#This Row],[Token]],tblRegister[IN Quantity])</f>
        <v>0</v>
      </c>
      <c r="E90" s="72">
        <f>SUMIF(tblRegister[OUT Token],tblBalance[[#This Row],[Token]],tblRegister[OUT Quantity])</f>
        <v>0</v>
      </c>
      <c r="F90" s="72">
        <f t="array" aca="1" ref="F9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0" s="72">
        <f>INDEX(tblRates[],MATCH(tblBalance[[#This Row],[Token]],tblRates[Token],0),3)*tblBalance[[#This Row],[Balance]]</f>
        <v>0</v>
      </c>
      <c r="H90" s="73">
        <f ca="1">tblBalance[[#This Row],[Market Value]]-tblBalance[[#This Row],[Book Value]]</f>
        <v>0</v>
      </c>
    </row>
    <row r="91" spans="2:8" x14ac:dyDescent="0.25">
      <c r="B91" s="71" t="str">
        <f>tblRates[[#This Row],[Token]]</f>
        <v>VEST</v>
      </c>
      <c r="C91" s="72">
        <f>SUMIF(tblRegister[IN Token],tblBalance[[#This Row],[Token]],tblRegister[IN Quantity])-SUMIF(tblRegister[OUT Token],tblBalance[[#This Row],[Token]],tblRegister[OUT Quantity])</f>
        <v>0</v>
      </c>
      <c r="D91" s="72">
        <f>SUMIF(tblRegister[IN Token],tblBalance[[#This Row],[Token]],tblRegister[IN Quantity])</f>
        <v>0</v>
      </c>
      <c r="E91" s="72">
        <f>SUMIF(tblRegister[OUT Token],tblBalance[[#This Row],[Token]],tblRegister[OUT Quantity])</f>
        <v>0</v>
      </c>
      <c r="F91" s="72">
        <f t="array" aca="1" ref="F9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1" s="72">
        <f>INDEX(tblRates[],MATCH(tblBalance[[#This Row],[Token]],tblRates[Token],0),3)*tblBalance[[#This Row],[Balance]]</f>
        <v>0</v>
      </c>
      <c r="H91" s="73">
        <f ca="1">tblBalance[[#This Row],[Market Value]]-tblBalance[[#This Row],[Book Value]]</f>
        <v>0</v>
      </c>
    </row>
    <row r="92" spans="2:8" x14ac:dyDescent="0.25">
      <c r="B92" s="71" t="str">
        <f>tblRates[[#This Row],[Token]]</f>
        <v>IOST</v>
      </c>
      <c r="C92" s="72">
        <f>SUMIF(tblRegister[IN Token],tblBalance[[#This Row],[Token]],tblRegister[IN Quantity])-SUMIF(tblRegister[OUT Token],tblBalance[[#This Row],[Token]],tblRegister[OUT Quantity])</f>
        <v>0</v>
      </c>
      <c r="D92" s="72">
        <f>SUMIF(tblRegister[IN Token],tblBalance[[#This Row],[Token]],tblRegister[IN Quantity])</f>
        <v>0</v>
      </c>
      <c r="E92" s="72">
        <f>SUMIF(tblRegister[OUT Token],tblBalance[[#This Row],[Token]],tblRegister[OUT Quantity])</f>
        <v>0</v>
      </c>
      <c r="F92" s="72">
        <f t="array" aca="1" ref="F9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2" s="72">
        <f>INDEX(tblRates[],MATCH(tblBalance[[#This Row],[Token]],tblRates[Token],0),3)*tblBalance[[#This Row],[Balance]]</f>
        <v>0</v>
      </c>
      <c r="H92" s="73">
        <f ca="1">tblBalance[[#This Row],[Market Value]]-tblBalance[[#This Row],[Book Value]]</f>
        <v>0</v>
      </c>
    </row>
    <row r="93" spans="2:8" x14ac:dyDescent="0.25">
      <c r="B93" s="71" t="str">
        <f>tblRates[[#This Row],[Token]]</f>
        <v>DGB</v>
      </c>
      <c r="C93" s="72">
        <f>SUMIF(tblRegister[IN Token],tblBalance[[#This Row],[Token]],tblRegister[IN Quantity])-SUMIF(tblRegister[OUT Token],tblBalance[[#This Row],[Token]],tblRegister[OUT Quantity])</f>
        <v>0</v>
      </c>
      <c r="D93" s="72">
        <f>SUMIF(tblRegister[IN Token],tblBalance[[#This Row],[Token]],tblRegister[IN Quantity])</f>
        <v>0</v>
      </c>
      <c r="E93" s="72">
        <f>SUMIF(tblRegister[OUT Token],tblBalance[[#This Row],[Token]],tblRegister[OUT Quantity])</f>
        <v>0</v>
      </c>
      <c r="F93" s="72">
        <f t="array" aca="1" ref="F93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3" s="72">
        <f>INDEX(tblRates[],MATCH(tblBalance[[#This Row],[Token]],tblRates[Token],0),3)*tblBalance[[#This Row],[Balance]]</f>
        <v>0</v>
      </c>
      <c r="H93" s="73">
        <f ca="1">tblBalance[[#This Row],[Market Value]]-tblBalance[[#This Row],[Book Value]]</f>
        <v>0</v>
      </c>
    </row>
    <row r="94" spans="2:8" x14ac:dyDescent="0.25">
      <c r="B94" s="71" t="str">
        <f>tblRates[[#This Row],[Token]]</f>
        <v>XVG</v>
      </c>
      <c r="C94" s="72">
        <f>SUMIF(tblRegister[IN Token],tblBalance[[#This Row],[Token]],tblRegister[IN Quantity])-SUMIF(tblRegister[OUT Token],tblBalance[[#This Row],[Token]],tblRegister[OUT Quantity])</f>
        <v>0</v>
      </c>
      <c r="D94" s="72">
        <f>SUMIF(tblRegister[IN Token],tblBalance[[#This Row],[Token]],tblRegister[IN Quantity])</f>
        <v>0</v>
      </c>
      <c r="E94" s="72">
        <f>SUMIF(tblRegister[OUT Token],tblBalance[[#This Row],[Token]],tblRegister[OUT Quantity])</f>
        <v>0</v>
      </c>
      <c r="F94" s="72">
        <f t="array" aca="1" ref="F94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4" s="72">
        <f>INDEX(tblRates[],MATCH(tblBalance[[#This Row],[Token]],tblRates[Token],0),3)*tblBalance[[#This Row],[Balance]]</f>
        <v>0</v>
      </c>
      <c r="H94" s="73">
        <f ca="1">tblBalance[[#This Row],[Market Value]]-tblBalance[[#This Row],[Book Value]]</f>
        <v>0</v>
      </c>
    </row>
    <row r="95" spans="2:8" x14ac:dyDescent="0.25">
      <c r="B95" s="71" t="str">
        <f>tblRates[[#This Row],[Token]]</f>
        <v>VET</v>
      </c>
      <c r="C95" s="72">
        <f>SUMIF(tblRegister[IN Token],tblBalance[[#This Row],[Token]],tblRegister[IN Quantity])-SUMIF(tblRegister[OUT Token],tblBalance[[#This Row],[Token]],tblRegister[OUT Quantity])</f>
        <v>0</v>
      </c>
      <c r="D95" s="72">
        <f>SUMIF(tblRegister[IN Token],tblBalance[[#This Row],[Token]],tblRegister[IN Quantity])</f>
        <v>0</v>
      </c>
      <c r="E95" s="72">
        <f>SUMIF(tblRegister[OUT Token],tblBalance[[#This Row],[Token]],tblRegister[OUT Quantity])</f>
        <v>0</v>
      </c>
      <c r="F95" s="72">
        <f t="array" aca="1" ref="F95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5" s="72">
        <f>INDEX(tblRates[],MATCH(tblBalance[[#This Row],[Token]],tblRates[Token],0),3)*tblBalance[[#This Row],[Balance]]</f>
        <v>0</v>
      </c>
      <c r="H95" s="73">
        <f ca="1">tblBalance[[#This Row],[Market Value]]-tblBalance[[#This Row],[Book Value]]</f>
        <v>0</v>
      </c>
    </row>
    <row r="96" spans="2:8" x14ac:dyDescent="0.25">
      <c r="B96" s="71" t="str">
        <f>tblRates[[#This Row],[Token]]</f>
        <v>DOGE</v>
      </c>
      <c r="C96" s="72">
        <f>SUMIF(tblRegister[IN Token],tblBalance[[#This Row],[Token]],tblRegister[IN Quantity])-SUMIF(tblRegister[OUT Token],tblBalance[[#This Row],[Token]],tblRegister[OUT Quantity])</f>
        <v>0</v>
      </c>
      <c r="D96" s="72">
        <f>SUMIF(tblRegister[IN Token],tblBalance[[#This Row],[Token]],tblRegister[IN Quantity])</f>
        <v>0</v>
      </c>
      <c r="E96" s="72">
        <f>SUMIF(tblRegister[OUT Token],tblBalance[[#This Row],[Token]],tblRegister[OUT Quantity])</f>
        <v>0</v>
      </c>
      <c r="F96" s="72">
        <f t="array" aca="1" ref="F96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6" s="72">
        <f>INDEX(tblRates[],MATCH(tblBalance[[#This Row],[Token]],tblRates[Token],0),3)*tblBalance[[#This Row],[Balance]]</f>
        <v>0</v>
      </c>
      <c r="H96" s="73">
        <f ca="1">tblBalance[[#This Row],[Market Value]]-tblBalance[[#This Row],[Book Value]]</f>
        <v>0</v>
      </c>
    </row>
    <row r="97" spans="2:8" x14ac:dyDescent="0.25">
      <c r="B97" s="71" t="str">
        <f>tblRates[[#This Row],[Token]]</f>
        <v>SC</v>
      </c>
      <c r="C97" s="72">
        <f>SUMIF(tblRegister[IN Token],tblBalance[[#This Row],[Token]],tblRegister[IN Quantity])-SUMIF(tblRegister[OUT Token],tblBalance[[#This Row],[Token]],tblRegister[OUT Quantity])</f>
        <v>0</v>
      </c>
      <c r="D97" s="72">
        <f>SUMIF(tblRegister[IN Token],tblBalance[[#This Row],[Token]],tblRegister[IN Quantity])</f>
        <v>0</v>
      </c>
      <c r="E97" s="72">
        <f>SUMIF(tblRegister[OUT Token],tblBalance[[#This Row],[Token]],tblRegister[OUT Quantity])</f>
        <v>0</v>
      </c>
      <c r="F97" s="72">
        <f t="array" aca="1" ref="F97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7" s="72">
        <f>INDEX(tblRates[],MATCH(tblBalance[[#This Row],[Token]],tblRates[Token],0),3)*tblBalance[[#This Row],[Balance]]</f>
        <v>0</v>
      </c>
      <c r="H97" s="73">
        <f ca="1">tblBalance[[#This Row],[Market Value]]-tblBalance[[#This Row],[Book Value]]</f>
        <v>0</v>
      </c>
    </row>
    <row r="98" spans="2:8" x14ac:dyDescent="0.25">
      <c r="B98" s="71" t="str">
        <f>tblRates[[#This Row],[Token]]</f>
        <v>DENT</v>
      </c>
      <c r="C98" s="72">
        <f>SUMIF(tblRegister[IN Token],tblBalance[[#This Row],[Token]],tblRegister[IN Quantity])-SUMIF(tblRegister[OUT Token],tblBalance[[#This Row],[Token]],tblRegister[OUT Quantity])</f>
        <v>0</v>
      </c>
      <c r="D98" s="72">
        <f>SUMIF(tblRegister[IN Token],tblBalance[[#This Row],[Token]],tblRegister[IN Quantity])</f>
        <v>0</v>
      </c>
      <c r="E98" s="72">
        <f>SUMIF(tblRegister[OUT Token],tblBalance[[#This Row],[Token]],tblRegister[OUT Quantity])</f>
        <v>0</v>
      </c>
      <c r="F98" s="72">
        <f t="array" aca="1" ref="F98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8" s="72">
        <f>INDEX(tblRates[],MATCH(tblBalance[[#This Row],[Token]],tblRates[Token],0),3)*tblBalance[[#This Row],[Balance]]</f>
        <v>0</v>
      </c>
      <c r="H98" s="73">
        <f ca="1">tblBalance[[#This Row],[Market Value]]-tblBalance[[#This Row],[Book Value]]</f>
        <v>0</v>
      </c>
    </row>
    <row r="99" spans="2:8" x14ac:dyDescent="0.25">
      <c r="B99" s="71" t="str">
        <f>tblRates[[#This Row],[Token]]</f>
        <v>HOT</v>
      </c>
      <c r="C99" s="72">
        <f>SUMIF(tblRegister[IN Token],tblBalance[[#This Row],[Token]],tblRegister[IN Quantity])-SUMIF(tblRegister[OUT Token],tblBalance[[#This Row],[Token]],tblRegister[OUT Quantity])</f>
        <v>0</v>
      </c>
      <c r="D99" s="72">
        <f>SUMIF(tblRegister[IN Token],tblBalance[[#This Row],[Token]],tblRegister[IN Quantity])</f>
        <v>0</v>
      </c>
      <c r="E99" s="72">
        <f>SUMIF(tblRegister[OUT Token],tblBalance[[#This Row],[Token]],tblRegister[OUT Quantity])</f>
        <v>0</v>
      </c>
      <c r="F99" s="72">
        <f t="array" aca="1" ref="F99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99" s="72">
        <f>INDEX(tblRates[],MATCH(tblBalance[[#This Row],[Token]],tblRates[Token],0),3)*tblBalance[[#This Row],[Balance]]</f>
        <v>0</v>
      </c>
      <c r="H99" s="73">
        <f ca="1">tblBalance[[#This Row],[Market Value]]-tblBalance[[#This Row],[Book Value]]</f>
        <v>0</v>
      </c>
    </row>
    <row r="100" spans="2:8" x14ac:dyDescent="0.25">
      <c r="B100" s="71" t="str">
        <f>tblRates[[#This Row],[Token]]</f>
        <v>BTT</v>
      </c>
      <c r="C100" s="72">
        <f>SUMIF(tblRegister[IN Token],tblBalance[[#This Row],[Token]],tblRegister[IN Quantity])-SUMIF(tblRegister[OUT Token],tblBalance[[#This Row],[Token]],tblRegister[OUT Quantity])</f>
        <v>0</v>
      </c>
      <c r="D100" s="72">
        <f>SUMIF(tblRegister[IN Token],tblBalance[[#This Row],[Token]],tblRegister[IN Quantity])</f>
        <v>0</v>
      </c>
      <c r="E100" s="72">
        <f>SUMIF(tblRegister[OUT Token],tblBalance[[#This Row],[Token]],tblRegister[OUT Quantity])</f>
        <v>0</v>
      </c>
      <c r="F100" s="72">
        <f t="array" aca="1" ref="F100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00" s="72">
        <f>INDEX(tblRates[],MATCH(tblBalance[[#This Row],[Token]],tblRates[Token],0),3)*tblBalance[[#This Row],[Balance]]</f>
        <v>0</v>
      </c>
      <c r="H100" s="73">
        <f ca="1">tblBalance[[#This Row],[Market Value]]-tblBalance[[#This Row],[Book Value]]</f>
        <v>0</v>
      </c>
    </row>
    <row r="101" spans="2:8" x14ac:dyDescent="0.25">
      <c r="B101" s="71" t="str">
        <f>tblRates[[#This Row],[Token]]</f>
        <v>BCN</v>
      </c>
      <c r="C101" s="72">
        <f>SUMIF(tblRegister[IN Token],tblBalance[[#This Row],[Token]],tblRegister[IN Quantity])-SUMIF(tblRegister[OUT Token],tblBalance[[#This Row],[Token]],tblRegister[OUT Quantity])</f>
        <v>0</v>
      </c>
      <c r="D101" s="72">
        <f>SUMIF(tblRegister[IN Token],tblBalance[[#This Row],[Token]],tblRegister[IN Quantity])</f>
        <v>0</v>
      </c>
      <c r="E101" s="72">
        <f>SUMIF(tblRegister[OUT Token],tblBalance[[#This Row],[Token]],tblRegister[OUT Quantity])</f>
        <v>0</v>
      </c>
      <c r="F101" s="72">
        <f t="array" aca="1" ref="F101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01" s="72">
        <f>INDEX(tblRates[],MATCH(tblBalance[[#This Row],[Token]],tblRates[Token],0),3)*tblBalance[[#This Row],[Balance]]</f>
        <v>0</v>
      </c>
      <c r="H101" s="73">
        <f ca="1">tblBalance[[#This Row],[Market Value]]-tblBalance[[#This Row],[Book Value]]</f>
        <v>0</v>
      </c>
    </row>
    <row r="102" spans="2:8" x14ac:dyDescent="0.25">
      <c r="B102" s="74" t="str">
        <f>tblRates[[#This Row],[Token]]</f>
        <v>NPXS</v>
      </c>
      <c r="C102" s="75">
        <f>SUMIF(tblRegister[IN Token],tblBalance[[#This Row],[Token]],tblRegister[IN Quantity])-SUMIF(tblRegister[OUT Token],tblBalance[[#This Row],[Token]],tblRegister[OUT Quantity])</f>
        <v>0</v>
      </c>
      <c r="D102" s="75">
        <f>SUMIF(tblRegister[IN Token],tblBalance[[#This Row],[Token]],tblRegister[IN Quantity])</f>
        <v>0</v>
      </c>
      <c r="E102" s="75">
        <f>SUMIF(tblRegister[OUT Token],tblBalance[[#This Row],[Token]],tblRegister[OUT Quantity])</f>
        <v>0</v>
      </c>
      <c r="F102" s="75">
        <f t="array" aca="1" ref="F102" ca="1">SUM(IFERROR(IF(tblRegister[IN Token]=tblBalance[[#This Row],[Token]],
             IF(tblRegister[IN Total]-tblBalance[[#This Row],[T_OUT]]&gt;tblRegister[IN Quantity],
                  tblRegister[IN Quantity],
                   IF(tblRegister[IN Total]-tblBalance[[#This Row],[T_OUT]]&gt;0,
                        tblRegister[IN Total]-tblBalance[[#This Row],[T_OUT]],
                        0)))*tblRegister[IN Price],0))</f>
        <v>0</v>
      </c>
      <c r="G102" s="75">
        <f>INDEX(tblRates[],MATCH(tblBalance[[#This Row],[Token]],tblRates[Token],0),3)*tblBalance[[#This Row],[Balance]]</f>
        <v>0</v>
      </c>
      <c r="H102" s="76">
        <f ca="1">tblBalance[[#This Row],[Market Value]]-tblBalance[[#This Row],[Book Value]]</f>
        <v>0</v>
      </c>
    </row>
    <row r="103" spans="2:8" x14ac:dyDescent="0.25">
      <c r="B103" s="109" t="s">
        <v>1</v>
      </c>
      <c r="C103" s="109"/>
      <c r="D103" s="109"/>
      <c r="E103" s="109"/>
      <c r="F103" s="109"/>
      <c r="G103" s="109"/>
      <c r="H103" s="109"/>
    </row>
  </sheetData>
  <conditionalFormatting sqref="H3:H102">
    <cfRule type="cellIs" dxfId="28" priority="1" operator="lessThan">
      <formula>0</formula>
    </cfRule>
    <cfRule type="cellIs" dxfId="27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2A9-C03E-4C3C-B019-C42044A1E8DD}">
  <sheetPr>
    <tabColor theme="2" tint="-0.749992370372631"/>
  </sheetPr>
  <dimension ref="A1:AC105"/>
  <sheetViews>
    <sheetView showGridLines="0" showRowColHeaders="0" workbookViewId="0">
      <selection activeCell="C7" sqref="C7"/>
    </sheetView>
  </sheetViews>
  <sheetFormatPr defaultColWidth="0" defaultRowHeight="15" zeroHeight="1" x14ac:dyDescent="0.25"/>
  <cols>
    <col min="1" max="1" width="2.85546875" customWidth="1"/>
    <col min="2" max="2" width="8.7109375" bestFit="1" customWidth="1"/>
    <col min="3" max="3" width="20.5703125" bestFit="1" customWidth="1"/>
    <col min="4" max="4" width="12.7109375" bestFit="1" customWidth="1"/>
    <col min="5" max="5" width="14" bestFit="1" customWidth="1"/>
    <col min="6" max="6" width="13.5703125" bestFit="1" customWidth="1"/>
    <col min="7" max="7" width="20.5703125" bestFit="1" customWidth="1"/>
    <col min="8" max="8" width="21.5703125" bestFit="1" customWidth="1"/>
    <col min="9" max="9" width="20.5703125" bestFit="1" customWidth="1"/>
    <col min="10" max="10" width="16.7109375" bestFit="1" customWidth="1"/>
    <col min="11" max="11" width="17" bestFit="1" customWidth="1"/>
    <col min="12" max="12" width="2.85546875" customWidth="1"/>
    <col min="13" max="13" width="9.7109375" hidden="1" customWidth="1"/>
    <col min="14" max="14" width="20.5703125" hidden="1" customWidth="1"/>
    <col min="15" max="15" width="11.85546875" hidden="1" customWidth="1"/>
    <col min="16" max="16" width="11.42578125" style="3" hidden="1" customWidth="1"/>
    <col min="17" max="17" width="20.85546875" hidden="1" customWidth="1"/>
    <col min="18" max="18" width="21.85546875" hidden="1" customWidth="1"/>
    <col min="19" max="19" width="20.85546875" hidden="1" customWidth="1"/>
    <col min="20" max="20" width="16" hidden="1" customWidth="1"/>
    <col min="21" max="21" width="16.140625" hidden="1" customWidth="1"/>
    <col min="22" max="22" width="17.85546875" hidden="1" customWidth="1"/>
    <col min="23" max="23" width="18.28515625" hidden="1" customWidth="1"/>
    <col min="24" max="24" width="15.140625" hidden="1" customWidth="1"/>
    <col min="25" max="25" width="14.140625" hidden="1" customWidth="1"/>
    <col min="26" max="26" width="20.85546875" hidden="1" customWidth="1"/>
    <col min="27" max="27" width="21.85546875" hidden="1" customWidth="1"/>
    <col min="28" max="28" width="20.85546875" hidden="1" customWidth="1"/>
    <col min="29" max="29" width="14.85546875" hidden="1" customWidth="1"/>
    <col min="30" max="16384" width="9.140625" hidden="1"/>
  </cols>
  <sheetData>
    <row r="1" spans="2:16" x14ac:dyDescent="0.25"/>
    <row r="2" spans="2:16" x14ac:dyDescent="0.25">
      <c r="B2" s="102" t="s">
        <v>6</v>
      </c>
      <c r="C2" s="102" t="s">
        <v>121</v>
      </c>
      <c r="D2" s="123" t="s">
        <v>251</v>
      </c>
      <c r="E2" s="123" t="s">
        <v>122</v>
      </c>
      <c r="F2" s="103" t="s">
        <v>123</v>
      </c>
      <c r="G2" s="104" t="s">
        <v>124</v>
      </c>
      <c r="H2" s="104" t="s">
        <v>125</v>
      </c>
      <c r="I2" s="104" t="s">
        <v>126</v>
      </c>
      <c r="J2" s="105" t="s">
        <v>127</v>
      </c>
      <c r="K2" s="105" t="s">
        <v>128</v>
      </c>
      <c r="P2"/>
    </row>
    <row r="3" spans="2:16" x14ac:dyDescent="0.25">
      <c r="B3" s="1" t="s">
        <v>0</v>
      </c>
      <c r="C3" s="1" t="s">
        <v>10</v>
      </c>
      <c r="D3" s="124">
        <v>10577.140316935471</v>
      </c>
      <c r="E3" s="124">
        <v>12027.689340000001</v>
      </c>
      <c r="F3" s="4">
        <v>1</v>
      </c>
      <c r="G3" s="1">
        <v>0.17</v>
      </c>
      <c r="H3" s="1">
        <v>1.84</v>
      </c>
      <c r="I3" s="1">
        <v>10.65</v>
      </c>
      <c r="J3" s="121">
        <v>43645</v>
      </c>
      <c r="K3" s="122">
        <v>0.56562500000000004</v>
      </c>
      <c r="P3"/>
    </row>
    <row r="4" spans="2:16" x14ac:dyDescent="0.25">
      <c r="B4" s="1" t="s">
        <v>211</v>
      </c>
      <c r="C4" s="1" t="s">
        <v>212</v>
      </c>
      <c r="D4" s="124">
        <v>1634.589127732733</v>
      </c>
      <c r="E4" s="124">
        <v>1858.75668071</v>
      </c>
      <c r="F4" s="4">
        <v>0.15505341</v>
      </c>
      <c r="G4" s="1">
        <v>0.16</v>
      </c>
      <c r="H4" s="1">
        <v>2.83</v>
      </c>
      <c r="I4" s="1">
        <v>10.89</v>
      </c>
      <c r="J4" s="121">
        <v>43645</v>
      </c>
      <c r="K4" s="122">
        <v>0.56538194444444445</v>
      </c>
      <c r="P4"/>
    </row>
    <row r="5" spans="2:16" x14ac:dyDescent="0.25">
      <c r="B5" s="1" t="s">
        <v>68</v>
      </c>
      <c r="C5" s="1" t="s">
        <v>69</v>
      </c>
      <c r="D5" s="124">
        <v>610.34911524878214</v>
      </c>
      <c r="E5" s="124">
        <v>694.05239291400005</v>
      </c>
      <c r="F5" s="4">
        <v>5.7896330000000003E-2</v>
      </c>
      <c r="G5" s="1">
        <v>-0.15</v>
      </c>
      <c r="H5" s="1">
        <v>-0.52</v>
      </c>
      <c r="I5" s="1">
        <v>-10.08</v>
      </c>
      <c r="J5" s="121">
        <v>43645</v>
      </c>
      <c r="K5" s="122">
        <v>0.56532407407407403</v>
      </c>
      <c r="P5"/>
    </row>
    <row r="6" spans="2:16" x14ac:dyDescent="0.25">
      <c r="B6" s="1" t="s">
        <v>14</v>
      </c>
      <c r="C6" s="1" t="s">
        <v>15</v>
      </c>
      <c r="D6" s="124">
        <v>379.7374659496632</v>
      </c>
      <c r="E6" s="124">
        <v>431.81466203000002</v>
      </c>
      <c r="F6" s="4">
        <v>3.6021030000000002E-2</v>
      </c>
      <c r="G6" s="1">
        <v>-0.33</v>
      </c>
      <c r="H6" s="1">
        <v>2.11</v>
      </c>
      <c r="I6" s="1">
        <v>-5.83</v>
      </c>
      <c r="J6" s="121">
        <v>43645</v>
      </c>
      <c r="K6" s="122">
        <v>0.56534722222222222</v>
      </c>
      <c r="P6"/>
    </row>
    <row r="7" spans="2:16" x14ac:dyDescent="0.25">
      <c r="B7" s="1" t="s">
        <v>11</v>
      </c>
      <c r="C7" s="1" t="s">
        <v>12</v>
      </c>
      <c r="D7" s="124">
        <v>269.58795555604411</v>
      </c>
      <c r="E7" s="124">
        <v>306.55924778100001</v>
      </c>
      <c r="F7" s="4">
        <v>2.5572500000000001E-2</v>
      </c>
      <c r="G7" s="1">
        <v>-0.19</v>
      </c>
      <c r="H7" s="1">
        <v>0.67</v>
      </c>
      <c r="I7" s="1">
        <v>-0.81</v>
      </c>
      <c r="J7" s="121">
        <v>43645</v>
      </c>
      <c r="K7" s="122">
        <v>0.56550925925925921</v>
      </c>
      <c r="P7"/>
    </row>
    <row r="8" spans="2:16" x14ac:dyDescent="0.25">
      <c r="B8" s="1" t="s">
        <v>105</v>
      </c>
      <c r="C8" s="1" t="s">
        <v>106</v>
      </c>
      <c r="D8" s="124">
        <v>253.26142609001531</v>
      </c>
      <c r="E8" s="124">
        <v>287.993698064</v>
      </c>
      <c r="F8" s="4">
        <v>2.4023800000000001E-2</v>
      </c>
      <c r="G8" s="1">
        <v>0.16</v>
      </c>
      <c r="H8" s="1">
        <v>4.95</v>
      </c>
      <c r="I8" s="1">
        <v>23.11</v>
      </c>
      <c r="J8" s="121">
        <v>43645</v>
      </c>
      <c r="K8" s="122">
        <v>0.56535879629629626</v>
      </c>
      <c r="P8"/>
    </row>
    <row r="9" spans="2:16" x14ac:dyDescent="0.25">
      <c r="B9" s="1" t="s">
        <v>180</v>
      </c>
      <c r="C9" s="1" t="s">
        <v>181</v>
      </c>
      <c r="D9" s="124">
        <v>185.22111245405139</v>
      </c>
      <c r="E9" s="124">
        <v>210.622335816</v>
      </c>
      <c r="F9" s="4">
        <v>1.7569649999999999E-2</v>
      </c>
      <c r="G9" s="1">
        <v>-0.85</v>
      </c>
      <c r="H9" s="1">
        <v>-3.04</v>
      </c>
      <c r="I9" s="1">
        <v>-11.06</v>
      </c>
      <c r="J9" s="121">
        <v>43645</v>
      </c>
      <c r="K9" s="122">
        <v>0.56540509259259264</v>
      </c>
      <c r="P9"/>
    </row>
    <row r="10" spans="2:16" x14ac:dyDescent="0.25">
      <c r="B10" s="1" t="s">
        <v>31</v>
      </c>
      <c r="C10" s="1" t="s">
        <v>32</v>
      </c>
      <c r="D10" s="124">
        <v>146.76218899959548</v>
      </c>
      <c r="E10" s="124">
        <v>166.88915559899999</v>
      </c>
      <c r="F10" s="4">
        <v>1.392153E-2</v>
      </c>
      <c r="G10" s="1">
        <v>-0.72</v>
      </c>
      <c r="H10" s="1">
        <v>2.3199999999999998</v>
      </c>
      <c r="I10" s="1">
        <v>-5.75</v>
      </c>
      <c r="J10" s="121">
        <v>43645</v>
      </c>
      <c r="K10" s="122">
        <v>0.56530092592592596</v>
      </c>
      <c r="P10"/>
    </row>
    <row r="11" spans="2:16" x14ac:dyDescent="0.25">
      <c r="B11" s="1" t="s">
        <v>3</v>
      </c>
      <c r="C11" s="1" t="s">
        <v>19</v>
      </c>
      <c r="D11" s="124">
        <v>111.45459536996323</v>
      </c>
      <c r="E11" s="124">
        <v>126.73947857899999</v>
      </c>
      <c r="F11" s="4">
        <v>1.057233E-2</v>
      </c>
      <c r="G11" s="1">
        <v>-0.49</v>
      </c>
      <c r="H11" s="1">
        <v>7.05</v>
      </c>
      <c r="I11" s="1">
        <v>-10.63</v>
      </c>
      <c r="J11" s="121">
        <v>43645</v>
      </c>
      <c r="K11" s="122">
        <v>0.56532407407407403</v>
      </c>
      <c r="P11"/>
    </row>
    <row r="12" spans="2:16" x14ac:dyDescent="0.25">
      <c r="B12" s="1" t="s">
        <v>42</v>
      </c>
      <c r="C12" s="1" t="s">
        <v>43</v>
      </c>
      <c r="D12" s="124">
        <v>97.802143286666549</v>
      </c>
      <c r="E12" s="124">
        <v>111.214729217</v>
      </c>
      <c r="F12" s="4">
        <v>9.2772900000000005E-3</v>
      </c>
      <c r="G12" s="1">
        <v>-0.69</v>
      </c>
      <c r="H12" s="1">
        <v>-0.65</v>
      </c>
      <c r="I12" s="1">
        <v>-2.4</v>
      </c>
      <c r="J12" s="121">
        <v>43645</v>
      </c>
      <c r="K12" s="122">
        <v>0.56533564814814818</v>
      </c>
      <c r="P12"/>
    </row>
    <row r="13" spans="2:16" x14ac:dyDescent="0.25">
      <c r="B13" s="1" t="s">
        <v>28</v>
      </c>
      <c r="C13" s="1" t="s">
        <v>29</v>
      </c>
      <c r="D13" s="124">
        <v>85.715448248324748</v>
      </c>
      <c r="E13" s="124">
        <v>97.470464821099995</v>
      </c>
      <c r="F13" s="4">
        <v>8.1307700000000007E-3</v>
      </c>
      <c r="G13" s="1">
        <v>-0.62</v>
      </c>
      <c r="H13" s="1">
        <v>0.87</v>
      </c>
      <c r="I13" s="1">
        <v>-15.47</v>
      </c>
      <c r="J13" s="121">
        <v>43645</v>
      </c>
      <c r="K13" s="122">
        <v>0.56528935185185181</v>
      </c>
      <c r="P13"/>
    </row>
    <row r="14" spans="2:16" x14ac:dyDescent="0.25">
      <c r="B14" s="1" t="s">
        <v>209</v>
      </c>
      <c r="C14" s="1" t="s">
        <v>210</v>
      </c>
      <c r="D14" s="124">
        <v>57.119272249063435</v>
      </c>
      <c r="E14" s="124">
        <v>64.952609245299996</v>
      </c>
      <c r="F14" s="4">
        <v>5.4181999999999998E-3</v>
      </c>
      <c r="G14" s="1">
        <v>-7.0000000000000007E-2</v>
      </c>
      <c r="H14" s="1">
        <v>1.24</v>
      </c>
      <c r="I14" s="1">
        <v>7.19</v>
      </c>
      <c r="J14" s="121">
        <v>43645</v>
      </c>
      <c r="K14" s="122">
        <v>0.56539351851851849</v>
      </c>
      <c r="P14"/>
    </row>
    <row r="15" spans="2:16" x14ac:dyDescent="0.25">
      <c r="B15" s="1" t="s">
        <v>37</v>
      </c>
      <c r="C15" s="1" t="s">
        <v>38</v>
      </c>
      <c r="D15" s="124">
        <v>30.028010998997487</v>
      </c>
      <c r="E15" s="124">
        <v>34.146052427400001</v>
      </c>
      <c r="F15" s="4">
        <v>2.8483900000000001E-3</v>
      </c>
      <c r="G15" s="1">
        <v>-0.42</v>
      </c>
      <c r="H15" s="1">
        <v>-0.22</v>
      </c>
      <c r="I15" s="1">
        <v>-12.28</v>
      </c>
      <c r="J15" s="121">
        <v>43645</v>
      </c>
      <c r="K15" s="122">
        <v>0.56534722222222222</v>
      </c>
      <c r="P15"/>
    </row>
    <row r="16" spans="2:16" x14ac:dyDescent="0.25">
      <c r="B16" s="1" t="s">
        <v>60</v>
      </c>
      <c r="C16" s="1" t="s">
        <v>61</v>
      </c>
      <c r="D16" s="124">
        <v>29.989180019082962</v>
      </c>
      <c r="E16" s="124">
        <v>34.101896166899998</v>
      </c>
      <c r="F16" s="4">
        <v>2.8447099999999999E-3</v>
      </c>
      <c r="G16" s="1">
        <v>-0.02</v>
      </c>
      <c r="H16" s="1">
        <v>4.72</v>
      </c>
      <c r="I16" s="1">
        <v>12.89</v>
      </c>
      <c r="J16" s="121">
        <v>43645</v>
      </c>
      <c r="K16" s="122">
        <v>0.5653125</v>
      </c>
      <c r="P16"/>
    </row>
    <row r="17" spans="2:16" x14ac:dyDescent="0.25">
      <c r="B17" s="1" t="s">
        <v>56</v>
      </c>
      <c r="C17" s="1" t="s">
        <v>57</v>
      </c>
      <c r="D17" s="124">
        <v>25.144602168246653</v>
      </c>
      <c r="E17" s="124">
        <v>28.592932909599998</v>
      </c>
      <c r="F17" s="4">
        <v>2.3851599999999999E-3</v>
      </c>
      <c r="G17" s="1">
        <v>-0.19</v>
      </c>
      <c r="H17" s="1">
        <v>4.46</v>
      </c>
      <c r="I17" s="1">
        <v>-6.17</v>
      </c>
      <c r="J17" s="121">
        <v>43645</v>
      </c>
      <c r="K17" s="122">
        <v>0.56534722222222222</v>
      </c>
      <c r="P17"/>
    </row>
    <row r="18" spans="2:16" x14ac:dyDescent="0.25">
      <c r="B18" s="1" t="s">
        <v>30</v>
      </c>
      <c r="C18" s="1" t="s">
        <v>30</v>
      </c>
      <c r="D18" s="124">
        <v>15.737988440033771</v>
      </c>
      <c r="E18" s="124">
        <v>17.896296174700002</v>
      </c>
      <c r="F18" s="4">
        <v>1.4928700000000001E-3</v>
      </c>
      <c r="G18" s="1">
        <v>-1.0900000000000001</v>
      </c>
      <c r="H18" s="1">
        <v>-0.92</v>
      </c>
      <c r="I18" s="1">
        <v>11.31</v>
      </c>
      <c r="J18" s="121">
        <v>43645</v>
      </c>
      <c r="K18" s="122">
        <v>0.56532407407407403</v>
      </c>
      <c r="P18"/>
    </row>
    <row r="19" spans="2:16" x14ac:dyDescent="0.25">
      <c r="B19" s="1" t="s">
        <v>80</v>
      </c>
      <c r="C19" s="1" t="s">
        <v>81</v>
      </c>
      <c r="D19" s="124">
        <v>14.423589457234817</v>
      </c>
      <c r="E19" s="124">
        <v>16.4016405154</v>
      </c>
      <c r="F19" s="4">
        <v>1.36819E-3</v>
      </c>
      <c r="G19" s="1">
        <v>-0.06</v>
      </c>
      <c r="H19" s="1">
        <v>-2.78</v>
      </c>
      <c r="I19" s="1">
        <v>-11.69</v>
      </c>
      <c r="J19" s="121">
        <v>43645</v>
      </c>
      <c r="K19" s="122">
        <v>0.5653125</v>
      </c>
      <c r="P19"/>
    </row>
    <row r="20" spans="2:16" x14ac:dyDescent="0.25">
      <c r="B20" s="1" t="s">
        <v>191</v>
      </c>
      <c r="C20" s="1" t="s">
        <v>192</v>
      </c>
      <c r="D20" s="124">
        <v>11.241664558981304</v>
      </c>
      <c r="E20" s="124">
        <v>12.7833464366</v>
      </c>
      <c r="F20" s="4">
        <v>1.0663599999999999E-3</v>
      </c>
      <c r="G20" s="1">
        <v>2.67</v>
      </c>
      <c r="H20" s="1">
        <v>18.149999999999999</v>
      </c>
      <c r="I20" s="1">
        <v>-1.48</v>
      </c>
      <c r="J20" s="121">
        <v>43645</v>
      </c>
      <c r="K20" s="122">
        <v>0.56532407407407403</v>
      </c>
      <c r="P20"/>
    </row>
    <row r="21" spans="2:16" x14ac:dyDescent="0.25">
      <c r="B21" s="1" t="s">
        <v>221</v>
      </c>
      <c r="C21" s="1" t="s">
        <v>222</v>
      </c>
      <c r="D21" s="124">
        <v>7.4842364839861411</v>
      </c>
      <c r="E21" s="124">
        <v>8.5106246754000008</v>
      </c>
      <c r="F21" s="4">
        <v>7.0994000000000005E-4</v>
      </c>
      <c r="G21" s="1">
        <v>-0.12</v>
      </c>
      <c r="H21" s="1">
        <v>23.49</v>
      </c>
      <c r="I21" s="1">
        <v>63.48</v>
      </c>
      <c r="J21" s="121">
        <v>43645</v>
      </c>
      <c r="K21" s="122">
        <v>0.56539351851851849</v>
      </c>
      <c r="P21"/>
    </row>
    <row r="22" spans="2:16" x14ac:dyDescent="0.25">
      <c r="B22" s="1" t="s">
        <v>33</v>
      </c>
      <c r="C22" s="1" t="s">
        <v>34</v>
      </c>
      <c r="D22" s="124">
        <v>7.0191184953479784</v>
      </c>
      <c r="E22" s="124">
        <v>7.9817204058</v>
      </c>
      <c r="F22" s="4">
        <v>6.6582000000000002E-4</v>
      </c>
      <c r="G22" s="1">
        <v>0.09</v>
      </c>
      <c r="H22" s="1">
        <v>1.43</v>
      </c>
      <c r="I22" s="1">
        <v>-11.74</v>
      </c>
      <c r="J22" s="121">
        <v>43645</v>
      </c>
      <c r="K22" s="122">
        <v>0.56533564814814818</v>
      </c>
      <c r="P22"/>
    </row>
    <row r="23" spans="2:16" x14ac:dyDescent="0.25">
      <c r="B23" s="1" t="s">
        <v>247</v>
      </c>
      <c r="C23" s="1" t="s">
        <v>248</v>
      </c>
      <c r="D23" s="124">
        <v>6.2609343853879027</v>
      </c>
      <c r="E23" s="124">
        <v>7.1195589269999999</v>
      </c>
      <c r="F23" s="4">
        <v>5.9389999999999996E-4</v>
      </c>
      <c r="G23" s="1">
        <v>1.02</v>
      </c>
      <c r="H23" s="1">
        <v>5.26</v>
      </c>
      <c r="I23" s="1">
        <v>14.86</v>
      </c>
      <c r="J23" s="121">
        <v>43645</v>
      </c>
      <c r="K23" s="122">
        <v>0.56538194444444445</v>
      </c>
      <c r="P23"/>
    </row>
    <row r="24" spans="2:16" x14ac:dyDescent="0.25">
      <c r="B24" s="1" t="s">
        <v>16</v>
      </c>
      <c r="C24" s="1" t="s">
        <v>16</v>
      </c>
      <c r="D24" s="124">
        <v>5.460731468860474</v>
      </c>
      <c r="E24" s="124">
        <v>6.2096161824999996</v>
      </c>
      <c r="F24" s="4">
        <v>5.1798999999999997E-4</v>
      </c>
      <c r="G24" s="1">
        <v>-0.24</v>
      </c>
      <c r="H24" s="1">
        <v>4.34</v>
      </c>
      <c r="I24" s="1">
        <v>-15.63</v>
      </c>
      <c r="J24" s="121">
        <v>43645</v>
      </c>
      <c r="K24" s="122">
        <v>0.56534722222222222</v>
      </c>
      <c r="P24"/>
    </row>
    <row r="25" spans="2:16" x14ac:dyDescent="0.25">
      <c r="B25" s="1" t="s">
        <v>119</v>
      </c>
      <c r="C25" s="1" t="s">
        <v>178</v>
      </c>
      <c r="D25" s="124">
        <v>5.4103470815378936</v>
      </c>
      <c r="E25" s="124">
        <v>6.1523220803000003</v>
      </c>
      <c r="F25" s="4">
        <v>5.1320999999999995E-4</v>
      </c>
      <c r="G25" s="1">
        <v>-0.28999999999999998</v>
      </c>
      <c r="H25" s="1">
        <v>1.85</v>
      </c>
      <c r="I25" s="1">
        <v>0.86</v>
      </c>
      <c r="J25" s="121">
        <v>43645</v>
      </c>
      <c r="K25" s="122">
        <v>0.56533564814814818</v>
      </c>
      <c r="P25"/>
    </row>
    <row r="26" spans="2:16" x14ac:dyDescent="0.25">
      <c r="B26" s="1" t="s">
        <v>201</v>
      </c>
      <c r="C26" s="1" t="s">
        <v>202</v>
      </c>
      <c r="D26" s="124">
        <v>5.2591531878220801</v>
      </c>
      <c r="E26" s="124">
        <v>5.9803934559999998</v>
      </c>
      <c r="F26" s="4">
        <v>4.9887E-4</v>
      </c>
      <c r="G26" s="1">
        <v>-0.49</v>
      </c>
      <c r="H26" s="1">
        <v>3.62</v>
      </c>
      <c r="I26" s="1">
        <v>-11.33</v>
      </c>
      <c r="J26" s="121">
        <v>43645</v>
      </c>
      <c r="K26" s="122">
        <v>0.56540509259259264</v>
      </c>
      <c r="P26"/>
    </row>
    <row r="27" spans="2:16" x14ac:dyDescent="0.25">
      <c r="B27" s="1" t="s">
        <v>46</v>
      </c>
      <c r="C27" s="1" t="s">
        <v>47</v>
      </c>
      <c r="D27" s="124">
        <v>4.7288673547672229</v>
      </c>
      <c r="E27" s="124">
        <v>5.3773842238</v>
      </c>
      <c r="F27" s="4">
        <v>4.4857000000000002E-4</v>
      </c>
      <c r="G27" s="1">
        <v>-0.3</v>
      </c>
      <c r="H27" s="1">
        <v>8.4700000000000006</v>
      </c>
      <c r="I27" s="1">
        <v>41.43</v>
      </c>
      <c r="J27" s="121">
        <v>43645</v>
      </c>
      <c r="K27" s="122">
        <v>0.56533564814814818</v>
      </c>
      <c r="P27"/>
    </row>
    <row r="28" spans="2:16" x14ac:dyDescent="0.25">
      <c r="B28" s="1" t="s">
        <v>174</v>
      </c>
      <c r="C28" s="1" t="s">
        <v>175</v>
      </c>
      <c r="D28" s="124">
        <v>4.6543802282040909</v>
      </c>
      <c r="E28" s="124">
        <v>5.2926819326999999</v>
      </c>
      <c r="F28" s="4">
        <v>4.415E-4</v>
      </c>
      <c r="G28" s="1">
        <v>-0.36</v>
      </c>
      <c r="H28" s="1">
        <v>4.8</v>
      </c>
      <c r="I28" s="1">
        <v>50.2</v>
      </c>
      <c r="J28" s="121">
        <v>43645</v>
      </c>
      <c r="K28" s="122">
        <v>0.56533564814814818</v>
      </c>
      <c r="P28"/>
    </row>
    <row r="29" spans="2:16" x14ac:dyDescent="0.25">
      <c r="B29" s="1" t="s">
        <v>234</v>
      </c>
      <c r="C29" s="1" t="s">
        <v>235</v>
      </c>
      <c r="D29" s="124">
        <v>4.4744965824788512</v>
      </c>
      <c r="E29" s="124">
        <v>5.0881290438000004</v>
      </c>
      <c r="F29" s="4">
        <v>4.2444E-4</v>
      </c>
      <c r="G29" s="1">
        <v>1.81</v>
      </c>
      <c r="H29" s="1">
        <v>4.6399999999999997</v>
      </c>
      <c r="I29" s="1">
        <v>-1.02</v>
      </c>
      <c r="J29" s="121">
        <v>43645</v>
      </c>
      <c r="K29" s="122">
        <v>0.56540509259259264</v>
      </c>
      <c r="P29"/>
    </row>
    <row r="30" spans="2:16" x14ac:dyDescent="0.25">
      <c r="B30" s="1" t="s">
        <v>189</v>
      </c>
      <c r="C30" s="1" t="s">
        <v>190</v>
      </c>
      <c r="D30" s="124">
        <v>4.1214404503403275</v>
      </c>
      <c r="E30" s="124">
        <v>4.6866547936999998</v>
      </c>
      <c r="F30" s="4">
        <v>3.9094999999999999E-4</v>
      </c>
      <c r="G30" s="1">
        <v>-5.71</v>
      </c>
      <c r="H30" s="1">
        <v>3.55</v>
      </c>
      <c r="I30" s="1">
        <v>24.47</v>
      </c>
      <c r="J30" s="121">
        <v>43645</v>
      </c>
      <c r="K30" s="122">
        <v>0.56535879629629626</v>
      </c>
      <c r="P30"/>
    </row>
    <row r="31" spans="2:16" x14ac:dyDescent="0.25">
      <c r="B31" s="1" t="s">
        <v>110</v>
      </c>
      <c r="C31" s="1" t="s">
        <v>111</v>
      </c>
      <c r="D31" s="124">
        <v>3.4686537713034458</v>
      </c>
      <c r="E31" s="124">
        <v>3.9443449495</v>
      </c>
      <c r="F31" s="4">
        <v>3.2903000000000001E-4</v>
      </c>
      <c r="G31" s="1">
        <v>0.46</v>
      </c>
      <c r="H31" s="1">
        <v>4.2300000000000004</v>
      </c>
      <c r="I31" s="1">
        <v>6.82</v>
      </c>
      <c r="J31" s="121">
        <v>43645</v>
      </c>
      <c r="K31" s="122">
        <v>0.56537037037037041</v>
      </c>
      <c r="P31"/>
    </row>
    <row r="32" spans="2:16" x14ac:dyDescent="0.25">
      <c r="B32" s="1" t="s">
        <v>120</v>
      </c>
      <c r="C32" s="1" t="s">
        <v>167</v>
      </c>
      <c r="D32" s="124">
        <v>3.4541006606926148</v>
      </c>
      <c r="E32" s="124">
        <v>3.9277960253000002</v>
      </c>
      <c r="F32" s="4">
        <v>3.2765000000000002E-4</v>
      </c>
      <c r="G32" s="1">
        <v>12.06</v>
      </c>
      <c r="H32" s="1">
        <v>73.33</v>
      </c>
      <c r="I32" s="1">
        <v>119.9</v>
      </c>
      <c r="J32" s="121">
        <v>43645</v>
      </c>
      <c r="K32" s="122">
        <v>0.56534722222222222</v>
      </c>
      <c r="P32"/>
    </row>
    <row r="33" spans="2:16" x14ac:dyDescent="0.25">
      <c r="B33" s="1" t="s">
        <v>44</v>
      </c>
      <c r="C33" s="1" t="s">
        <v>45</v>
      </c>
      <c r="D33" s="124">
        <v>2.3624956018608088</v>
      </c>
      <c r="E33" s="124">
        <v>2.6864882486999999</v>
      </c>
      <c r="F33" s="4">
        <v>2.241E-4</v>
      </c>
      <c r="G33" s="1">
        <v>-0.76</v>
      </c>
      <c r="H33" s="1">
        <v>6.79</v>
      </c>
      <c r="I33" s="1">
        <v>23.47</v>
      </c>
      <c r="J33" s="121">
        <v>43645</v>
      </c>
      <c r="K33" s="122">
        <v>0.56534722222222222</v>
      </c>
      <c r="P33"/>
    </row>
    <row r="34" spans="2:16" x14ac:dyDescent="0.25">
      <c r="B34" s="1" t="s">
        <v>223</v>
      </c>
      <c r="C34" s="1" t="s">
        <v>224</v>
      </c>
      <c r="D34" s="124">
        <v>2.3218883212269379</v>
      </c>
      <c r="E34" s="124">
        <v>2.6403120856000002</v>
      </c>
      <c r="F34" s="4">
        <v>2.2024999999999999E-4</v>
      </c>
      <c r="G34" s="1">
        <v>1.83</v>
      </c>
      <c r="H34" s="1">
        <v>-0.31</v>
      </c>
      <c r="I34" s="1">
        <v>-10.96</v>
      </c>
      <c r="J34" s="121">
        <v>43645</v>
      </c>
      <c r="K34" s="122">
        <v>0.56540509259259264</v>
      </c>
      <c r="P34"/>
    </row>
    <row r="35" spans="2:16" x14ac:dyDescent="0.25">
      <c r="B35" s="1" t="s">
        <v>116</v>
      </c>
      <c r="C35" s="1" t="s">
        <v>117</v>
      </c>
      <c r="D35" s="124">
        <v>2.1572144985665793</v>
      </c>
      <c r="E35" s="124">
        <v>2.4530548949000002</v>
      </c>
      <c r="F35" s="4">
        <v>2.0463E-4</v>
      </c>
      <c r="G35" s="1">
        <v>-0.57999999999999996</v>
      </c>
      <c r="H35" s="1">
        <v>0.3</v>
      </c>
      <c r="I35" s="1">
        <v>-9.0299999999999994</v>
      </c>
      <c r="J35" s="121">
        <v>43645</v>
      </c>
      <c r="K35" s="122">
        <v>0.56528935185185181</v>
      </c>
      <c r="P35"/>
    </row>
    <row r="36" spans="2:16" x14ac:dyDescent="0.25">
      <c r="B36" s="1" t="s">
        <v>186</v>
      </c>
      <c r="C36" s="1" t="s">
        <v>109</v>
      </c>
      <c r="D36" s="124">
        <v>1.8711258485322826</v>
      </c>
      <c r="E36" s="124">
        <v>2.1277320473999999</v>
      </c>
      <c r="F36" s="4">
        <v>1.7749000000000001E-4</v>
      </c>
      <c r="G36" s="1">
        <v>-2.23</v>
      </c>
      <c r="H36" s="1">
        <v>-0.04</v>
      </c>
      <c r="I36" s="1">
        <v>-8.7799999999999994</v>
      </c>
      <c r="J36" s="121">
        <v>43645</v>
      </c>
      <c r="K36" s="122">
        <v>0.56533564814814818</v>
      </c>
      <c r="P36"/>
    </row>
    <row r="37" spans="2:16" x14ac:dyDescent="0.25">
      <c r="B37" s="1" t="s">
        <v>96</v>
      </c>
      <c r="C37" s="1" t="s">
        <v>97</v>
      </c>
      <c r="D37" s="124">
        <v>1.6856484547197355</v>
      </c>
      <c r="E37" s="124">
        <v>1.9168182838000001</v>
      </c>
      <c r="F37" s="4">
        <v>1.5990000000000001E-4</v>
      </c>
      <c r="G37" s="1">
        <v>-0.56000000000000005</v>
      </c>
      <c r="H37" s="1">
        <v>-1.45</v>
      </c>
      <c r="I37" s="1">
        <v>-20.29</v>
      </c>
      <c r="J37" s="121">
        <v>43645</v>
      </c>
      <c r="K37" s="122">
        <v>0.5653125</v>
      </c>
      <c r="P37"/>
    </row>
    <row r="38" spans="2:16" x14ac:dyDescent="0.25">
      <c r="B38" s="1" t="s">
        <v>199</v>
      </c>
      <c r="C38" s="1" t="s">
        <v>200</v>
      </c>
      <c r="D38" s="124">
        <v>1.6585529141530506</v>
      </c>
      <c r="E38" s="124">
        <v>1.8860068608</v>
      </c>
      <c r="F38" s="4">
        <v>1.5733000000000001E-4</v>
      </c>
      <c r="G38" s="1">
        <v>1.01</v>
      </c>
      <c r="H38" s="1">
        <v>0.05</v>
      </c>
      <c r="I38" s="1">
        <v>3.58</v>
      </c>
      <c r="J38" s="121">
        <v>43645</v>
      </c>
      <c r="K38" s="122">
        <v>0.56540509259259264</v>
      </c>
      <c r="P38"/>
    </row>
    <row r="39" spans="2:16" x14ac:dyDescent="0.25">
      <c r="B39" s="1" t="s">
        <v>52</v>
      </c>
      <c r="C39" s="1" t="s">
        <v>53</v>
      </c>
      <c r="D39" s="124">
        <v>1.6506363572647169</v>
      </c>
      <c r="E39" s="124">
        <v>1.8770046273000001</v>
      </c>
      <c r="F39" s="4">
        <v>1.5658E-4</v>
      </c>
      <c r="G39" s="1">
        <v>-0.46</v>
      </c>
      <c r="H39" s="1">
        <v>-1.63</v>
      </c>
      <c r="I39" s="1">
        <v>-11.54</v>
      </c>
      <c r="J39" s="121">
        <v>43645</v>
      </c>
      <c r="K39" s="122">
        <v>0.5653125</v>
      </c>
      <c r="P39"/>
    </row>
    <row r="40" spans="2:16" x14ac:dyDescent="0.25">
      <c r="B40" s="1" t="s">
        <v>215</v>
      </c>
      <c r="C40" s="1" t="s">
        <v>216</v>
      </c>
      <c r="D40" s="124">
        <v>1.6432406210317112</v>
      </c>
      <c r="E40" s="124">
        <v>1.8685946398</v>
      </c>
      <c r="F40" s="4">
        <v>1.5587000000000001E-4</v>
      </c>
      <c r="G40" s="1">
        <v>-0.98</v>
      </c>
      <c r="H40" s="1">
        <v>-0.73</v>
      </c>
      <c r="I40" s="1">
        <v>-3.58</v>
      </c>
      <c r="J40" s="121">
        <v>43645</v>
      </c>
      <c r="K40" s="122">
        <v>0.56533564814814818</v>
      </c>
      <c r="P40"/>
    </row>
    <row r="41" spans="2:16" x14ac:dyDescent="0.25">
      <c r="B41" s="1" t="s">
        <v>92</v>
      </c>
      <c r="C41" s="1" t="s">
        <v>93</v>
      </c>
      <c r="D41" s="124">
        <v>1.4114705925391773</v>
      </c>
      <c r="E41" s="124">
        <v>1.6050396696</v>
      </c>
      <c r="F41" s="4">
        <v>1.3389000000000001E-4</v>
      </c>
      <c r="G41" s="1">
        <v>1.38</v>
      </c>
      <c r="H41" s="1">
        <v>8.2200000000000006</v>
      </c>
      <c r="I41" s="1">
        <v>-14.99</v>
      </c>
      <c r="J41" s="121">
        <v>43645</v>
      </c>
      <c r="K41" s="122">
        <v>0.56534722222222222</v>
      </c>
      <c r="P41"/>
    </row>
    <row r="42" spans="2:16" x14ac:dyDescent="0.25">
      <c r="B42" s="1" t="s">
        <v>232</v>
      </c>
      <c r="C42" s="1" t="s">
        <v>233</v>
      </c>
      <c r="D42" s="124">
        <v>1.3733840658142358</v>
      </c>
      <c r="E42" s="124">
        <v>1.5617299566</v>
      </c>
      <c r="F42" s="4">
        <v>1.3028000000000001E-4</v>
      </c>
      <c r="G42" s="1">
        <v>0.37</v>
      </c>
      <c r="H42" s="1">
        <v>-1.07</v>
      </c>
      <c r="I42" s="1">
        <v>2.91</v>
      </c>
      <c r="J42" s="121">
        <v>43645</v>
      </c>
      <c r="K42" s="122">
        <v>0.56533564814814818</v>
      </c>
      <c r="P42"/>
    </row>
    <row r="43" spans="2:16" x14ac:dyDescent="0.25">
      <c r="B43" s="1" t="s">
        <v>66</v>
      </c>
      <c r="C43" s="1" t="s">
        <v>67</v>
      </c>
      <c r="D43" s="124">
        <v>1.3237104013577925</v>
      </c>
      <c r="E43" s="124">
        <v>1.5052440458</v>
      </c>
      <c r="F43" s="4">
        <v>1.2556000000000001E-4</v>
      </c>
      <c r="G43" s="1">
        <v>-0.23</v>
      </c>
      <c r="H43" s="1">
        <v>1.42</v>
      </c>
      <c r="I43" s="1">
        <v>-1.63</v>
      </c>
      <c r="J43" s="121">
        <v>43645</v>
      </c>
      <c r="K43" s="122">
        <v>0.56537037037037041</v>
      </c>
      <c r="P43"/>
    </row>
    <row r="44" spans="2:16" x14ac:dyDescent="0.25">
      <c r="B44" s="1" t="s">
        <v>107</v>
      </c>
      <c r="C44" s="1" t="s">
        <v>108</v>
      </c>
      <c r="D44" s="124">
        <v>1.2173475791019575</v>
      </c>
      <c r="E44" s="124">
        <v>1.3842946261</v>
      </c>
      <c r="F44" s="4">
        <v>1.1547E-4</v>
      </c>
      <c r="G44" s="1">
        <v>0.47</v>
      </c>
      <c r="H44" s="1">
        <v>18.010000000000002</v>
      </c>
      <c r="I44" s="1">
        <v>1.69</v>
      </c>
      <c r="J44" s="121">
        <v>43645</v>
      </c>
      <c r="K44" s="122">
        <v>0.56532407407407403</v>
      </c>
      <c r="P44"/>
    </row>
    <row r="45" spans="2:16" x14ac:dyDescent="0.25">
      <c r="B45" s="1" t="s">
        <v>94</v>
      </c>
      <c r="C45" s="1" t="s">
        <v>95</v>
      </c>
      <c r="D45" s="124">
        <v>1.1020933126088257</v>
      </c>
      <c r="E45" s="124">
        <v>1.2532343895</v>
      </c>
      <c r="F45" s="4">
        <v>1.0454E-4</v>
      </c>
      <c r="G45" s="1">
        <v>-0.73</v>
      </c>
      <c r="H45" s="1">
        <v>-2.09</v>
      </c>
      <c r="I45" s="1">
        <v>-15.48</v>
      </c>
      <c r="J45" s="121">
        <v>43645</v>
      </c>
      <c r="K45" s="122">
        <v>0.56532407407407403</v>
      </c>
      <c r="P45"/>
    </row>
    <row r="46" spans="2:16" x14ac:dyDescent="0.25">
      <c r="B46" s="1" t="s">
        <v>84</v>
      </c>
      <c r="C46" s="1" t="s">
        <v>85</v>
      </c>
      <c r="D46" s="124">
        <v>1.0526974487749969</v>
      </c>
      <c r="E46" s="124">
        <v>1.1970643769</v>
      </c>
      <c r="F46" s="4">
        <v>9.9859999999999996E-5</v>
      </c>
      <c r="G46" s="1">
        <v>0.45</v>
      </c>
      <c r="H46" s="1">
        <v>1.51</v>
      </c>
      <c r="I46" s="1">
        <v>-10.81</v>
      </c>
      <c r="J46" s="121">
        <v>43645</v>
      </c>
      <c r="K46" s="122">
        <v>0.56534722222222222</v>
      </c>
      <c r="P46"/>
    </row>
    <row r="47" spans="2:16" x14ac:dyDescent="0.25">
      <c r="B47" s="1" t="s">
        <v>176</v>
      </c>
      <c r="C47" s="1" t="s">
        <v>177</v>
      </c>
      <c r="D47" s="124">
        <v>0.88276149559421013</v>
      </c>
      <c r="E47" s="124">
        <v>1.0038234071000001</v>
      </c>
      <c r="F47" s="4">
        <v>8.3739999999999994E-5</v>
      </c>
      <c r="G47" s="1">
        <v>-0.41</v>
      </c>
      <c r="H47" s="1">
        <v>-0.98</v>
      </c>
      <c r="I47" s="1">
        <v>0</v>
      </c>
      <c r="J47" s="121">
        <v>43645</v>
      </c>
      <c r="K47" s="122">
        <v>0.56535879629629626</v>
      </c>
      <c r="P47"/>
    </row>
    <row r="48" spans="2:16" x14ac:dyDescent="0.25">
      <c r="B48" s="1" t="s">
        <v>170</v>
      </c>
      <c r="C48" s="1" t="s">
        <v>171</v>
      </c>
      <c r="D48" s="124">
        <v>0.88140480662011711</v>
      </c>
      <c r="E48" s="124">
        <v>1.0022806618</v>
      </c>
      <c r="F48" s="4">
        <v>8.3609999999999994E-5</v>
      </c>
      <c r="G48" s="1">
        <v>0.06</v>
      </c>
      <c r="H48" s="1">
        <v>-0.02</v>
      </c>
      <c r="I48" s="1">
        <v>0.18</v>
      </c>
      <c r="J48" s="121">
        <v>43645</v>
      </c>
      <c r="K48" s="122">
        <v>0.56539351851851849</v>
      </c>
      <c r="P48"/>
    </row>
    <row r="49" spans="2:16" x14ac:dyDescent="0.25">
      <c r="B49" s="1" t="s">
        <v>168</v>
      </c>
      <c r="C49" s="1" t="s">
        <v>169</v>
      </c>
      <c r="D49" s="124">
        <v>0.88033944272473053</v>
      </c>
      <c r="E49" s="124">
        <v>1.0010691939</v>
      </c>
      <c r="F49" s="4">
        <v>8.3510000000000005E-5</v>
      </c>
      <c r="G49" s="1">
        <v>-0.08</v>
      </c>
      <c r="H49" s="1">
        <v>-0.2</v>
      </c>
      <c r="I49" s="1">
        <v>0.08</v>
      </c>
      <c r="J49" s="121">
        <v>43645</v>
      </c>
      <c r="K49" s="122">
        <v>0.56539351851851849</v>
      </c>
      <c r="P49"/>
    </row>
    <row r="50" spans="2:16" x14ac:dyDescent="0.25">
      <c r="B50" s="1" t="s">
        <v>165</v>
      </c>
      <c r="C50" s="1" t="s">
        <v>166</v>
      </c>
      <c r="D50" s="124">
        <v>0.87939990783896449</v>
      </c>
      <c r="E50" s="124">
        <v>1.0000008112000001</v>
      </c>
      <c r="F50" s="4">
        <v>8.3419999999999998E-5</v>
      </c>
      <c r="G50" s="1">
        <v>-0.06</v>
      </c>
      <c r="H50" s="1">
        <v>-0.18</v>
      </c>
      <c r="I50" s="1">
        <v>0.05</v>
      </c>
      <c r="J50" s="121">
        <v>43645</v>
      </c>
      <c r="K50" s="122">
        <v>0.56538194444444445</v>
      </c>
      <c r="P50"/>
    </row>
    <row r="51" spans="2:16" x14ac:dyDescent="0.25">
      <c r="B51" s="1" t="s">
        <v>24</v>
      </c>
      <c r="C51" s="1" t="s">
        <v>25</v>
      </c>
      <c r="D51" s="124">
        <v>0.87937572655961449</v>
      </c>
      <c r="E51" s="124">
        <v>0.99997331369999998</v>
      </c>
      <c r="F51" s="4">
        <v>8.3419999999999998E-5</v>
      </c>
      <c r="G51" s="1">
        <v>0.15</v>
      </c>
      <c r="H51" s="1">
        <v>0.57999999999999996</v>
      </c>
      <c r="I51" s="1">
        <v>-0.22</v>
      </c>
      <c r="J51" s="121">
        <v>43645</v>
      </c>
      <c r="K51" s="122">
        <v>0.56542824074074072</v>
      </c>
      <c r="P51"/>
    </row>
    <row r="52" spans="2:16" x14ac:dyDescent="0.25">
      <c r="B52" s="1" t="s">
        <v>39</v>
      </c>
      <c r="C52" s="1" t="s">
        <v>40</v>
      </c>
      <c r="D52" s="124">
        <v>0.84994155046871978</v>
      </c>
      <c r="E52" s="124">
        <v>0.96650253470000003</v>
      </c>
      <c r="F52" s="4">
        <v>8.0619999999999997E-5</v>
      </c>
      <c r="G52" s="1">
        <v>-0.9</v>
      </c>
      <c r="H52" s="1">
        <v>-7.26</v>
      </c>
      <c r="I52" s="1">
        <v>-19.18</v>
      </c>
      <c r="J52" s="121">
        <v>43645</v>
      </c>
      <c r="K52" s="122">
        <v>0.56534722222222222</v>
      </c>
      <c r="P52"/>
    </row>
    <row r="53" spans="2:16" x14ac:dyDescent="0.25">
      <c r="B53" s="1" t="s">
        <v>90</v>
      </c>
      <c r="C53" s="1" t="s">
        <v>91</v>
      </c>
      <c r="D53" s="124">
        <v>0.77700113037972451</v>
      </c>
      <c r="E53" s="124">
        <v>0.88355906539999995</v>
      </c>
      <c r="F53" s="4">
        <v>7.3700000000000002E-5</v>
      </c>
      <c r="G53" s="1">
        <v>-0.17</v>
      </c>
      <c r="H53" s="1">
        <v>2.2400000000000002</v>
      </c>
      <c r="I53" s="1">
        <v>-5.03</v>
      </c>
      <c r="J53" s="121">
        <v>43645</v>
      </c>
      <c r="K53" s="122">
        <v>0.5653125</v>
      </c>
      <c r="P53"/>
    </row>
    <row r="54" spans="2:16" x14ac:dyDescent="0.25">
      <c r="B54" s="1" t="s">
        <v>207</v>
      </c>
      <c r="C54" s="1" t="s">
        <v>208</v>
      </c>
      <c r="D54" s="124">
        <v>0.59952739592310533</v>
      </c>
      <c r="E54" s="124">
        <v>0.68174658300000002</v>
      </c>
      <c r="F54" s="4">
        <v>5.6870000000000003E-5</v>
      </c>
      <c r="G54" s="1">
        <v>-0.37</v>
      </c>
      <c r="H54" s="1">
        <v>3.55</v>
      </c>
      <c r="I54" s="1">
        <v>31.86</v>
      </c>
      <c r="J54" s="121">
        <v>43645</v>
      </c>
      <c r="K54" s="122">
        <v>0.56540509259259264</v>
      </c>
      <c r="P54"/>
    </row>
    <row r="55" spans="2:16" x14ac:dyDescent="0.25">
      <c r="B55" s="1" t="s">
        <v>62</v>
      </c>
      <c r="C55" s="1" t="s">
        <v>63</v>
      </c>
      <c r="D55" s="124">
        <v>0.43409736575971297</v>
      </c>
      <c r="E55" s="124">
        <v>0.4936294785</v>
      </c>
      <c r="F55" s="4">
        <v>4.1180000000000002E-5</v>
      </c>
      <c r="G55" s="1">
        <v>-0.14000000000000001</v>
      </c>
      <c r="H55" s="1">
        <v>1.55</v>
      </c>
      <c r="I55" s="1">
        <v>-5.3</v>
      </c>
      <c r="J55" s="121">
        <v>43645</v>
      </c>
      <c r="K55" s="122">
        <v>0.56533564814814818</v>
      </c>
      <c r="P55"/>
    </row>
    <row r="56" spans="2:16" x14ac:dyDescent="0.25">
      <c r="B56" s="1" t="s">
        <v>13</v>
      </c>
      <c r="C56" s="1" t="s">
        <v>13</v>
      </c>
      <c r="D56" s="124">
        <v>0.36700638408639213</v>
      </c>
      <c r="E56" s="124">
        <v>0.41733763959999998</v>
      </c>
      <c r="F56" s="4">
        <v>3.481E-5</v>
      </c>
      <c r="G56" s="1">
        <v>-0.24</v>
      </c>
      <c r="H56" s="1">
        <v>1.2</v>
      </c>
      <c r="I56" s="1">
        <v>-11.36</v>
      </c>
      <c r="J56" s="121">
        <v>43645</v>
      </c>
      <c r="K56" s="122">
        <v>0.56533564814814818</v>
      </c>
      <c r="P56"/>
    </row>
    <row r="57" spans="2:16" x14ac:dyDescent="0.25">
      <c r="B57" s="1" t="s">
        <v>22</v>
      </c>
      <c r="C57" s="1" t="s">
        <v>23</v>
      </c>
      <c r="D57" s="124">
        <v>0.36497162161211461</v>
      </c>
      <c r="E57" s="124">
        <v>0.41502382980000002</v>
      </c>
      <c r="F57" s="4">
        <v>3.4619999999999997E-5</v>
      </c>
      <c r="G57" s="1">
        <v>0.14000000000000001</v>
      </c>
      <c r="H57" s="1">
        <v>1.61</v>
      </c>
      <c r="I57" s="1">
        <v>-8.02</v>
      </c>
      <c r="J57" s="121">
        <v>43645</v>
      </c>
      <c r="K57" s="122">
        <v>0.56533564814814818</v>
      </c>
      <c r="P57"/>
    </row>
    <row r="58" spans="2:16" x14ac:dyDescent="0.25">
      <c r="B58" s="1" t="s">
        <v>76</v>
      </c>
      <c r="C58" s="1" t="s">
        <v>77</v>
      </c>
      <c r="D58" s="124">
        <v>0.32725303981919551</v>
      </c>
      <c r="E58" s="124">
        <v>0.3721325217</v>
      </c>
      <c r="F58" s="4">
        <v>3.1040000000000001E-5</v>
      </c>
      <c r="G58" s="1">
        <v>0.25</v>
      </c>
      <c r="H58" s="1">
        <v>0.25</v>
      </c>
      <c r="I58" s="1">
        <v>-6.18</v>
      </c>
      <c r="J58" s="121">
        <v>43645</v>
      </c>
      <c r="K58" s="122">
        <v>0.5653125</v>
      </c>
      <c r="P58"/>
    </row>
    <row r="59" spans="2:16" x14ac:dyDescent="0.25">
      <c r="B59" s="1" t="s">
        <v>58</v>
      </c>
      <c r="C59" s="1" t="s">
        <v>59</v>
      </c>
      <c r="D59" s="124">
        <v>0.28323077439893063</v>
      </c>
      <c r="E59" s="124">
        <v>0.32207304279999999</v>
      </c>
      <c r="F59" s="4">
        <v>2.6869999999999999E-5</v>
      </c>
      <c r="G59" s="1">
        <v>0.24</v>
      </c>
      <c r="H59" s="1">
        <v>2.4900000000000002</v>
      </c>
      <c r="I59" s="1">
        <v>-5.86</v>
      </c>
      <c r="J59" s="121">
        <v>43645</v>
      </c>
      <c r="K59" s="122">
        <v>0.56534722222222222</v>
      </c>
      <c r="P59"/>
    </row>
    <row r="60" spans="2:16" x14ac:dyDescent="0.25">
      <c r="B60" s="1" t="s">
        <v>48</v>
      </c>
      <c r="C60" s="1" t="s">
        <v>49</v>
      </c>
      <c r="D60" s="124">
        <v>0.27503956927027451</v>
      </c>
      <c r="E60" s="124">
        <v>0.31275849579999998</v>
      </c>
      <c r="F60" s="4">
        <v>2.6089999999999999E-5</v>
      </c>
      <c r="G60" s="1">
        <v>-0.78</v>
      </c>
      <c r="H60" s="1">
        <v>-2.95</v>
      </c>
      <c r="I60" s="1">
        <v>-8.5</v>
      </c>
      <c r="J60" s="121">
        <v>43645</v>
      </c>
      <c r="K60" s="122">
        <v>0.56534722222222222</v>
      </c>
      <c r="P60"/>
    </row>
    <row r="61" spans="2:16" x14ac:dyDescent="0.25">
      <c r="B61" s="1" t="s">
        <v>86</v>
      </c>
      <c r="C61" s="1" t="s">
        <v>87</v>
      </c>
      <c r="D61" s="124">
        <v>0.25556422164377302</v>
      </c>
      <c r="E61" s="124">
        <v>0.29061229900000002</v>
      </c>
      <c r="F61" s="4">
        <v>2.4239999999999998E-5</v>
      </c>
      <c r="G61" s="1">
        <v>0.24</v>
      </c>
      <c r="H61" s="1">
        <v>3.57</v>
      </c>
      <c r="I61" s="1">
        <v>-11.62</v>
      </c>
      <c r="J61" s="121">
        <v>43645</v>
      </c>
      <c r="K61" s="122">
        <v>0.56533564814814818</v>
      </c>
      <c r="P61"/>
    </row>
    <row r="62" spans="2:16" x14ac:dyDescent="0.25">
      <c r="B62" s="1" t="s">
        <v>252</v>
      </c>
      <c r="C62" s="1" t="s">
        <v>253</v>
      </c>
      <c r="D62" s="124">
        <v>0.2514650956786324</v>
      </c>
      <c r="E62" s="124">
        <v>0.28595101890000002</v>
      </c>
      <c r="F62" s="4">
        <v>2.385E-5</v>
      </c>
      <c r="G62" s="1">
        <v>-0.2</v>
      </c>
      <c r="H62" s="1">
        <v>1.63</v>
      </c>
      <c r="I62" s="1">
        <v>0.89</v>
      </c>
      <c r="J62" s="121">
        <v>43645</v>
      </c>
      <c r="K62" s="122">
        <v>0.56537037037037041</v>
      </c>
      <c r="P62"/>
    </row>
    <row r="63" spans="2:16" x14ac:dyDescent="0.25">
      <c r="B63" s="1" t="s">
        <v>229</v>
      </c>
      <c r="C63" s="1" t="s">
        <v>229</v>
      </c>
      <c r="D63" s="124">
        <v>0.24968771136359638</v>
      </c>
      <c r="E63" s="124">
        <v>0.28392988409999997</v>
      </c>
      <c r="F63" s="4">
        <v>2.368E-5</v>
      </c>
      <c r="G63" s="1">
        <v>4.7699999999999996</v>
      </c>
      <c r="H63" s="1">
        <v>23.6</v>
      </c>
      <c r="I63" s="1">
        <v>-7.47</v>
      </c>
      <c r="J63" s="121">
        <v>43645</v>
      </c>
      <c r="K63" s="122">
        <v>0.56540509259259264</v>
      </c>
      <c r="P63"/>
    </row>
    <row r="64" spans="2:16" x14ac:dyDescent="0.25">
      <c r="B64" s="1" t="s">
        <v>213</v>
      </c>
      <c r="C64" s="1" t="s">
        <v>214</v>
      </c>
      <c r="D64" s="124">
        <v>0.24867214933957121</v>
      </c>
      <c r="E64" s="124">
        <v>0.28277504790000002</v>
      </c>
      <c r="F64" s="4">
        <v>2.3589999999999999E-5</v>
      </c>
      <c r="G64" s="1">
        <v>1.1499999999999999</v>
      </c>
      <c r="H64" s="1">
        <v>-1.65</v>
      </c>
      <c r="I64" s="1">
        <v>34.049999999999997</v>
      </c>
      <c r="J64" s="121">
        <v>43645</v>
      </c>
      <c r="K64" s="122">
        <v>0.56539351851851849</v>
      </c>
      <c r="P64"/>
    </row>
    <row r="65" spans="2:16" x14ac:dyDescent="0.25">
      <c r="B65" s="1" t="s">
        <v>182</v>
      </c>
      <c r="C65" s="1" t="s">
        <v>183</v>
      </c>
      <c r="D65" s="124">
        <v>0.23890001134424962</v>
      </c>
      <c r="E65" s="124">
        <v>0.27166275890000002</v>
      </c>
      <c r="F65" s="4">
        <v>2.266E-5</v>
      </c>
      <c r="G65" s="1">
        <v>5.75</v>
      </c>
      <c r="H65" s="1">
        <v>-15.65</v>
      </c>
      <c r="I65" s="1">
        <v>-32.130000000000003</v>
      </c>
      <c r="J65" s="121">
        <v>43645</v>
      </c>
      <c r="K65" s="122">
        <v>0.56538194444444445</v>
      </c>
      <c r="P65"/>
    </row>
    <row r="66" spans="2:16" x14ac:dyDescent="0.25">
      <c r="B66" s="1" t="s">
        <v>102</v>
      </c>
      <c r="C66" s="1" t="s">
        <v>103</v>
      </c>
      <c r="D66" s="124">
        <v>0.20538459380551208</v>
      </c>
      <c r="E66" s="124">
        <v>0.23355103699999999</v>
      </c>
      <c r="F66" s="4">
        <v>1.948E-5</v>
      </c>
      <c r="G66" s="1">
        <v>1.37</v>
      </c>
      <c r="H66" s="1">
        <v>-1.92</v>
      </c>
      <c r="I66" s="1">
        <v>19.66</v>
      </c>
      <c r="J66" s="121">
        <v>43645</v>
      </c>
      <c r="K66" s="122">
        <v>0.56528935185185181</v>
      </c>
      <c r="P66"/>
    </row>
    <row r="67" spans="2:16" x14ac:dyDescent="0.25">
      <c r="B67" s="1" t="s">
        <v>114</v>
      </c>
      <c r="C67" s="1" t="s">
        <v>115</v>
      </c>
      <c r="D67" s="124">
        <v>0.17265620046784036</v>
      </c>
      <c r="E67" s="124">
        <v>0.19633427179999999</v>
      </c>
      <c r="F67" s="4">
        <v>1.6379999999999999E-5</v>
      </c>
      <c r="G67" s="1">
        <v>0.01</v>
      </c>
      <c r="H67" s="1">
        <v>-0.64</v>
      </c>
      <c r="I67" s="1">
        <v>-3.02</v>
      </c>
      <c r="J67" s="121">
        <v>43645</v>
      </c>
      <c r="K67" s="122">
        <v>0.56535879629629626</v>
      </c>
      <c r="P67"/>
    </row>
    <row r="68" spans="2:16" x14ac:dyDescent="0.25">
      <c r="B68" s="1" t="s">
        <v>225</v>
      </c>
      <c r="C68" s="1" t="s">
        <v>226</v>
      </c>
      <c r="D68" s="124">
        <v>0.15105708400021106</v>
      </c>
      <c r="E68" s="124">
        <v>0.1717730525</v>
      </c>
      <c r="F68" s="4">
        <v>1.433E-5</v>
      </c>
      <c r="G68" s="1">
        <v>-0.68</v>
      </c>
      <c r="H68" s="1">
        <v>-0.75</v>
      </c>
      <c r="I68" s="1">
        <v>61.26</v>
      </c>
      <c r="J68" s="121">
        <v>43645</v>
      </c>
      <c r="K68" s="122">
        <v>0.56540509259259264</v>
      </c>
      <c r="P68"/>
    </row>
    <row r="69" spans="2:16" x14ac:dyDescent="0.25">
      <c r="B69" s="1" t="s">
        <v>203</v>
      </c>
      <c r="C69" s="1" t="s">
        <v>204</v>
      </c>
      <c r="D69" s="124">
        <v>0.14891525555340593</v>
      </c>
      <c r="E69" s="124">
        <v>0.16933749370000001</v>
      </c>
      <c r="F69" s="4">
        <v>1.413E-5</v>
      </c>
      <c r="G69" s="1">
        <v>0.42</v>
      </c>
      <c r="H69" s="1">
        <v>4.8600000000000003</v>
      </c>
      <c r="I69" s="1">
        <v>20.260000000000002</v>
      </c>
      <c r="J69" s="121">
        <v>43645</v>
      </c>
      <c r="K69" s="122">
        <v>0.56540509259259264</v>
      </c>
      <c r="P69"/>
    </row>
    <row r="70" spans="2:16" x14ac:dyDescent="0.25">
      <c r="B70" s="1" t="s">
        <v>82</v>
      </c>
      <c r="C70" s="1" t="s">
        <v>83</v>
      </c>
      <c r="D70" s="124">
        <v>0.14258755184058253</v>
      </c>
      <c r="E70" s="124">
        <v>0.16214200870000001</v>
      </c>
      <c r="F70" s="4">
        <v>1.3529999999999999E-5</v>
      </c>
      <c r="G70" s="1">
        <v>-0.85</v>
      </c>
      <c r="H70" s="1">
        <v>-0.52</v>
      </c>
      <c r="I70" s="1">
        <v>-15.48</v>
      </c>
      <c r="J70" s="121">
        <v>43645</v>
      </c>
      <c r="K70" s="122">
        <v>0.56533564814814818</v>
      </c>
      <c r="P70"/>
    </row>
    <row r="71" spans="2:16" x14ac:dyDescent="0.25">
      <c r="B71" s="1" t="s">
        <v>230</v>
      </c>
      <c r="C71" s="1" t="s">
        <v>231</v>
      </c>
      <c r="D71" s="124">
        <v>0.11116492234905112</v>
      </c>
      <c r="E71" s="124">
        <v>0.12641007979999999</v>
      </c>
      <c r="F71" s="4">
        <v>1.0540000000000001E-5</v>
      </c>
      <c r="G71" s="1">
        <v>0.14000000000000001</v>
      </c>
      <c r="H71" s="1">
        <v>-0.32</v>
      </c>
      <c r="I71" s="1">
        <v>33.15</v>
      </c>
      <c r="J71" s="121">
        <v>43645</v>
      </c>
      <c r="K71" s="122">
        <v>0.56535879629629626</v>
      </c>
      <c r="P71"/>
    </row>
    <row r="72" spans="2:16" x14ac:dyDescent="0.25">
      <c r="B72" s="1" t="s">
        <v>227</v>
      </c>
      <c r="C72" s="1" t="s">
        <v>228</v>
      </c>
      <c r="D72" s="124">
        <v>0.10618535343053626</v>
      </c>
      <c r="E72" s="124">
        <v>0.1207476128</v>
      </c>
      <c r="F72" s="4">
        <v>1.007E-5</v>
      </c>
      <c r="G72" s="1">
        <v>-0.28999999999999998</v>
      </c>
      <c r="H72" s="1">
        <v>-0.27</v>
      </c>
      <c r="I72" s="1">
        <v>-11.02</v>
      </c>
      <c r="J72" s="121">
        <v>43645</v>
      </c>
      <c r="K72" s="122">
        <v>0.56534722222222222</v>
      </c>
      <c r="P72"/>
    </row>
    <row r="73" spans="2:16" x14ac:dyDescent="0.25">
      <c r="B73" s="1" t="s">
        <v>112</v>
      </c>
      <c r="C73" s="1" t="s">
        <v>113</v>
      </c>
      <c r="D73" s="124">
        <v>0.10571248588564293</v>
      </c>
      <c r="E73" s="124">
        <v>0.1202098962</v>
      </c>
      <c r="F73" s="4">
        <v>1.0030000000000001E-5</v>
      </c>
      <c r="G73" s="1">
        <v>-0.95</v>
      </c>
      <c r="H73" s="1">
        <v>4.34</v>
      </c>
      <c r="I73" s="1">
        <v>2.21</v>
      </c>
      <c r="J73" s="121">
        <v>43645</v>
      </c>
      <c r="K73" s="122">
        <v>0.5653125</v>
      </c>
      <c r="P73"/>
    </row>
    <row r="74" spans="2:16" x14ac:dyDescent="0.25">
      <c r="B74" s="1" t="s">
        <v>249</v>
      </c>
      <c r="C74" s="1" t="s">
        <v>250</v>
      </c>
      <c r="D74" s="124">
        <v>0.10459042360659199</v>
      </c>
      <c r="E74" s="124">
        <v>0.11893395430000001</v>
      </c>
      <c r="F74" s="4">
        <v>9.9199999999999999E-6</v>
      </c>
      <c r="G74" s="1">
        <v>-0.63</v>
      </c>
      <c r="H74" s="1">
        <v>0.57999999999999996</v>
      </c>
      <c r="I74" s="1">
        <v>21.38</v>
      </c>
      <c r="J74" s="121">
        <v>43645</v>
      </c>
      <c r="K74" s="122">
        <v>0.56537037037037041</v>
      </c>
      <c r="P74"/>
    </row>
    <row r="75" spans="2:16" x14ac:dyDescent="0.25">
      <c r="B75" s="1" t="s">
        <v>179</v>
      </c>
      <c r="C75" s="1" t="s">
        <v>179</v>
      </c>
      <c r="D75" s="124">
        <v>0.10168574907223385</v>
      </c>
      <c r="E75" s="124">
        <v>0.11563093269999999</v>
      </c>
      <c r="F75" s="4">
        <v>9.6500000000000008E-6</v>
      </c>
      <c r="G75" s="1">
        <v>-0.51</v>
      </c>
      <c r="H75" s="1">
        <v>1.1000000000000001</v>
      </c>
      <c r="I75" s="1">
        <v>-10.93</v>
      </c>
      <c r="J75" s="121">
        <v>43645</v>
      </c>
      <c r="K75" s="122">
        <v>0.56535879629629626</v>
      </c>
      <c r="P75"/>
    </row>
    <row r="76" spans="2:16" x14ac:dyDescent="0.25">
      <c r="B76" s="1" t="s">
        <v>17</v>
      </c>
      <c r="C76" s="1" t="s">
        <v>18</v>
      </c>
      <c r="D76" s="124">
        <v>9.6790162952670747E-2</v>
      </c>
      <c r="E76" s="124">
        <v>0.1100639659</v>
      </c>
      <c r="F76" s="4">
        <v>9.1800000000000002E-6</v>
      </c>
      <c r="G76" s="1">
        <v>7.0000000000000007E-2</v>
      </c>
      <c r="H76" s="1">
        <v>0.15</v>
      </c>
      <c r="I76" s="1">
        <v>-14.47</v>
      </c>
      <c r="J76" s="121">
        <v>43645</v>
      </c>
      <c r="K76" s="122">
        <v>0.5653125</v>
      </c>
      <c r="P76"/>
    </row>
    <row r="77" spans="2:16" x14ac:dyDescent="0.25">
      <c r="B77" s="1" t="s">
        <v>88</v>
      </c>
      <c r="C77" s="1" t="s">
        <v>89</v>
      </c>
      <c r="D77" s="124">
        <v>8.5111267917758582E-2</v>
      </c>
      <c r="E77" s="124">
        <v>9.6783427199999994E-2</v>
      </c>
      <c r="F77" s="4">
        <v>8.0700000000000007E-6</v>
      </c>
      <c r="G77" s="1">
        <v>-0.09</v>
      </c>
      <c r="H77" s="1">
        <v>6.35</v>
      </c>
      <c r="I77" s="1">
        <v>-1.19</v>
      </c>
      <c r="J77" s="121">
        <v>43645</v>
      </c>
      <c r="K77" s="122">
        <v>0.56532407407407403</v>
      </c>
      <c r="P77"/>
    </row>
    <row r="78" spans="2:16" x14ac:dyDescent="0.25">
      <c r="B78" s="1" t="s">
        <v>35</v>
      </c>
      <c r="C78" s="1" t="s">
        <v>36</v>
      </c>
      <c r="D78" s="124">
        <v>8.5111180857238344E-2</v>
      </c>
      <c r="E78" s="124">
        <v>9.6783328200000004E-2</v>
      </c>
      <c r="F78" s="4">
        <v>8.0700000000000007E-6</v>
      </c>
      <c r="G78" s="1">
        <v>-0.19</v>
      </c>
      <c r="H78" s="1">
        <v>1.57</v>
      </c>
      <c r="I78" s="1">
        <v>6.61</v>
      </c>
      <c r="J78" s="121">
        <v>43645</v>
      </c>
      <c r="K78" s="122">
        <v>0.5653125</v>
      </c>
      <c r="P78"/>
    </row>
    <row r="79" spans="2:16" x14ac:dyDescent="0.25">
      <c r="B79" s="1" t="s">
        <v>20</v>
      </c>
      <c r="C79" s="1" t="s">
        <v>21</v>
      </c>
      <c r="D79" s="124">
        <v>7.7234473064002676E-2</v>
      </c>
      <c r="E79" s="124">
        <v>8.7826408699999997E-2</v>
      </c>
      <c r="F79" s="4">
        <v>7.3300000000000001E-6</v>
      </c>
      <c r="G79" s="1">
        <v>-0.28999999999999998</v>
      </c>
      <c r="H79" s="1">
        <v>1.44</v>
      </c>
      <c r="I79" s="1">
        <v>-5.6</v>
      </c>
      <c r="J79" s="121">
        <v>43645</v>
      </c>
      <c r="K79" s="122">
        <v>0.56534722222222222</v>
      </c>
      <c r="P79"/>
    </row>
    <row r="80" spans="2:16" x14ac:dyDescent="0.25">
      <c r="B80" s="1" t="s">
        <v>118</v>
      </c>
      <c r="C80" s="1" t="s">
        <v>118</v>
      </c>
      <c r="D80" s="124">
        <v>7.2611746926499826E-2</v>
      </c>
      <c r="E80" s="124">
        <v>8.2569721900000004E-2</v>
      </c>
      <c r="F80" s="4">
        <v>6.8900000000000001E-6</v>
      </c>
      <c r="G80" s="1">
        <v>-1.17</v>
      </c>
      <c r="H80" s="1">
        <v>2.81</v>
      </c>
      <c r="I80" s="1">
        <v>-14.95</v>
      </c>
      <c r="J80" s="121">
        <v>43645</v>
      </c>
      <c r="K80" s="122">
        <v>0.56535879629629626</v>
      </c>
      <c r="P80"/>
    </row>
    <row r="81" spans="2:16" x14ac:dyDescent="0.25">
      <c r="B81" s="1" t="s">
        <v>64</v>
      </c>
      <c r="C81" s="1" t="s">
        <v>65</v>
      </c>
      <c r="D81" s="124">
        <v>5.8229352498373112E-2</v>
      </c>
      <c r="E81" s="124">
        <v>6.6214925899999999E-2</v>
      </c>
      <c r="F81" s="4">
        <v>5.5199999999999997E-6</v>
      </c>
      <c r="G81" s="1">
        <v>0.15</v>
      </c>
      <c r="H81" s="1">
        <v>1.74</v>
      </c>
      <c r="I81" s="1">
        <v>1.86</v>
      </c>
      <c r="J81" s="121">
        <v>43645</v>
      </c>
      <c r="K81" s="122">
        <v>0.56528935185185181</v>
      </c>
      <c r="P81"/>
    </row>
    <row r="82" spans="2:16" x14ac:dyDescent="0.25">
      <c r="B82" s="1" t="s">
        <v>184</v>
      </c>
      <c r="C82" s="1" t="s">
        <v>185</v>
      </c>
      <c r="D82" s="124">
        <v>5.4483303375134108E-2</v>
      </c>
      <c r="E82" s="124">
        <v>6.1955143599999998E-2</v>
      </c>
      <c r="F82" s="4">
        <v>5.1699999999999996E-6</v>
      </c>
      <c r="G82" s="1">
        <v>-3.93</v>
      </c>
      <c r="H82" s="1">
        <v>-3.86</v>
      </c>
      <c r="I82" s="1">
        <v>5.27</v>
      </c>
      <c r="J82" s="121">
        <v>43645</v>
      </c>
      <c r="K82" s="122">
        <v>0.56540509259259264</v>
      </c>
      <c r="P82"/>
    </row>
    <row r="83" spans="2:16" x14ac:dyDescent="0.25">
      <c r="B83" s="1" t="s">
        <v>172</v>
      </c>
      <c r="C83" s="1" t="s">
        <v>173</v>
      </c>
      <c r="D83" s="124">
        <v>4.776114787976854E-2</v>
      </c>
      <c r="E83" s="124">
        <v>5.4311111699999998E-2</v>
      </c>
      <c r="F83" s="4">
        <v>4.5299999999999998E-6</v>
      </c>
      <c r="G83" s="1">
        <v>0.68</v>
      </c>
      <c r="H83" s="1">
        <v>1.67</v>
      </c>
      <c r="I83" s="1">
        <v>-11.8</v>
      </c>
      <c r="J83" s="121">
        <v>43645</v>
      </c>
      <c r="K83" s="122">
        <v>0.56537037037037041</v>
      </c>
      <c r="P83"/>
    </row>
    <row r="84" spans="2:16" x14ac:dyDescent="0.25">
      <c r="B84" s="1" t="s">
        <v>217</v>
      </c>
      <c r="C84" s="1" t="s">
        <v>218</v>
      </c>
      <c r="D84" s="124">
        <v>4.4551099424872932E-2</v>
      </c>
      <c r="E84" s="124">
        <v>5.0660837200000003E-2</v>
      </c>
      <c r="F84" s="4">
        <v>4.2300000000000002E-6</v>
      </c>
      <c r="G84" s="1">
        <v>-1.23</v>
      </c>
      <c r="H84" s="1">
        <v>13.97</v>
      </c>
      <c r="I84" s="1">
        <v>106.01</v>
      </c>
      <c r="J84" s="121">
        <v>43645</v>
      </c>
      <c r="K84" s="122">
        <v>0.56538194444444445</v>
      </c>
      <c r="P84"/>
    </row>
    <row r="85" spans="2:16" x14ac:dyDescent="0.25">
      <c r="B85" s="1" t="s">
        <v>187</v>
      </c>
      <c r="C85" s="1" t="s">
        <v>188</v>
      </c>
      <c r="D85" s="124">
        <v>4.2041201698999241E-2</v>
      </c>
      <c r="E85" s="124">
        <v>4.7806732099999999E-2</v>
      </c>
      <c r="F85" s="4">
        <v>3.9899999999999999E-6</v>
      </c>
      <c r="G85" s="1">
        <v>1.49</v>
      </c>
      <c r="H85" s="1">
        <v>5.93</v>
      </c>
      <c r="I85" s="1">
        <v>-0.89</v>
      </c>
      <c r="J85" s="121">
        <v>43645</v>
      </c>
      <c r="K85" s="122">
        <v>0.56538194444444445</v>
      </c>
      <c r="P85"/>
    </row>
    <row r="86" spans="2:16" x14ac:dyDescent="0.25">
      <c r="B86" s="1" t="s">
        <v>236</v>
      </c>
      <c r="C86" s="1" t="s">
        <v>237</v>
      </c>
      <c r="D86" s="124">
        <v>4.0796666109713844E-2</v>
      </c>
      <c r="E86" s="124">
        <v>4.6391520899999997E-2</v>
      </c>
      <c r="F86" s="4">
        <v>3.8700000000000002E-6</v>
      </c>
      <c r="G86" s="1">
        <v>1.17</v>
      </c>
      <c r="H86" s="1">
        <v>3.83</v>
      </c>
      <c r="I86" s="1">
        <v>5.99</v>
      </c>
      <c r="J86" s="121">
        <v>43645</v>
      </c>
      <c r="K86" s="122">
        <v>0.56538194444444445</v>
      </c>
      <c r="P86"/>
    </row>
    <row r="87" spans="2:16" x14ac:dyDescent="0.25">
      <c r="B87" s="1" t="s">
        <v>26</v>
      </c>
      <c r="C87" s="1" t="s">
        <v>27</v>
      </c>
      <c r="D87" s="124">
        <v>2.9918306540971207E-2</v>
      </c>
      <c r="E87" s="124">
        <v>3.4021303099999997E-2</v>
      </c>
      <c r="F87" s="4">
        <v>2.8399999999999999E-6</v>
      </c>
      <c r="G87" s="1">
        <v>0.53</v>
      </c>
      <c r="H87" s="1">
        <v>3.38</v>
      </c>
      <c r="I87" s="1">
        <v>-4.74</v>
      </c>
      <c r="J87" s="121">
        <v>43645</v>
      </c>
      <c r="K87" s="122">
        <v>0.56534722222222222</v>
      </c>
      <c r="P87"/>
    </row>
    <row r="88" spans="2:16" x14ac:dyDescent="0.25">
      <c r="B88" s="1" t="s">
        <v>139</v>
      </c>
      <c r="C88" s="1" t="s">
        <v>140</v>
      </c>
      <c r="D88" s="124">
        <v>2.770874500940957E-2</v>
      </c>
      <c r="E88" s="124">
        <v>3.15087223E-2</v>
      </c>
      <c r="F88" s="4">
        <v>2.6299999999999998E-6</v>
      </c>
      <c r="G88" s="1">
        <v>4.1100000000000003</v>
      </c>
      <c r="H88" s="1">
        <v>8.06</v>
      </c>
      <c r="I88" s="1">
        <v>14.36</v>
      </c>
      <c r="J88" s="121">
        <v>43645</v>
      </c>
      <c r="K88" s="122">
        <v>0.56538194444444445</v>
      </c>
      <c r="P88"/>
    </row>
    <row r="89" spans="2:16" x14ac:dyDescent="0.25">
      <c r="B89" s="1" t="s">
        <v>98</v>
      </c>
      <c r="C89" s="1" t="s">
        <v>99</v>
      </c>
      <c r="D89" s="124">
        <v>2.4943915788733138E-2</v>
      </c>
      <c r="E89" s="124">
        <v>2.8364724399999999E-2</v>
      </c>
      <c r="F89" s="4">
        <v>2.3700000000000002E-6</v>
      </c>
      <c r="G89" s="1">
        <v>-0.31</v>
      </c>
      <c r="H89" s="1">
        <v>0.64</v>
      </c>
      <c r="I89" s="1">
        <v>-3.43</v>
      </c>
      <c r="J89" s="121">
        <v>43645</v>
      </c>
      <c r="K89" s="122">
        <v>0.56533564814814818</v>
      </c>
      <c r="P89"/>
    </row>
    <row r="90" spans="2:16" x14ac:dyDescent="0.25">
      <c r="B90" s="1" t="s">
        <v>50</v>
      </c>
      <c r="C90" s="1" t="s">
        <v>51</v>
      </c>
      <c r="D90" s="124">
        <v>1.5018355875266018E-2</v>
      </c>
      <c r="E90" s="124">
        <v>1.7077973199999999E-2</v>
      </c>
      <c r="F90" s="4">
        <v>1.42E-6</v>
      </c>
      <c r="G90" s="1">
        <v>0.2</v>
      </c>
      <c r="H90" s="1">
        <v>2.44</v>
      </c>
      <c r="I90" s="1">
        <v>-15.98</v>
      </c>
      <c r="J90" s="121">
        <v>43645</v>
      </c>
      <c r="K90" s="122">
        <v>0.56537037037037041</v>
      </c>
      <c r="P90"/>
    </row>
    <row r="91" spans="2:16" x14ac:dyDescent="0.25">
      <c r="B91" s="1" t="s">
        <v>219</v>
      </c>
      <c r="C91" s="1" t="s">
        <v>220</v>
      </c>
      <c r="D91" s="124">
        <v>1.461870719524421E-2</v>
      </c>
      <c r="E91" s="124">
        <v>1.66235167E-2</v>
      </c>
      <c r="F91" s="4">
        <v>1.39E-6</v>
      </c>
      <c r="G91" s="1">
        <v>0.37</v>
      </c>
      <c r="H91" s="1">
        <v>3.32</v>
      </c>
      <c r="I91" s="1">
        <v>10.52</v>
      </c>
      <c r="J91" s="121">
        <v>43645</v>
      </c>
      <c r="K91" s="122">
        <v>0.56539351851851849</v>
      </c>
      <c r="P91"/>
    </row>
    <row r="92" spans="2:16" x14ac:dyDescent="0.25">
      <c r="B92" s="1" t="s">
        <v>104</v>
      </c>
      <c r="C92" s="1" t="s">
        <v>104</v>
      </c>
      <c r="D92" s="124">
        <v>1.1731807077404717E-2</v>
      </c>
      <c r="E92" s="124">
        <v>1.33407071E-2</v>
      </c>
      <c r="F92" s="4">
        <v>1.11E-6</v>
      </c>
      <c r="G92" s="1">
        <v>0.08</v>
      </c>
      <c r="H92" s="1">
        <v>3.89</v>
      </c>
      <c r="I92" s="1">
        <v>11.02</v>
      </c>
      <c r="J92" s="121">
        <v>43645</v>
      </c>
      <c r="K92" s="122">
        <v>0.56535879629629626</v>
      </c>
      <c r="P92"/>
    </row>
    <row r="93" spans="2:16" x14ac:dyDescent="0.25">
      <c r="B93" s="1" t="s">
        <v>70</v>
      </c>
      <c r="C93" s="1" t="s">
        <v>71</v>
      </c>
      <c r="D93" s="124">
        <v>1.0761664790615052E-2</v>
      </c>
      <c r="E93" s="124">
        <v>1.22375195E-2</v>
      </c>
      <c r="F93" s="4">
        <v>1.02E-6</v>
      </c>
      <c r="G93" s="1">
        <v>-0.99</v>
      </c>
      <c r="H93" s="1">
        <v>1.48</v>
      </c>
      <c r="I93" s="1">
        <v>-13.31</v>
      </c>
      <c r="J93" s="121">
        <v>43645</v>
      </c>
      <c r="K93" s="122">
        <v>0.56528935185185181</v>
      </c>
      <c r="P93"/>
    </row>
    <row r="94" spans="2:16" x14ac:dyDescent="0.25">
      <c r="B94" s="1" t="s">
        <v>74</v>
      </c>
      <c r="C94" s="1" t="s">
        <v>75</v>
      </c>
      <c r="D94" s="124">
        <v>7.1833778602458801E-3</v>
      </c>
      <c r="E94" s="124">
        <v>8.1685062999999995E-3</v>
      </c>
      <c r="F94" s="4">
        <v>6.7999999999999995E-7</v>
      </c>
      <c r="G94" s="1">
        <v>-0.04</v>
      </c>
      <c r="H94" s="1">
        <v>3.22</v>
      </c>
      <c r="I94" s="1">
        <v>-9.35</v>
      </c>
      <c r="J94" s="121">
        <v>43645</v>
      </c>
      <c r="K94" s="122">
        <v>0.56530092592592596</v>
      </c>
      <c r="P94"/>
    </row>
    <row r="95" spans="2:16" x14ac:dyDescent="0.25">
      <c r="B95" s="1" t="s">
        <v>162</v>
      </c>
      <c r="C95" s="1" t="s">
        <v>41</v>
      </c>
      <c r="D95" s="124">
        <v>7.1025320541006388E-3</v>
      </c>
      <c r="E95" s="124">
        <v>8.0765733000000006E-3</v>
      </c>
      <c r="F95" s="4">
        <v>6.7000000000000004E-7</v>
      </c>
      <c r="G95" s="1">
        <v>4.5</v>
      </c>
      <c r="H95" s="1">
        <v>0.55000000000000004</v>
      </c>
      <c r="I95" s="1">
        <v>16.5</v>
      </c>
      <c r="J95" s="121">
        <v>43645</v>
      </c>
      <c r="K95" s="122">
        <v>0.56538194444444445</v>
      </c>
      <c r="P95"/>
    </row>
    <row r="96" spans="2:16" x14ac:dyDescent="0.25">
      <c r="B96" s="1" t="s">
        <v>72</v>
      </c>
      <c r="C96" s="1" t="s">
        <v>73</v>
      </c>
      <c r="D96" s="124">
        <v>2.9685994688428865E-3</v>
      </c>
      <c r="E96" s="124">
        <v>3.3757131999999999E-3</v>
      </c>
      <c r="F96" s="4">
        <v>2.8000000000000002E-7</v>
      </c>
      <c r="G96" s="1">
        <v>0.15</v>
      </c>
      <c r="H96" s="1">
        <v>-1.02</v>
      </c>
      <c r="I96" s="1">
        <v>3.28</v>
      </c>
      <c r="J96" s="121">
        <v>43645</v>
      </c>
      <c r="K96" s="122">
        <v>0.5653125</v>
      </c>
      <c r="P96"/>
    </row>
    <row r="97" spans="2:16" x14ac:dyDescent="0.25">
      <c r="B97" s="1" t="s">
        <v>78</v>
      </c>
      <c r="C97" s="1" t="s">
        <v>79</v>
      </c>
      <c r="D97" s="124">
        <v>2.7953879909246005E-3</v>
      </c>
      <c r="E97" s="124">
        <v>3.1787475000000002E-3</v>
      </c>
      <c r="F97" s="4">
        <v>2.7000000000000001E-7</v>
      </c>
      <c r="G97" s="1">
        <v>-1.7</v>
      </c>
      <c r="H97" s="1">
        <v>-0.18</v>
      </c>
      <c r="I97" s="1">
        <v>1.32</v>
      </c>
      <c r="J97" s="121">
        <v>43645</v>
      </c>
      <c r="K97" s="122">
        <v>0.56530092592592596</v>
      </c>
      <c r="P97"/>
    </row>
    <row r="98" spans="2:16" x14ac:dyDescent="0.25">
      <c r="B98" s="1" t="s">
        <v>193</v>
      </c>
      <c r="C98" s="1" t="s">
        <v>194</v>
      </c>
      <c r="D98" s="124">
        <v>1.4882343422973426E-3</v>
      </c>
      <c r="E98" s="124">
        <v>1.6923308E-3</v>
      </c>
      <c r="F98" s="4">
        <v>1.4000000000000001E-7</v>
      </c>
      <c r="G98" s="1">
        <v>-3.28</v>
      </c>
      <c r="H98" s="1">
        <v>-7.06</v>
      </c>
      <c r="I98" s="1">
        <v>-30.48</v>
      </c>
      <c r="J98" s="121">
        <v>43645</v>
      </c>
      <c r="K98" s="122">
        <v>0.56533564814814818</v>
      </c>
      <c r="P98"/>
    </row>
    <row r="99" spans="2:16" x14ac:dyDescent="0.25">
      <c r="B99" s="1" t="s">
        <v>163</v>
      </c>
      <c r="C99" s="1" t="s">
        <v>164</v>
      </c>
      <c r="D99" s="124">
        <v>1.4852825509611835E-3</v>
      </c>
      <c r="E99" s="124">
        <v>1.6889742000000001E-3</v>
      </c>
      <c r="F99" s="4">
        <v>1.4000000000000001E-7</v>
      </c>
      <c r="G99" s="1">
        <v>0.62</v>
      </c>
      <c r="H99" s="1">
        <v>-0.79</v>
      </c>
      <c r="I99" s="1">
        <v>-7.18</v>
      </c>
      <c r="J99" s="121">
        <v>43645</v>
      </c>
      <c r="K99" s="122">
        <v>0.56537037037037041</v>
      </c>
      <c r="P99"/>
    </row>
    <row r="100" spans="2:16" x14ac:dyDescent="0.25">
      <c r="B100" s="1" t="s">
        <v>205</v>
      </c>
      <c r="C100" s="1" t="s">
        <v>206</v>
      </c>
      <c r="D100" s="124">
        <v>1.1419550802891465E-3</v>
      </c>
      <c r="E100" s="124">
        <v>1.2985627999999999E-3</v>
      </c>
      <c r="F100" s="4">
        <v>1.1000000000000001E-7</v>
      </c>
      <c r="G100" s="1">
        <v>-0.68</v>
      </c>
      <c r="H100" s="1">
        <v>6.53</v>
      </c>
      <c r="I100" s="1">
        <v>-3.38</v>
      </c>
      <c r="J100" s="121">
        <v>43645</v>
      </c>
      <c r="K100" s="122">
        <v>0.56540509259259264</v>
      </c>
      <c r="P100"/>
    </row>
    <row r="101" spans="2:16" x14ac:dyDescent="0.25">
      <c r="B101" s="1" t="s">
        <v>54</v>
      </c>
      <c r="C101" s="1" t="s">
        <v>55</v>
      </c>
      <c r="D101" s="124">
        <v>8.5689088414795007E-4</v>
      </c>
      <c r="E101" s="124">
        <v>9.7440489999999999E-4</v>
      </c>
      <c r="F101" s="4">
        <v>8.0000000000000002E-8</v>
      </c>
      <c r="G101" s="1">
        <v>-1.72</v>
      </c>
      <c r="H101" s="1">
        <v>-0.93</v>
      </c>
      <c r="I101" s="1">
        <v>-5.38</v>
      </c>
      <c r="J101" s="121">
        <v>43645</v>
      </c>
      <c r="K101" s="122">
        <v>0.56528935185185181</v>
      </c>
      <c r="P101"/>
    </row>
    <row r="102" spans="2:16" x14ac:dyDescent="0.25">
      <c r="B102" s="1" t="s">
        <v>100</v>
      </c>
      <c r="C102" s="1" t="s">
        <v>101</v>
      </c>
      <c r="D102" s="124">
        <v>7.5971533848074994E-4</v>
      </c>
      <c r="E102" s="124">
        <v>8.6390269999999996E-4</v>
      </c>
      <c r="F102" s="4">
        <v>7.0000000000000005E-8</v>
      </c>
      <c r="G102" s="1">
        <v>-0.87</v>
      </c>
      <c r="H102" s="1">
        <v>0.14000000000000001</v>
      </c>
      <c r="I102" s="1">
        <v>-2.99</v>
      </c>
      <c r="J102" s="121">
        <v>43645</v>
      </c>
      <c r="K102" s="122">
        <v>0.56537037037037041</v>
      </c>
      <c r="P102"/>
    </row>
    <row r="103" spans="2:16" x14ac:dyDescent="0.25"/>
    <row r="104" spans="2:16" x14ac:dyDescent="0.25"/>
    <row r="105" spans="2:16" hidden="1" x14ac:dyDescent="0.25"/>
  </sheetData>
  <conditionalFormatting sqref="G3:I102">
    <cfRule type="cellIs" dxfId="18" priority="1" operator="greaterThan">
      <formula>0</formula>
    </cfRule>
    <cfRule type="cellIs" dxfId="17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6830-9595-43A5-B0D2-AC6AFA790FC6}">
  <dimension ref="A1:I3"/>
  <sheetViews>
    <sheetView workbookViewId="0"/>
  </sheetViews>
  <sheetFormatPr defaultRowHeight="15" x14ac:dyDescent="0.25"/>
  <cols>
    <col min="1" max="1" width="8.7109375" bestFit="1" customWidth="1"/>
    <col min="2" max="2" width="18.85546875" bestFit="1" customWidth="1"/>
    <col min="3" max="3" width="14" bestFit="1" customWidth="1"/>
    <col min="4" max="4" width="13.5703125" bestFit="1" customWidth="1"/>
    <col min="5" max="5" width="20.5703125" bestFit="1" customWidth="1"/>
    <col min="6" max="6" width="21.5703125" bestFit="1" customWidth="1"/>
    <col min="7" max="7" width="20.5703125" bestFit="1" customWidth="1"/>
    <col min="8" max="8" width="14.42578125" bestFit="1" customWidth="1"/>
    <col min="9" max="9" width="14.7109375" bestFit="1" customWidth="1"/>
  </cols>
  <sheetData>
    <row r="1" spans="1:9" x14ac:dyDescent="0.25">
      <c r="A1" t="s">
        <v>6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25">
      <c r="A2" s="1" t="s">
        <v>1</v>
      </c>
      <c r="B2" s="1" t="s">
        <v>197</v>
      </c>
      <c r="C2">
        <v>1</v>
      </c>
    </row>
    <row r="3" spans="1:9" x14ac:dyDescent="0.25">
      <c r="A3" s="1" t="s">
        <v>196</v>
      </c>
      <c r="B3" s="1" t="s">
        <v>198</v>
      </c>
      <c r="C3">
        <v>1.1366219595362581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7D8C-CF1D-4E60-BC3C-4B275B80926C}">
  <sheetPr>
    <tabColor rgb="FF7030A0"/>
  </sheetPr>
  <dimension ref="B1:J12"/>
  <sheetViews>
    <sheetView showGridLines="0" showRowColHeaders="0" workbookViewId="0">
      <selection activeCell="B4" sqref="B4:D10"/>
    </sheetView>
  </sheetViews>
  <sheetFormatPr defaultColWidth="0" defaultRowHeight="15" zeroHeight="1" x14ac:dyDescent="0.25"/>
  <cols>
    <col min="1" max="1" width="2.85546875" customWidth="1"/>
    <col min="2" max="2" width="10.140625" bestFit="1" customWidth="1"/>
    <col min="3" max="3" width="7.7109375" bestFit="1" customWidth="1"/>
    <col min="4" max="4" width="9.5703125" bestFit="1" customWidth="1"/>
    <col min="5" max="5" width="4.5703125" hidden="1" customWidth="1"/>
    <col min="6" max="6" width="2.85546875" customWidth="1"/>
    <col min="7" max="7" width="21.140625" hidden="1"/>
    <col min="8" max="8" width="20.140625" hidden="1"/>
    <col min="9" max="9" width="14.140625" hidden="1"/>
    <col min="10" max="10" width="14.42578125" hidden="1"/>
    <col min="11" max="16384" width="9.140625" hidden="1"/>
  </cols>
  <sheetData>
    <row r="1" spans="2:5" x14ac:dyDescent="0.25"/>
    <row r="2" spans="2:5" x14ac:dyDescent="0.25">
      <c r="B2" s="138" t="s">
        <v>246</v>
      </c>
      <c r="C2" s="139"/>
      <c r="D2" s="140" t="s">
        <v>196</v>
      </c>
      <c r="E2">
        <f>IFERROR(INDEX(tblExchRates[Rate],MATCH(DefCurrency,tblExchRates[To],0)),1)</f>
        <v>0.87939919447033787</v>
      </c>
    </row>
    <row r="3" spans="2:5" x14ac:dyDescent="0.25"/>
    <row r="4" spans="2:5" x14ac:dyDescent="0.25">
      <c r="B4" s="126" t="s">
        <v>238</v>
      </c>
      <c r="C4" s="126" t="s">
        <v>239</v>
      </c>
      <c r="D4" s="126" t="s">
        <v>240</v>
      </c>
    </row>
    <row r="5" spans="2:5" x14ac:dyDescent="0.25">
      <c r="B5" s="1" t="s">
        <v>1</v>
      </c>
      <c r="C5" s="1" t="s">
        <v>242</v>
      </c>
      <c r="D5" s="125">
        <v>107.875</v>
      </c>
    </row>
    <row r="6" spans="2:5" x14ac:dyDescent="0.25">
      <c r="B6" s="1" t="s">
        <v>1</v>
      </c>
      <c r="C6" s="1" t="s">
        <v>243</v>
      </c>
      <c r="D6" s="125">
        <v>0.97618000000000005</v>
      </c>
    </row>
    <row r="7" spans="2:5" x14ac:dyDescent="0.25">
      <c r="B7" s="1" t="s">
        <v>1</v>
      </c>
      <c r="C7" s="1" t="s">
        <v>244</v>
      </c>
      <c r="D7" s="125">
        <v>1.31044</v>
      </c>
    </row>
    <row r="8" spans="2:5" x14ac:dyDescent="0.25">
      <c r="B8" s="1" t="s">
        <v>1</v>
      </c>
      <c r="C8" s="1" t="s">
        <v>196</v>
      </c>
      <c r="D8" s="125">
        <v>0.87939919447033787</v>
      </c>
    </row>
    <row r="9" spans="2:5" x14ac:dyDescent="0.25">
      <c r="B9" s="1" t="s">
        <v>1</v>
      </c>
      <c r="C9" s="1" t="s">
        <v>241</v>
      </c>
      <c r="D9" s="125">
        <v>0.78749458597472144</v>
      </c>
    </row>
    <row r="10" spans="2:5" x14ac:dyDescent="0.25">
      <c r="B10" s="1" t="s">
        <v>1</v>
      </c>
      <c r="C10" s="1" t="s">
        <v>245</v>
      </c>
      <c r="D10" s="125">
        <v>1.4243188195245624</v>
      </c>
    </row>
    <row r="11" spans="2:5" x14ac:dyDescent="0.25">
      <c r="B11" s="1"/>
      <c r="C11" s="1"/>
      <c r="D11" s="120"/>
    </row>
    <row r="12" spans="2:5" hidden="1" x14ac:dyDescent="0.25">
      <c r="B12" s="1"/>
      <c r="C12" s="1"/>
      <c r="D12" s="120"/>
    </row>
  </sheetData>
  <sheetProtection sort="0" pivotTables="0"/>
  <mergeCells count="1">
    <mergeCell ref="B2:C2"/>
  </mergeCells>
  <dataValidations count="1">
    <dataValidation type="list" allowBlank="1" showInputMessage="1" showErrorMessage="1" sqref="D2" xr:uid="{4D1B49C4-594A-4275-8601-2EC7C437A4AD}">
      <formula1>"USD,EUR,GBP,CAD,JPY,CHF"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686B-C6F6-4ACD-A9F2-672BA7781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Summary</vt:lpstr>
      <vt:lpstr>Register</vt:lpstr>
      <vt:lpstr>TAX Report</vt:lpstr>
      <vt:lpstr>Balance</vt:lpstr>
      <vt:lpstr>Rates</vt:lpstr>
      <vt:lpstr>Custom_Tokens_Query</vt:lpstr>
      <vt:lpstr>Setings</vt:lpstr>
      <vt:lpstr>ConvRate</vt:lpstr>
      <vt:lpstr>DefCurrency</vt:lpstr>
      <vt:lpstr>'TAX Report'!P_End</vt:lpstr>
      <vt:lpstr>'TAX Report'!P_Start</vt:lpstr>
      <vt:lpstr>'TAX Report'!Tax_Rate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Merson</dc:creator>
  <cp:lastModifiedBy>Sergei Merson</cp:lastModifiedBy>
  <cp:lastPrinted>2019-06-29T12:43:52Z</cp:lastPrinted>
  <dcterms:created xsi:type="dcterms:W3CDTF">2018-07-27T17:09:58Z</dcterms:created>
  <dcterms:modified xsi:type="dcterms:W3CDTF">2019-06-29T13:35:14Z</dcterms:modified>
</cp:coreProperties>
</file>