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600" windowHeight="10650" activeTab="3"/>
  </bookViews>
  <sheets>
    <sheet name="Übersicht" sheetId="2" r:id="rId1"/>
    <sheet name="InterestRateCurve" sheetId="10" r:id="rId2"/>
    <sheet name="XXX" sheetId="7" r:id="rId3"/>
    <sheet name="Cashflows" sheetId="9" r:id="rId4"/>
    <sheet name="QuantLibLists" sheetId="8" state="hidden" r:id="rId5"/>
  </sheets>
  <externalReferences>
    <externalReference r:id="rId6"/>
    <externalReference r:id="rId7"/>
    <externalReference r:id="rId8"/>
    <externalReference r:id="rId9"/>
  </externalReferences>
  <definedNames>
    <definedName name="a" localSheetId="2">'[1]Log (Prod)'!#REF!</definedName>
    <definedName name="a">'[1]Log (Prod)'!#REF!</definedName>
    <definedName name="AmerEur" localSheetId="2">'[1]Log (Prod)'!#REF!</definedName>
    <definedName name="AmerEur">'[1]Log (Prod)'!#REF!</definedName>
    <definedName name="BondFaceValue" localSheetId="2">'[1]Log (Prod)'!#REF!</definedName>
    <definedName name="BondFaceValue">'[1]Log (Prod)'!#REF!</definedName>
    <definedName name="BondMaturity" localSheetId="2">'[1]Log (Prod)'!#REF!</definedName>
    <definedName name="BondMaturity">'[1]Log (Prod)'!#REF!</definedName>
    <definedName name="deltaR" localSheetId="2">'[1]Log (Prod)'!#REF!</definedName>
    <definedName name="deltaR">'[1]Log (Prod)'!#REF!</definedName>
    <definedName name="deltat" localSheetId="2">'[1]Log (Prod)'!#REF!</definedName>
    <definedName name="deltat">'[1]Log (Prod)'!#REF!</definedName>
    <definedName name="derivativematurity" localSheetId="2">'[1]Log (Prod)'!#REF!</definedName>
    <definedName name="derivativematurity">'[1]Log (Prod)'!#REF!</definedName>
    <definedName name="formula" localSheetId="2">'[1]Log (Prod)'!#REF!</definedName>
    <definedName name="formula">'[1]Log (Prod)'!#REF!</definedName>
    <definedName name="IborIndex6M">[2]Indexes!$B$4</definedName>
    <definedName name="listFrequencies">QuantLibLists!$A$3:$A$12</definedName>
    <definedName name="sigma" localSheetId="2">'[1]Log (Prod)'!#REF!</definedName>
    <definedName name="sigma">'[1]Log (Prod)'!#REF!</definedName>
    <definedName name="test" localSheetId="2">[3]tree!#REF!</definedName>
    <definedName name="test">[3]tree!#REF!</definedName>
    <definedName name="Trigger">Übersicht!$C$26</definedName>
    <definedName name="ValDate">[4]Control!$E$5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9" i="7" l="1"/>
  <c r="F24" i="7"/>
  <c r="S59" i="7" s="1"/>
  <c r="E21" i="7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0" i="10"/>
  <c r="J33" i="10"/>
  <c r="J32" i="10"/>
  <c r="J31" i="10"/>
  <c r="J30" i="10"/>
  <c r="J29" i="10"/>
  <c r="J28" i="10"/>
  <c r="J27" i="10"/>
  <c r="J26" i="10"/>
  <c r="J25" i="10"/>
  <c r="J24" i="10"/>
  <c r="J23" i="10"/>
  <c r="J22" i="10"/>
  <c r="J13" i="10"/>
  <c r="J12" i="10"/>
  <c r="J11" i="10"/>
  <c r="J10" i="10"/>
  <c r="J9" i="10"/>
  <c r="J8" i="10"/>
  <c r="J7" i="10"/>
  <c r="J6" i="10"/>
  <c r="J5" i="10"/>
  <c r="J4" i="10"/>
  <c r="I100" i="9"/>
  <c r="I92" i="9"/>
  <c r="I84" i="9"/>
  <c r="I76" i="9"/>
  <c r="I68" i="9"/>
  <c r="I60" i="9"/>
  <c r="I52" i="9"/>
  <c r="I44" i="9"/>
  <c r="I99" i="9"/>
  <c r="I91" i="9"/>
  <c r="I83" i="9"/>
  <c r="I75" i="9"/>
  <c r="I67" i="9"/>
  <c r="I59" i="9"/>
  <c r="I51" i="9"/>
  <c r="I43" i="9"/>
  <c r="I98" i="9"/>
  <c r="I90" i="9"/>
  <c r="I82" i="9"/>
  <c r="I74" i="9"/>
  <c r="I66" i="9"/>
  <c r="I58" i="9"/>
  <c r="I50" i="9"/>
  <c r="I42" i="9"/>
  <c r="I97" i="9"/>
  <c r="I89" i="9"/>
  <c r="I81" i="9"/>
  <c r="I73" i="9"/>
  <c r="I65" i="9"/>
  <c r="I57" i="9"/>
  <c r="I49" i="9"/>
  <c r="I96" i="9"/>
  <c r="I88" i="9"/>
  <c r="I80" i="9"/>
  <c r="I72" i="9"/>
  <c r="I64" i="9"/>
  <c r="I56" i="9"/>
  <c r="I48" i="9"/>
  <c r="I95" i="9"/>
  <c r="I87" i="9"/>
  <c r="I79" i="9"/>
  <c r="I71" i="9"/>
  <c r="I63" i="9"/>
  <c r="I55" i="9"/>
  <c r="I47" i="9"/>
  <c r="I94" i="9"/>
  <c r="I86" i="9"/>
  <c r="I78" i="9"/>
  <c r="I70" i="9"/>
  <c r="I62" i="9"/>
  <c r="I54" i="9"/>
  <c r="I46" i="9"/>
  <c r="I93" i="9"/>
  <c r="I69" i="9"/>
  <c r="I61" i="9"/>
  <c r="I53" i="9"/>
  <c r="I85" i="9"/>
  <c r="I77" i="9"/>
  <c r="I45" i="9"/>
  <c r="Q21" i="7"/>
  <c r="H7" i="10"/>
  <c r="C12" i="2"/>
  <c r="B2" i="7"/>
  <c r="L14" i="10" a="1"/>
  <c r="H12" i="10"/>
  <c r="I12" i="10" s="1"/>
  <c r="H9" i="10"/>
  <c r="I9" i="10" s="1"/>
  <c r="H4" i="10"/>
  <c r="F30" i="7"/>
  <c r="H11" i="10"/>
  <c r="H8" i="10"/>
  <c r="I8" i="10" s="1"/>
  <c r="B3" i="10"/>
  <c r="C3" i="10" s="1"/>
  <c r="H6" i="10"/>
  <c r="I6" i="10" s="1"/>
  <c r="H10" i="10"/>
  <c r="I10" i="10" s="1"/>
  <c r="B4" i="10"/>
  <c r="I7" i="10"/>
  <c r="I11" i="10"/>
  <c r="H5" i="10"/>
  <c r="I5" i="10" s="1"/>
  <c r="E5" i="10"/>
  <c r="H13" i="10"/>
  <c r="I13" i="10" s="1"/>
  <c r="C27" i="2"/>
  <c r="I4" i="10"/>
  <c r="G1" i="7"/>
  <c r="F27" i="7" l="1"/>
  <c r="L20" i="10"/>
  <c r="L14" i="10"/>
  <c r="L21" i="10"/>
  <c r="L16" i="10"/>
  <c r="L17" i="10"/>
  <c r="L18" i="10"/>
  <c r="L19" i="10"/>
  <c r="L15" i="10"/>
  <c r="E48" i="7"/>
  <c r="H19" i="10"/>
  <c r="I19" i="10" s="1"/>
  <c r="H15" i="10"/>
  <c r="I15" i="10" s="1"/>
  <c r="H20" i="10"/>
  <c r="I20" i="10" s="1"/>
  <c r="F51" i="7"/>
  <c r="F1" i="9"/>
  <c r="F3" i="9" s="1" a="1"/>
  <c r="C1" i="9"/>
  <c r="C3" i="9" s="1" a="1"/>
  <c r="E51" i="7"/>
  <c r="H14" i="10"/>
  <c r="H21" i="10"/>
  <c r="I21" i="10" s="1"/>
  <c r="H17" i="10"/>
  <c r="I17" i="10" s="1"/>
  <c r="H18" i="10"/>
  <c r="I18" i="10" s="1"/>
  <c r="H16" i="10"/>
  <c r="I16" i="10" s="1"/>
  <c r="I14" i="10"/>
  <c r="C4" i="9" l="1"/>
  <c r="C12" i="9"/>
  <c r="C20" i="9"/>
  <c r="C28" i="9"/>
  <c r="C36" i="9"/>
  <c r="C5" i="9"/>
  <c r="C13" i="9"/>
  <c r="C21" i="9"/>
  <c r="C29" i="9"/>
  <c r="C37" i="9"/>
  <c r="C8" i="9"/>
  <c r="C16" i="9"/>
  <c r="C24" i="9"/>
  <c r="C32" i="9"/>
  <c r="C40" i="9"/>
  <c r="C6" i="9"/>
  <c r="C18" i="9"/>
  <c r="C31" i="9"/>
  <c r="C10" i="9"/>
  <c r="C23" i="9"/>
  <c r="C35" i="9"/>
  <c r="C11" i="9"/>
  <c r="C25" i="9"/>
  <c r="C38" i="9"/>
  <c r="C14" i="9"/>
  <c r="C26" i="9"/>
  <c r="C39" i="9"/>
  <c r="C3" i="9"/>
  <c r="C17" i="9"/>
  <c r="C30" i="9"/>
  <c r="C22" i="9"/>
  <c r="C27" i="9"/>
  <c r="C33" i="9"/>
  <c r="C7" i="9"/>
  <c r="C41" i="9"/>
  <c r="C15" i="9"/>
  <c r="C19" i="9"/>
  <c r="C34" i="9"/>
  <c r="C9" i="9"/>
  <c r="F5" i="9"/>
  <c r="F13" i="9"/>
  <c r="F21" i="9"/>
  <c r="F29" i="9"/>
  <c r="F37" i="9"/>
  <c r="F6" i="9"/>
  <c r="F14" i="9"/>
  <c r="F22" i="9"/>
  <c r="F30" i="9"/>
  <c r="F38" i="9"/>
  <c r="F9" i="9"/>
  <c r="F17" i="9"/>
  <c r="F25" i="9"/>
  <c r="F33" i="9"/>
  <c r="F41" i="9"/>
  <c r="F8" i="9"/>
  <c r="F20" i="9"/>
  <c r="F34" i="9"/>
  <c r="F12" i="9"/>
  <c r="F26" i="9"/>
  <c r="F39" i="9"/>
  <c r="F15" i="9"/>
  <c r="F27" i="9"/>
  <c r="F40" i="9"/>
  <c r="F3" i="9"/>
  <c r="F16" i="9"/>
  <c r="F28" i="9"/>
  <c r="F7" i="9"/>
  <c r="F19" i="9"/>
  <c r="F32" i="9"/>
  <c r="F31" i="9"/>
  <c r="F35" i="9"/>
  <c r="F4" i="9"/>
  <c r="F36" i="9"/>
  <c r="F11" i="9"/>
  <c r="F24" i="9"/>
  <c r="F10" i="9"/>
  <c r="F23" i="9"/>
  <c r="F18" i="9"/>
  <c r="Q31" i="10"/>
  <c r="Q28" i="10"/>
  <c r="Q27" i="10"/>
  <c r="Q24" i="10"/>
  <c r="Q30" i="10"/>
  <c r="Q29" i="10"/>
  <c r="Q32" i="10"/>
  <c r="Q33" i="10"/>
  <c r="Q23" i="10"/>
  <c r="Q26" i="10"/>
  <c r="Q25" i="10"/>
  <c r="Q22" i="10"/>
  <c r="H28" i="10"/>
  <c r="I28" i="10" s="1"/>
  <c r="H26" i="10"/>
  <c r="I26" i="10" s="1"/>
  <c r="H27" i="10"/>
  <c r="I27" i="10" s="1"/>
  <c r="H25" i="10"/>
  <c r="I25" i="10" s="1"/>
  <c r="H22" i="10"/>
  <c r="H24" i="10"/>
  <c r="I24" i="10" s="1"/>
  <c r="H29" i="10"/>
  <c r="I29" i="10" s="1"/>
  <c r="H23" i="10"/>
  <c r="I23" i="10" s="1"/>
  <c r="H32" i="10"/>
  <c r="I32" i="10" s="1"/>
  <c r="H30" i="10"/>
  <c r="I30" i="10" s="1"/>
  <c r="H33" i="10"/>
  <c r="I33" i="10" s="1"/>
  <c r="H31" i="10"/>
  <c r="I31" i="10" s="1"/>
  <c r="I22" i="10"/>
  <c r="A39" i="10" l="1" a="1"/>
  <c r="G5" i="9"/>
  <c r="D5" i="9"/>
  <c r="G3" i="9"/>
  <c r="D3" i="9"/>
  <c r="G7" i="9"/>
  <c r="D7" i="9"/>
  <c r="D8" i="9"/>
  <c r="D9" i="9" s="1"/>
  <c r="G8" i="9"/>
  <c r="G4" i="9"/>
  <c r="D4" i="9"/>
  <c r="D6" i="9"/>
  <c r="G6" i="9"/>
  <c r="I8" i="9"/>
  <c r="I4" i="9"/>
  <c r="I5" i="9"/>
  <c r="I7" i="9"/>
  <c r="I6" i="9"/>
  <c r="D10" i="9" l="1"/>
  <c r="G9" i="9"/>
  <c r="A39" i="10"/>
  <c r="A63" i="10"/>
  <c r="A40" i="10"/>
  <c r="A42" i="10"/>
  <c r="A50" i="10"/>
  <c r="A58" i="10"/>
  <c r="A66" i="10"/>
  <c r="A44" i="10"/>
  <c r="A52" i="10"/>
  <c r="A68" i="10"/>
  <c r="A43" i="10"/>
  <c r="A51" i="10"/>
  <c r="A59" i="10"/>
  <c r="A67" i="10"/>
  <c r="A60" i="10"/>
  <c r="A46" i="10"/>
  <c r="A54" i="10"/>
  <c r="A62" i="10"/>
  <c r="A47" i="10"/>
  <c r="A55" i="10"/>
  <c r="A61" i="10"/>
  <c r="A65" i="10"/>
  <c r="A48" i="10"/>
  <c r="A56" i="10"/>
  <c r="A57" i="10"/>
  <c r="A41" i="10"/>
  <c r="A64" i="10"/>
  <c r="A45" i="10"/>
  <c r="A49" i="10"/>
  <c r="A53" i="10"/>
  <c r="I3" i="9"/>
  <c r="I9" i="9"/>
  <c r="D11" i="9" l="1"/>
  <c r="G10" i="9"/>
  <c r="D12" i="9" l="1"/>
  <c r="G11" i="9"/>
  <c r="I10" i="9"/>
  <c r="I11" i="9"/>
  <c r="D13" i="9" l="1"/>
  <c r="G12" i="9"/>
  <c r="G13" i="9" l="1"/>
  <c r="D14" i="9"/>
  <c r="I13" i="9"/>
  <c r="I12" i="9"/>
  <c r="D15" i="9" l="1"/>
  <c r="G14" i="9"/>
  <c r="I14" i="9"/>
  <c r="D16" i="9" l="1"/>
  <c r="G15" i="9"/>
  <c r="I15" i="9"/>
  <c r="D17" i="9" l="1"/>
  <c r="G16" i="9"/>
  <c r="I16" i="9"/>
  <c r="G17" i="9" l="1"/>
  <c r="D18" i="9"/>
  <c r="I17" i="9"/>
  <c r="D19" i="9" l="1"/>
  <c r="G18" i="9"/>
  <c r="I18" i="9"/>
  <c r="D20" i="9" l="1"/>
  <c r="G19" i="9"/>
  <c r="I19" i="9"/>
  <c r="G20" i="9" l="1"/>
  <c r="D21" i="9"/>
  <c r="I20" i="9"/>
  <c r="G21" i="9" l="1"/>
  <c r="D22" i="9"/>
  <c r="I21" i="9"/>
  <c r="G22" i="9" l="1"/>
  <c r="D23" i="9"/>
  <c r="I22" i="9"/>
  <c r="D24" i="9" l="1"/>
  <c r="G23" i="9"/>
  <c r="I23" i="9"/>
  <c r="D25" i="9" l="1"/>
  <c r="G24" i="9"/>
  <c r="I24" i="9"/>
  <c r="D26" i="9" l="1"/>
  <c r="G25" i="9"/>
  <c r="I25" i="9"/>
  <c r="G26" i="9" l="1"/>
  <c r="D27" i="9"/>
  <c r="I26" i="9"/>
  <c r="G27" i="9" l="1"/>
  <c r="D28" i="9"/>
  <c r="I27" i="9"/>
  <c r="G28" i="9" l="1"/>
  <c r="D29" i="9"/>
  <c r="I28" i="9"/>
  <c r="D30" i="9" l="1"/>
  <c r="G29" i="9"/>
  <c r="I29" i="9"/>
  <c r="D31" i="9" l="1"/>
  <c r="G30" i="9"/>
  <c r="I30" i="9"/>
  <c r="G31" i="9" l="1"/>
  <c r="D32" i="9"/>
  <c r="I31" i="9"/>
  <c r="G32" i="9" l="1"/>
  <c r="D33" i="9"/>
  <c r="I32" i="9"/>
  <c r="G33" i="9" l="1"/>
  <c r="D34" i="9"/>
  <c r="I33" i="9"/>
  <c r="D35" i="9" l="1"/>
  <c r="G34" i="9"/>
  <c r="I34" i="9"/>
  <c r="G35" i="9" l="1"/>
  <c r="D36" i="9"/>
  <c r="I35" i="9"/>
  <c r="D37" i="9" l="1"/>
  <c r="G36" i="9"/>
  <c r="I36" i="9"/>
  <c r="G37" i="9" l="1"/>
  <c r="D38" i="9"/>
  <c r="I37" i="9"/>
  <c r="G38" i="9" l="1"/>
  <c r="D39" i="9"/>
  <c r="I38" i="9"/>
  <c r="D40" i="9" l="1"/>
  <c r="G39" i="9"/>
  <c r="I39" i="9"/>
  <c r="G40" i="9" l="1"/>
  <c r="D41" i="9"/>
  <c r="G41" i="9" s="1"/>
  <c r="I40" i="9"/>
  <c r="I41" i="9"/>
  <c r="G1" i="9" a="1"/>
  <c r="G1" i="9" l="1"/>
  <c r="J1" i="9"/>
  <c r="E30" i="7" l="1"/>
  <c r="D58" i="7"/>
  <c r="C39" i="10" a="1"/>
  <c r="C56" i="10"/>
  <c r="C52" i="10"/>
  <c r="C48" i="10"/>
  <c r="C44" i="10"/>
  <c r="C64" i="10"/>
  <c r="C60" i="10"/>
  <c r="C47" i="10"/>
  <c r="C68" i="10"/>
  <c r="C40" i="10"/>
  <c r="C62" i="10"/>
  <c r="C46" i="10"/>
  <c r="C61" i="10"/>
  <c r="C53" i="10"/>
  <c r="C45" i="10"/>
  <c r="C67" i="10"/>
  <c r="C66" i="10"/>
  <c r="C58" i="10"/>
  <c r="C50" i="10"/>
  <c r="C42" i="10"/>
  <c r="C59" i="10"/>
  <c r="C51" i="10"/>
  <c r="C43" i="10"/>
  <c r="C65" i="10"/>
  <c r="C57" i="10"/>
  <c r="C49" i="10"/>
  <c r="C41" i="10"/>
  <c r="C63" i="10"/>
  <c r="C55" i="10"/>
  <c r="C39" i="10"/>
  <c r="C54" i="10"/>
  <c r="B76" i="10"/>
  <c r="E45" i="7"/>
  <c r="P52" i="7"/>
  <c r="Q52" i="7"/>
  <c r="E54" i="7"/>
  <c r="B77" i="10"/>
  <c r="B91" i="10"/>
  <c r="B90" i="10"/>
  <c r="B89" i="10"/>
  <c r="B95" i="10"/>
  <c r="B93" i="10"/>
  <c r="B92" i="10"/>
  <c r="B94" i="10"/>
  <c r="B102" i="10" a="1"/>
  <c r="B130" i="10"/>
  <c r="B122" i="10"/>
  <c r="B114" i="10"/>
  <c r="B106" i="10"/>
  <c r="B128" i="10"/>
  <c r="B112" i="10"/>
  <c r="B127" i="10"/>
  <c r="B119" i="10"/>
  <c r="B111" i="10"/>
  <c r="B103" i="10"/>
  <c r="B118" i="10"/>
  <c r="B110" i="10"/>
  <c r="B117" i="10"/>
  <c r="B132" i="10"/>
  <c r="B124" i="10"/>
  <c r="B116" i="10"/>
  <c r="B108" i="10"/>
  <c r="B126" i="10"/>
  <c r="B102" i="10"/>
  <c r="B125" i="10"/>
  <c r="B109" i="10"/>
  <c r="B131" i="10"/>
  <c r="B123" i="10"/>
  <c r="B115" i="10"/>
  <c r="B107" i="10"/>
  <c r="B129" i="10"/>
  <c r="B121" i="10"/>
  <c r="B113" i="10"/>
  <c r="B105" i="10"/>
  <c r="B120" i="10"/>
  <c r="B104" i="10"/>
  <c r="A102" i="10" a="1"/>
  <c r="A110" i="10"/>
  <c r="A106" i="10"/>
  <c r="A102" i="10"/>
  <c r="A126" i="10"/>
  <c r="A122" i="10"/>
  <c r="A114" i="10"/>
  <c r="A130" i="10"/>
  <c r="A118" i="10"/>
  <c r="A128" i="10"/>
  <c r="A112" i="10"/>
  <c r="A127" i="10"/>
  <c r="A119" i="10"/>
  <c r="A111" i="10"/>
  <c r="A103" i="10"/>
  <c r="A132" i="10"/>
  <c r="A124" i="10"/>
  <c r="A116" i="10"/>
  <c r="A108" i="10"/>
  <c r="A125" i="10"/>
  <c r="A117" i="10"/>
  <c r="A109" i="10"/>
  <c r="A131" i="10"/>
  <c r="A123" i="10"/>
  <c r="A115" i="10"/>
  <c r="A107" i="10"/>
  <c r="A129" i="10"/>
  <c r="A121" i="10"/>
  <c r="A113" i="10"/>
  <c r="A105" i="10"/>
  <c r="A120" i="10"/>
  <c r="A104" i="10"/>
  <c r="B88" i="10"/>
  <c r="C102" i="10" a="1"/>
  <c r="C130" i="10"/>
  <c r="E130" i="10"/>
  <c r="F130" i="10"/>
  <c r="C122" i="10"/>
  <c r="E122" i="10"/>
  <c r="F122" i="10"/>
  <c r="C114" i="10"/>
  <c r="E114" i="10"/>
  <c r="F114" i="10"/>
  <c r="C106" i="10"/>
  <c r="E106" i="10"/>
  <c r="F106" i="10"/>
  <c r="C128" i="10"/>
  <c r="E128" i="10"/>
  <c r="F128" i="10"/>
  <c r="C112" i="10"/>
  <c r="E112" i="10"/>
  <c r="F112" i="10"/>
  <c r="C127" i="10"/>
  <c r="E127" i="10"/>
  <c r="F127" i="10"/>
  <c r="C119" i="10"/>
  <c r="E119" i="10"/>
  <c r="F119" i="10"/>
  <c r="C111" i="10"/>
  <c r="E111" i="10"/>
  <c r="F111" i="10"/>
  <c r="C103" i="10"/>
  <c r="E103" i="10"/>
  <c r="F103" i="10"/>
  <c r="C126" i="10"/>
  <c r="E126" i="10"/>
  <c r="F126" i="10"/>
  <c r="C110" i="10"/>
  <c r="E110" i="10"/>
  <c r="F110" i="10"/>
  <c r="C118" i="10"/>
  <c r="E118" i="10"/>
  <c r="F118" i="10"/>
  <c r="C102" i="10"/>
  <c r="E102" i="10"/>
  <c r="F102" i="10"/>
  <c r="C125" i="10"/>
  <c r="E125" i="10"/>
  <c r="F125" i="10"/>
  <c r="C117" i="10"/>
  <c r="E117" i="10"/>
  <c r="F117" i="10"/>
  <c r="C109" i="10"/>
  <c r="E109" i="10"/>
  <c r="F109" i="10"/>
  <c r="C132" i="10"/>
  <c r="E132" i="10"/>
  <c r="F132" i="10"/>
  <c r="C124" i="10"/>
  <c r="E124" i="10"/>
  <c r="F124" i="10"/>
  <c r="C116" i="10"/>
  <c r="E116" i="10"/>
  <c r="F116" i="10"/>
  <c r="C108" i="10"/>
  <c r="E108" i="10"/>
  <c r="F108" i="10"/>
  <c r="C131" i="10"/>
  <c r="E131" i="10"/>
  <c r="F131" i="10"/>
  <c r="C123" i="10"/>
  <c r="E123" i="10"/>
  <c r="F123" i="10"/>
  <c r="C115" i="10"/>
  <c r="E115" i="10"/>
  <c r="F115" i="10"/>
  <c r="C107" i="10"/>
  <c r="E107" i="10"/>
  <c r="F107" i="10"/>
  <c r="C129" i="10"/>
  <c r="E129" i="10"/>
  <c r="F129" i="10"/>
  <c r="C121" i="10"/>
  <c r="E121" i="10"/>
  <c r="F121" i="10"/>
  <c r="C113" i="10"/>
  <c r="E113" i="10"/>
  <c r="F113" i="10"/>
  <c r="C105" i="10"/>
  <c r="E105" i="10"/>
  <c r="F105" i="10"/>
  <c r="C120" i="10"/>
  <c r="E120" i="10"/>
  <c r="F120" i="10"/>
  <c r="C104" i="10"/>
  <c r="E104" i="10"/>
  <c r="F104" i="10"/>
  <c r="AE1" i="10"/>
  <c r="E133" i="10"/>
  <c r="G133" i="10"/>
  <c r="S2" i="9"/>
  <c r="W5" i="9"/>
  <c r="AA8" i="9"/>
  <c r="K12" i="9"/>
  <c r="O15" i="9"/>
  <c r="S18" i="9"/>
  <c r="W21" i="9"/>
  <c r="T2" i="9"/>
  <c r="X5" i="9"/>
  <c r="AB8" i="9"/>
  <c r="L12" i="9"/>
  <c r="P15" i="9"/>
  <c r="T18" i="9"/>
  <c r="X21" i="9"/>
  <c r="K3" i="9"/>
  <c r="O6" i="9"/>
  <c r="S9" i="9"/>
  <c r="W12" i="9"/>
  <c r="AA15" i="9"/>
  <c r="K19" i="9"/>
  <c r="O22" i="9"/>
  <c r="AC3" i="9"/>
  <c r="L9" i="9"/>
  <c r="N14" i="9"/>
  <c r="Q19" i="9"/>
  <c r="P24" i="9"/>
  <c r="T27" i="9"/>
  <c r="AC2" i="9"/>
  <c r="J8" i="9"/>
  <c r="M13" i="9"/>
  <c r="P18" i="9"/>
  <c r="R23" i="9"/>
  <c r="AA26" i="9"/>
  <c r="K30" i="9"/>
  <c r="O33" i="9"/>
  <c r="S36" i="9"/>
  <c r="W39" i="9"/>
  <c r="AA42" i="9"/>
  <c r="K46" i="9"/>
  <c r="O49" i="9"/>
  <c r="S52" i="9"/>
  <c r="V3" i="9"/>
  <c r="Y8" i="9"/>
  <c r="AB13" i="9"/>
  <c r="J19" i="9"/>
  <c r="L24" i="9"/>
  <c r="P27" i="9"/>
  <c r="T30" i="9"/>
  <c r="X33" i="9"/>
  <c r="AB36" i="9"/>
  <c r="J5" i="9"/>
  <c r="M10" i="9"/>
  <c r="N15" i="9"/>
  <c r="Q20" i="9"/>
  <c r="AC24" i="9"/>
  <c r="M28" i="9"/>
  <c r="M5" i="9"/>
  <c r="R15" i="9"/>
  <c r="K25" i="9"/>
  <c r="K31" i="9"/>
  <c r="Q35" i="9"/>
  <c r="R39" i="9"/>
  <c r="K43" i="9"/>
  <c r="X46" i="9"/>
  <c r="Q50" i="9"/>
  <c r="J54" i="9"/>
  <c r="P57" i="9"/>
  <c r="T60" i="9"/>
  <c r="X63" i="9"/>
  <c r="Q5" i="9"/>
  <c r="U15" i="9"/>
  <c r="M25" i="9"/>
  <c r="L31" i="9"/>
  <c r="R35" i="9"/>
  <c r="S39" i="9"/>
  <c r="L43" i="9"/>
  <c r="Y46" i="9"/>
  <c r="R50" i="9"/>
  <c r="L54" i="9"/>
  <c r="R5" i="9"/>
  <c r="V15" i="9"/>
  <c r="N25" i="9"/>
  <c r="M31" i="9"/>
  <c r="S35" i="9"/>
  <c r="T39" i="9"/>
  <c r="AA2" i="9"/>
  <c r="K6" i="9"/>
  <c r="O9" i="9"/>
  <c r="S12" i="9"/>
  <c r="W15" i="9"/>
  <c r="AA18" i="9"/>
  <c r="K22" i="9"/>
  <c r="AB2" i="9"/>
  <c r="L6" i="9"/>
  <c r="P9" i="9"/>
  <c r="T12" i="9"/>
  <c r="X15" i="9"/>
  <c r="AB18" i="9"/>
  <c r="L22" i="9"/>
  <c r="S3" i="9"/>
  <c r="W6" i="9"/>
  <c r="AA9" i="9"/>
  <c r="K13" i="9"/>
  <c r="O16" i="9"/>
  <c r="S19" i="9"/>
  <c r="W22" i="9"/>
  <c r="V4" i="9"/>
  <c r="Y9" i="9"/>
  <c r="Z14" i="9"/>
  <c r="AC19" i="9"/>
  <c r="X24" i="9"/>
  <c r="AB27" i="9"/>
  <c r="U3" i="9"/>
  <c r="X8" i="9"/>
  <c r="Z13" i="9"/>
  <c r="AC18" i="9"/>
  <c r="J24" i="9"/>
  <c r="O27" i="9"/>
  <c r="S30" i="9"/>
  <c r="W33" i="9"/>
  <c r="AA36" i="9"/>
  <c r="K40" i="9"/>
  <c r="O43" i="9"/>
  <c r="S46" i="9"/>
  <c r="W49" i="9"/>
  <c r="AA52" i="9"/>
  <c r="P4" i="9"/>
  <c r="R9" i="9"/>
  <c r="U14" i="9"/>
  <c r="V19" i="9"/>
  <c r="T24" i="9"/>
  <c r="X27" i="9"/>
  <c r="AB30" i="9"/>
  <c r="L34" i="9"/>
  <c r="P37" i="9"/>
  <c r="V5" i="9"/>
  <c r="Y10" i="9"/>
  <c r="AB15" i="9"/>
  <c r="J21" i="9"/>
  <c r="Q25" i="9"/>
  <c r="U28" i="9"/>
  <c r="R6" i="9"/>
  <c r="X16" i="9"/>
  <c r="AA25" i="9"/>
  <c r="U31" i="9"/>
  <c r="AA35" i="9"/>
  <c r="AA39" i="9"/>
  <c r="T43" i="9"/>
  <c r="M47" i="9"/>
  <c r="Z50" i="9"/>
  <c r="T54" i="9"/>
  <c r="X57" i="9"/>
  <c r="AB60" i="9"/>
  <c r="L64" i="9"/>
  <c r="V6" i="9"/>
  <c r="Z16" i="9"/>
  <c r="AC25" i="9"/>
  <c r="V31" i="9"/>
  <c r="AB35" i="9"/>
  <c r="AB39" i="9"/>
  <c r="U43" i="9"/>
  <c r="N47" i="9"/>
  <c r="AB50" i="9"/>
  <c r="U54" i="9"/>
  <c r="X6" i="9"/>
  <c r="AC16" i="9"/>
  <c r="J26" i="9"/>
  <c r="Y31" i="9"/>
  <c r="K4" i="9"/>
  <c r="O7" i="9"/>
  <c r="S10" i="9"/>
  <c r="W13" i="9"/>
  <c r="AA16" i="9"/>
  <c r="K20" i="9"/>
  <c r="O23" i="9"/>
  <c r="L4" i="9"/>
  <c r="P7" i="9"/>
  <c r="T10" i="9"/>
  <c r="X13" i="9"/>
  <c r="AB16" i="9"/>
  <c r="L20" i="9"/>
  <c r="P23" i="9"/>
  <c r="W4" i="9"/>
  <c r="AA7" i="9"/>
  <c r="K11" i="9"/>
  <c r="O14" i="9"/>
  <c r="S17" i="9"/>
  <c r="W20" i="9"/>
  <c r="AA23" i="9"/>
  <c r="U6" i="9"/>
  <c r="V11" i="9"/>
  <c r="Y16" i="9"/>
  <c r="AB21" i="9"/>
  <c r="AB25" i="9"/>
  <c r="L29" i="9"/>
  <c r="T5" i="9"/>
  <c r="V10" i="9"/>
  <c r="Y15" i="9"/>
  <c r="Z20" i="9"/>
  <c r="O25" i="9"/>
  <c r="S28" i="9"/>
  <c r="W31" i="9"/>
  <c r="AA34" i="9"/>
  <c r="K38" i="9"/>
  <c r="O41" i="9"/>
  <c r="S44" i="9"/>
  <c r="W47" i="9"/>
  <c r="AA50" i="9"/>
  <c r="K54" i="9"/>
  <c r="N6" i="9"/>
  <c r="Q11" i="9"/>
  <c r="R16" i="9"/>
  <c r="U21" i="9"/>
  <c r="X25" i="9"/>
  <c r="AB28" i="9"/>
  <c r="L32" i="9"/>
  <c r="P35" i="9"/>
  <c r="R2" i="9"/>
  <c r="U7" i="9"/>
  <c r="X12" i="9"/>
  <c r="Z17" i="9"/>
  <c r="AC22" i="9"/>
  <c r="U26" i="9"/>
  <c r="Y29" i="9"/>
  <c r="P10" i="9"/>
  <c r="U20" i="9"/>
  <c r="O28" i="9"/>
  <c r="M33" i="9"/>
  <c r="S37" i="9"/>
  <c r="N41" i="9"/>
  <c r="AB44" i="9"/>
  <c r="U48" i="9"/>
  <c r="N52" i="9"/>
  <c r="X55" i="9"/>
  <c r="AB58" i="9"/>
  <c r="L62" i="9"/>
  <c r="P65" i="9"/>
  <c r="R10" i="9"/>
  <c r="X20" i="9"/>
  <c r="Q28" i="9"/>
  <c r="N33" i="9"/>
  <c r="T37" i="9"/>
  <c r="P41" i="9"/>
  <c r="AC44" i="9"/>
  <c r="V48" i="9"/>
  <c r="O52" i="9"/>
  <c r="Y55" i="9"/>
  <c r="U10" i="9"/>
  <c r="Y20" i="9"/>
  <c r="R28" i="9"/>
  <c r="Q33" i="9"/>
  <c r="U37" i="9"/>
  <c r="U4" i="9"/>
  <c r="O3" i="9"/>
  <c r="K8" i="9"/>
  <c r="O13" i="9"/>
  <c r="K18" i="9"/>
  <c r="W23" i="9"/>
  <c r="T6" i="9"/>
  <c r="P11" i="9"/>
  <c r="T16" i="9"/>
  <c r="P21" i="9"/>
  <c r="K5" i="9"/>
  <c r="O10" i="9"/>
  <c r="K15" i="9"/>
  <c r="O20" i="9"/>
  <c r="Q3" i="9"/>
  <c r="P12" i="9"/>
  <c r="V20" i="9"/>
  <c r="X26" i="9"/>
  <c r="Z4" i="9"/>
  <c r="U12" i="9"/>
  <c r="T21" i="9"/>
  <c r="W27" i="9"/>
  <c r="S32" i="9"/>
  <c r="W37" i="9"/>
  <c r="S42" i="9"/>
  <c r="K48" i="9"/>
  <c r="O53" i="9"/>
  <c r="T7" i="9"/>
  <c r="Z15" i="9"/>
  <c r="T23" i="9"/>
  <c r="P29" i="9"/>
  <c r="T34" i="9"/>
  <c r="Y3" i="9"/>
  <c r="J12" i="9"/>
  <c r="Y19" i="9"/>
  <c r="AC26" i="9"/>
  <c r="Y7" i="9"/>
  <c r="L23" i="9"/>
  <c r="W32" i="9"/>
  <c r="AC38" i="9"/>
  <c r="Q45" i="9"/>
  <c r="P51" i="9"/>
  <c r="T56" i="9"/>
  <c r="X61" i="9"/>
  <c r="J4" i="9"/>
  <c r="AC21" i="9"/>
  <c r="N32" i="9"/>
  <c r="U38" i="9"/>
  <c r="T44" i="9"/>
  <c r="AC49" i="9"/>
  <c r="M56" i="9"/>
  <c r="N18" i="9"/>
  <c r="J30" i="9"/>
  <c r="U36" i="9"/>
  <c r="Z5" i="9"/>
  <c r="J16" i="9"/>
  <c r="S25" i="9"/>
  <c r="Q31" i="9"/>
  <c r="U35" i="9"/>
  <c r="V39" i="9"/>
  <c r="P43" i="9"/>
  <c r="AC46" i="9"/>
  <c r="V50" i="9"/>
  <c r="O54" i="9"/>
  <c r="N10" i="9"/>
  <c r="N28" i="9"/>
  <c r="R37" i="9"/>
  <c r="L44" i="9"/>
  <c r="AA49" i="9"/>
  <c r="V55" i="9"/>
  <c r="Z18" i="9"/>
  <c r="U32" i="9"/>
  <c r="W40" i="9"/>
  <c r="U46" i="9"/>
  <c r="Q52" i="9"/>
  <c r="Q57" i="9"/>
  <c r="J61" i="9"/>
  <c r="W64" i="9"/>
  <c r="J68" i="9"/>
  <c r="N71" i="9"/>
  <c r="R74" i="9"/>
  <c r="V77" i="9"/>
  <c r="Z80" i="9"/>
  <c r="J84" i="9"/>
  <c r="N87" i="9"/>
  <c r="R90" i="9"/>
  <c r="V93" i="9"/>
  <c r="W3" i="9"/>
  <c r="S8" i="9"/>
  <c r="K14" i="9"/>
  <c r="O19" i="9"/>
  <c r="K24" i="9"/>
  <c r="AB6" i="9"/>
  <c r="X11" i="9"/>
  <c r="P17" i="9"/>
  <c r="T22" i="9"/>
  <c r="S5" i="9"/>
  <c r="W10" i="9"/>
  <c r="S15" i="9"/>
  <c r="K21" i="9"/>
  <c r="N5" i="9"/>
  <c r="AC12" i="9"/>
  <c r="N21" i="9"/>
  <c r="L27" i="9"/>
  <c r="M6" i="9"/>
  <c r="R14" i="9"/>
  <c r="M22" i="9"/>
  <c r="K28" i="9"/>
  <c r="AA32" i="9"/>
  <c r="S38" i="9"/>
  <c r="W43" i="9"/>
  <c r="S48" i="9"/>
  <c r="W53" i="9"/>
  <c r="M8" i="9"/>
  <c r="L17" i="9"/>
  <c r="AB24" i="9"/>
  <c r="X29" i="9"/>
  <c r="AB34" i="9"/>
  <c r="Q4" i="9"/>
  <c r="Q13" i="9"/>
  <c r="V21" i="9"/>
  <c r="Q27" i="9"/>
  <c r="J9" i="9"/>
  <c r="O24" i="9"/>
  <c r="Y33" i="9"/>
  <c r="P40" i="9"/>
  <c r="Z45" i="9"/>
  <c r="Y51" i="9"/>
  <c r="AB56" i="9"/>
  <c r="T62" i="9"/>
  <c r="AB7" i="9"/>
  <c r="N23" i="9"/>
  <c r="X32" i="9"/>
  <c r="J39" i="9"/>
  <c r="R45" i="9"/>
  <c r="Q51" i="9"/>
  <c r="Z2" i="9"/>
  <c r="T19" i="9"/>
  <c r="W30" i="9"/>
  <c r="K37" i="9"/>
  <c r="L7" i="9"/>
  <c r="Q17" i="9"/>
  <c r="O26" i="9"/>
  <c r="AA31" i="9"/>
  <c r="M36" i="9"/>
  <c r="L40" i="9"/>
  <c r="Y43" i="9"/>
  <c r="R47" i="9"/>
  <c r="K51" i="9"/>
  <c r="X54" i="9"/>
  <c r="Y12" i="9"/>
  <c r="Z29" i="9"/>
  <c r="R38" i="9"/>
  <c r="Y44" i="9"/>
  <c r="W50" i="9"/>
  <c r="O56" i="9"/>
  <c r="R21" i="9"/>
  <c r="U33" i="9"/>
  <c r="R41" i="9"/>
  <c r="P47" i="9"/>
  <c r="K53" i="9"/>
  <c r="Z57" i="9"/>
  <c r="S61" i="9"/>
  <c r="L65" i="9"/>
  <c r="O5" i="9"/>
  <c r="AA10" i="9"/>
  <c r="K16" i="9"/>
  <c r="AA20" i="9"/>
  <c r="X3" i="9"/>
  <c r="T8" i="9"/>
  <c r="L14" i="9"/>
  <c r="P19" i="9"/>
  <c r="O2" i="9"/>
  <c r="S7" i="9"/>
  <c r="O12" i="9"/>
  <c r="AA17" i="9"/>
  <c r="K23" i="9"/>
  <c r="Z7" i="9"/>
  <c r="M16" i="9"/>
  <c r="Z23" i="9"/>
  <c r="T29" i="9"/>
  <c r="Q9" i="9"/>
  <c r="J17" i="9"/>
  <c r="AA24" i="9"/>
  <c r="W29" i="9"/>
  <c r="O35" i="9"/>
  <c r="S40" i="9"/>
  <c r="O45" i="9"/>
  <c r="S50" i="9"/>
  <c r="J3" i="9"/>
  <c r="AC11" i="9"/>
  <c r="P20" i="9"/>
  <c r="T26" i="9"/>
  <c r="X31" i="9"/>
  <c r="T36" i="9"/>
  <c r="N8" i="9"/>
  <c r="U16" i="9"/>
  <c r="M24" i="9"/>
  <c r="Q29" i="9"/>
  <c r="M14" i="9"/>
  <c r="K29" i="9"/>
  <c r="Q36" i="9"/>
  <c r="M42" i="9"/>
  <c r="L48" i="9"/>
  <c r="U53" i="9"/>
  <c r="P59" i="9"/>
  <c r="T64" i="9"/>
  <c r="J13" i="9"/>
  <c r="U27" i="9"/>
  <c r="Z34" i="9"/>
  <c r="Y41" i="9"/>
  <c r="X47" i="9"/>
  <c r="M53" i="9"/>
  <c r="N9" i="9"/>
  <c r="R24" i="9"/>
  <c r="AA33" i="9"/>
  <c r="K39" i="9"/>
  <c r="AC10" i="9"/>
  <c r="M21" i="9"/>
  <c r="W28" i="9"/>
  <c r="S33" i="9"/>
  <c r="Y37" i="9"/>
  <c r="S41" i="9"/>
  <c r="L45" i="9"/>
  <c r="Y48" i="9"/>
  <c r="R52" i="9"/>
  <c r="AB55" i="9"/>
  <c r="R20" i="9"/>
  <c r="L33" i="9"/>
  <c r="L41" i="9"/>
  <c r="J47" i="9"/>
  <c r="Z52" i="9"/>
  <c r="V8" i="9"/>
  <c r="N27" i="9"/>
  <c r="Y36" i="9"/>
  <c r="V43" i="9"/>
  <c r="R49" i="9"/>
  <c r="N55" i="9"/>
  <c r="M59" i="9"/>
  <c r="Z62" i="9"/>
  <c r="R66" i="9"/>
  <c r="V69" i="9"/>
  <c r="Z72" i="9"/>
  <c r="J76" i="9"/>
  <c r="N79" i="9"/>
  <c r="R82" i="9"/>
  <c r="V85" i="9"/>
  <c r="Z88" i="9"/>
  <c r="J92" i="9"/>
  <c r="K10" i="9"/>
  <c r="W17" i="9"/>
  <c r="T4" i="9"/>
  <c r="AB12" i="9"/>
  <c r="T20" i="9"/>
  <c r="K7" i="9"/>
  <c r="W14" i="9"/>
  <c r="S23" i="9"/>
  <c r="U13" i="9"/>
  <c r="T25" i="9"/>
  <c r="R7" i="9"/>
  <c r="N20" i="9"/>
  <c r="AA30" i="9"/>
  <c r="AA38" i="9"/>
  <c r="AA46" i="9"/>
  <c r="Q2" i="9"/>
  <c r="M15" i="9"/>
  <c r="AB26" i="9"/>
  <c r="X35" i="9"/>
  <c r="T9" i="9"/>
  <c r="U23" i="9"/>
  <c r="AB3" i="9"/>
  <c r="AA29" i="9"/>
  <c r="Y40" i="9"/>
  <c r="S49" i="9"/>
  <c r="T58" i="9"/>
  <c r="Y2" i="9"/>
  <c r="M29" i="9"/>
  <c r="Q40" i="9"/>
  <c r="K49" i="9"/>
  <c r="AC7" i="9"/>
  <c r="N29" i="9"/>
  <c r="AC39" i="9"/>
  <c r="V18" i="9"/>
  <c r="O30" i="9"/>
  <c r="M37" i="9"/>
  <c r="Z42" i="9"/>
  <c r="N49" i="9"/>
  <c r="L55" i="9"/>
  <c r="J25" i="9"/>
  <c r="O40" i="9"/>
  <c r="M49" i="9"/>
  <c r="M11" i="9"/>
  <c r="W34" i="9"/>
  <c r="K45" i="9"/>
  <c r="V54" i="9"/>
  <c r="U60" i="9"/>
  <c r="Z66" i="9"/>
  <c r="Z70" i="9"/>
  <c r="N75" i="9"/>
  <c r="V79" i="9"/>
  <c r="V83" i="9"/>
  <c r="J88" i="9"/>
  <c r="R92" i="9"/>
  <c r="J96" i="9"/>
  <c r="M19" i="9"/>
  <c r="V32" i="9"/>
  <c r="X40" i="9"/>
  <c r="V46" i="9"/>
  <c r="T52" i="9"/>
  <c r="R57" i="9"/>
  <c r="K61" i="9"/>
  <c r="X64" i="9"/>
  <c r="K68" i="9"/>
  <c r="O71" i="9"/>
  <c r="M12" i="9"/>
  <c r="R29" i="9"/>
  <c r="N38" i="9"/>
  <c r="U44" i="9"/>
  <c r="P50" i="9"/>
  <c r="J56" i="9"/>
  <c r="Y59" i="9"/>
  <c r="R63" i="9"/>
  <c r="AB66" i="9"/>
  <c r="L70" i="9"/>
  <c r="Y4" i="9"/>
  <c r="Z24" i="9"/>
  <c r="M35" i="9"/>
  <c r="T42" i="9"/>
  <c r="Q48" i="9"/>
  <c r="N54" i="9"/>
  <c r="S58" i="9"/>
  <c r="M62" i="9"/>
  <c r="Z65" i="9"/>
  <c r="K2" i="9"/>
  <c r="O11" i="9"/>
  <c r="W19" i="9"/>
  <c r="AB4" i="9"/>
  <c r="P13" i="9"/>
  <c r="AB20" i="9"/>
  <c r="O8" i="9"/>
  <c r="W16" i="9"/>
  <c r="J2" i="9"/>
  <c r="T15" i="9"/>
  <c r="P26" i="9"/>
  <c r="AC9" i="9"/>
  <c r="Y22" i="9"/>
  <c r="O31" i="9"/>
  <c r="O39" i="9"/>
  <c r="O47" i="9"/>
  <c r="AC4" i="9"/>
  <c r="Y17" i="9"/>
  <c r="L28" i="9"/>
  <c r="L36" i="9"/>
  <c r="R11" i="9"/>
  <c r="U24" i="9"/>
  <c r="U11" i="9"/>
  <c r="U30" i="9"/>
  <c r="X41" i="9"/>
  <c r="AB49" i="9"/>
  <c r="X59" i="9"/>
  <c r="M9" i="9"/>
  <c r="AC29" i="9"/>
  <c r="Z40" i="9"/>
  <c r="T49" i="9"/>
  <c r="Z11" i="9"/>
  <c r="O32" i="9"/>
  <c r="R40" i="9"/>
  <c r="AB19" i="9"/>
  <c r="Y30" i="9"/>
  <c r="O38" i="9"/>
  <c r="N44" i="9"/>
  <c r="X49" i="9"/>
  <c r="T55" i="9"/>
  <c r="V26" i="9"/>
  <c r="AA41" i="9"/>
  <c r="R51" i="9"/>
  <c r="Y13" i="9"/>
  <c r="Y35" i="9"/>
  <c r="Y45" i="9"/>
  <c r="AA55" i="9"/>
  <c r="AB61" i="9"/>
  <c r="N67" i="9"/>
  <c r="V71" i="9"/>
  <c r="V75" i="9"/>
  <c r="J80" i="9"/>
  <c r="R84" i="9"/>
  <c r="R88" i="9"/>
  <c r="Z92" i="9"/>
  <c r="R96" i="9"/>
  <c r="Y21" i="9"/>
  <c r="V33" i="9"/>
  <c r="T41" i="9"/>
  <c r="Q47" i="9"/>
  <c r="N53" i="9"/>
  <c r="AA57" i="9"/>
  <c r="T61" i="9"/>
  <c r="M65" i="9"/>
  <c r="S68" i="9"/>
  <c r="W71" i="9"/>
  <c r="X14" i="9"/>
  <c r="X30" i="9"/>
  <c r="L39" i="9"/>
  <c r="N45" i="9"/>
  <c r="L51" i="9"/>
  <c r="U56" i="9"/>
  <c r="N60" i="9"/>
  <c r="AA63" i="9"/>
  <c r="P67" i="9"/>
  <c r="T70" i="9"/>
  <c r="Q7" i="9"/>
  <c r="R26" i="9"/>
  <c r="O36" i="9"/>
  <c r="N43" i="9"/>
  <c r="L49" i="9"/>
  <c r="AA54" i="9"/>
  <c r="AC58" i="9"/>
  <c r="V62" i="9"/>
  <c r="N66" i="9"/>
  <c r="S4" i="9"/>
  <c r="W11" i="9"/>
  <c r="S20" i="9"/>
  <c r="P5" i="9"/>
  <c r="T14" i="9"/>
  <c r="AB22" i="9"/>
  <c r="W8" i="9"/>
  <c r="K17" i="9"/>
  <c r="X2" i="9"/>
  <c r="R17" i="9"/>
  <c r="P28" i="9"/>
  <c r="N11" i="9"/>
  <c r="S24" i="9"/>
  <c r="K32" i="9"/>
  <c r="AA40" i="9"/>
  <c r="AA48" i="9"/>
  <c r="U5" i="9"/>
  <c r="Q18" i="9"/>
  <c r="T28" i="9"/>
  <c r="X37" i="9"/>
  <c r="AC13" i="9"/>
  <c r="Y25" i="9"/>
  <c r="Z12" i="9"/>
  <c r="M32" i="9"/>
  <c r="AA4" i="9"/>
  <c r="AA12" i="9"/>
  <c r="O21" i="9"/>
  <c r="X7" i="9"/>
  <c r="AB14" i="9"/>
  <c r="X23" i="9"/>
  <c r="K9" i="9"/>
  <c r="O18" i="9"/>
  <c r="AB5" i="9"/>
  <c r="J18" i="9"/>
  <c r="X28" i="9"/>
  <c r="AB11" i="9"/>
  <c r="W25" i="9"/>
  <c r="K34" i="9"/>
  <c r="W41" i="9"/>
  <c r="K50" i="9"/>
  <c r="Z6" i="9"/>
  <c r="AC20" i="9"/>
  <c r="L30" i="9"/>
  <c r="L38" i="9"/>
  <c r="V14" i="9"/>
  <c r="M26" i="9"/>
  <c r="AC17" i="9"/>
  <c r="O34" i="9"/>
  <c r="AA6" i="9"/>
  <c r="AA14" i="9"/>
  <c r="AA22" i="9"/>
  <c r="X9" i="9"/>
  <c r="X17" i="9"/>
  <c r="AA3" i="9"/>
  <c r="AA11" i="9"/>
  <c r="AA19" i="9"/>
  <c r="R8" i="9"/>
  <c r="U22" i="9"/>
  <c r="P2" i="9"/>
  <c r="Q16" i="9"/>
  <c r="S26" i="9"/>
  <c r="W35" i="9"/>
  <c r="K44" i="9"/>
  <c r="W51" i="9"/>
  <c r="X10" i="9"/>
  <c r="Z22" i="9"/>
  <c r="T32" i="9"/>
  <c r="P6" i="9"/>
  <c r="S6" i="9"/>
  <c r="P3" i="9"/>
  <c r="O4" i="9"/>
  <c r="M7" i="9"/>
  <c r="Y6" i="9"/>
  <c r="K36" i="9"/>
  <c r="J10" i="9"/>
  <c r="P33" i="9"/>
  <c r="Y27" i="9"/>
  <c r="Y34" i="9"/>
  <c r="V47" i="9"/>
  <c r="L60" i="9"/>
  <c r="M18" i="9"/>
  <c r="J37" i="9"/>
  <c r="Z51" i="9"/>
  <c r="J22" i="9"/>
  <c r="M38" i="9"/>
  <c r="R22" i="9"/>
  <c r="AC33" i="9"/>
  <c r="AB41" i="9"/>
  <c r="M50" i="9"/>
  <c r="V7" i="9"/>
  <c r="P36" i="9"/>
  <c r="L52" i="9"/>
  <c r="V25" i="9"/>
  <c r="AB42" i="9"/>
  <c r="R56" i="9"/>
  <c r="Y63" i="9"/>
  <c r="J70" i="9"/>
  <c r="R76" i="9"/>
  <c r="V81" i="9"/>
  <c r="Z86" i="9"/>
  <c r="N93" i="9"/>
  <c r="AC8" i="9"/>
  <c r="R30" i="9"/>
  <c r="O42" i="9"/>
  <c r="U49" i="9"/>
  <c r="S56" i="9"/>
  <c r="AC61" i="9"/>
  <c r="S66" i="9"/>
  <c r="S70" i="9"/>
  <c r="N17" i="9"/>
  <c r="AB33" i="9"/>
  <c r="J43" i="9"/>
  <c r="AA51" i="9"/>
  <c r="AB57" i="9"/>
  <c r="S62" i="9"/>
  <c r="X67" i="9"/>
  <c r="X71" i="9"/>
  <c r="M20" i="9"/>
  <c r="Q37" i="9"/>
  <c r="S45" i="9"/>
  <c r="Y52" i="9"/>
  <c r="R59" i="9"/>
  <c r="AC63" i="9"/>
  <c r="U8" i="9"/>
  <c r="V41" i="9"/>
  <c r="X56" i="9"/>
  <c r="J64" i="9"/>
  <c r="AC69" i="9"/>
  <c r="T74" i="9"/>
  <c r="M78" i="9"/>
  <c r="Z81" i="9"/>
  <c r="S85" i="9"/>
  <c r="L89" i="9"/>
  <c r="Y92" i="9"/>
  <c r="P32" i="9"/>
  <c r="L50" i="9"/>
  <c r="X60" i="9"/>
  <c r="Y67" i="9"/>
  <c r="Y72" i="9"/>
  <c r="T76" i="9"/>
  <c r="M80" i="9"/>
  <c r="Z83" i="9"/>
  <c r="S87" i="9"/>
  <c r="L91" i="9"/>
  <c r="Y94" i="9"/>
  <c r="N98" i="9"/>
  <c r="Q12" i="9"/>
  <c r="X42" i="9"/>
  <c r="M57" i="9"/>
  <c r="S64" i="9"/>
  <c r="P70" i="9"/>
  <c r="X74" i="9"/>
  <c r="Q78" i="9"/>
  <c r="K82" i="9"/>
  <c r="X85" i="9"/>
  <c r="Q89" i="9"/>
  <c r="J93" i="9"/>
  <c r="W96" i="9"/>
  <c r="AA99" i="9"/>
  <c r="J33" i="9"/>
  <c r="X50" i="9"/>
  <c r="AA60" i="9"/>
  <c r="AA67" i="9"/>
  <c r="AC72" i="9"/>
  <c r="V76" i="9"/>
  <c r="O80" i="9"/>
  <c r="AB83" i="9"/>
  <c r="U87" i="9"/>
  <c r="O91" i="9"/>
  <c r="AB94" i="9"/>
  <c r="P98" i="9"/>
  <c r="AC14" i="9"/>
  <c r="R43" i="9"/>
  <c r="T57" i="9"/>
  <c r="W7" i="9"/>
  <c r="L8" i="9"/>
  <c r="AA5" i="9"/>
  <c r="Q10" i="9"/>
  <c r="L15" i="9"/>
  <c r="O37" i="9"/>
  <c r="V12" i="9"/>
  <c r="L3" i="9"/>
  <c r="AC28" i="9"/>
  <c r="AC36" i="9"/>
  <c r="J49" i="9"/>
  <c r="P61" i="9"/>
  <c r="R19" i="9"/>
  <c r="J38" i="9"/>
  <c r="X52" i="9"/>
  <c r="Q23" i="9"/>
  <c r="V38" i="9"/>
  <c r="Y23" i="9"/>
  <c r="U34" i="9"/>
  <c r="Q42" i="9"/>
  <c r="T51" i="9"/>
  <c r="Q15" i="9"/>
  <c r="Q39" i="9"/>
  <c r="T53" i="9"/>
  <c r="Z28" i="9"/>
  <c r="P44" i="9"/>
  <c r="AA56" i="9"/>
  <c r="N64" i="9"/>
  <c r="R70" i="9"/>
  <c r="Z76" i="9"/>
  <c r="J82" i="9"/>
  <c r="V87" i="9"/>
  <c r="J94" i="9"/>
  <c r="T11" i="9"/>
  <c r="T31" i="9"/>
  <c r="AC42" i="9"/>
  <c r="O50" i="9"/>
  <c r="AC56" i="9"/>
  <c r="R62" i="9"/>
  <c r="AA66" i="9"/>
  <c r="AA70" i="9"/>
  <c r="Z19" i="9"/>
  <c r="J35" i="9"/>
  <c r="Z43" i="9"/>
  <c r="U52" i="9"/>
  <c r="Q58" i="9"/>
  <c r="AC62" i="9"/>
  <c r="L68" i="9"/>
  <c r="L72" i="9"/>
  <c r="X22" i="9"/>
  <c r="Q38" i="9"/>
  <c r="M46" i="9"/>
  <c r="S53" i="9"/>
  <c r="AA59" i="9"/>
  <c r="R64" i="9"/>
  <c r="AC15" i="9"/>
  <c r="S43" i="9"/>
  <c r="V57" i="9"/>
  <c r="AC64" i="9"/>
  <c r="W70" i="9"/>
  <c r="AC74" i="9"/>
  <c r="V78" i="9"/>
  <c r="O82" i="9"/>
  <c r="AB85" i="9"/>
  <c r="U89" i="9"/>
  <c r="O93" i="9"/>
  <c r="L35" i="9"/>
  <c r="M52" i="9"/>
  <c r="V61" i="9"/>
  <c r="P68" i="9"/>
  <c r="P73" i="9"/>
  <c r="AC76" i="9"/>
  <c r="V80" i="9"/>
  <c r="O84" i="9"/>
  <c r="AB87" i="9"/>
  <c r="U91" i="9"/>
  <c r="O95" i="9"/>
  <c r="V98" i="9"/>
  <c r="Y18" i="9"/>
  <c r="V44" i="9"/>
  <c r="W9" i="9"/>
  <c r="L10" i="9"/>
  <c r="S11" i="9"/>
  <c r="J11" i="9"/>
  <c r="V17" i="9"/>
  <c r="K42" i="9"/>
  <c r="N13" i="9"/>
  <c r="AC6" i="9"/>
  <c r="M30" i="9"/>
  <c r="AC37" i="9"/>
  <c r="W52" i="9"/>
  <c r="AB62" i="9"/>
  <c r="Q24" i="9"/>
  <c r="N42" i="9"/>
  <c r="V53" i="9"/>
  <c r="Z26" i="9"/>
  <c r="N3" i="9"/>
  <c r="W24" i="9"/>
  <c r="K35" i="9"/>
  <c r="W44" i="9"/>
  <c r="AC51" i="9"/>
  <c r="AB17" i="9"/>
  <c r="U42" i="9"/>
  <c r="P54" i="9"/>
  <c r="Q30" i="9"/>
  <c r="AC47" i="9"/>
  <c r="O58" i="9"/>
  <c r="U65" i="9"/>
  <c r="J72" i="9"/>
  <c r="N77" i="9"/>
  <c r="Z82" i="9"/>
  <c r="N89" i="9"/>
  <c r="R94" i="9"/>
  <c r="J14" i="9"/>
  <c r="X34" i="9"/>
  <c r="X43" i="9"/>
  <c r="J51" i="9"/>
  <c r="P58" i="9"/>
  <c r="AA62" i="9"/>
  <c r="O67" i="9"/>
  <c r="K72" i="9"/>
  <c r="Q22" i="9"/>
  <c r="J36" i="9"/>
  <c r="AC45" i="9"/>
  <c r="P53" i="9"/>
  <c r="Z58" i="9"/>
  <c r="P64" i="9"/>
  <c r="T68" i="9"/>
  <c r="T72" i="9"/>
  <c r="J28" i="9"/>
  <c r="P39" i="9"/>
  <c r="AB46" i="9"/>
  <c r="U55" i="9"/>
  <c r="P60" i="9"/>
  <c r="AA64" i="9"/>
  <c r="V22" i="9"/>
  <c r="V45" i="9"/>
  <c r="U58" i="9"/>
  <c r="AA65" i="9"/>
  <c r="Q71" i="9"/>
  <c r="R75" i="9"/>
  <c r="K79" i="9"/>
  <c r="X82" i="9"/>
  <c r="Q86" i="9"/>
  <c r="K90" i="9"/>
  <c r="X93" i="9"/>
  <c r="Z37" i="9"/>
  <c r="M54" i="9"/>
  <c r="U62" i="9"/>
  <c r="J69" i="9"/>
  <c r="Y73" i="9"/>
  <c r="R77" i="9"/>
  <c r="K81" i="9"/>
  <c r="X84" i="9"/>
  <c r="Q88" i="9"/>
  <c r="K92" i="9"/>
  <c r="X95" i="9"/>
  <c r="J99" i="9"/>
  <c r="R25" i="9"/>
  <c r="R46" i="9"/>
  <c r="J59" i="9"/>
  <c r="O66" i="9"/>
  <c r="U71" i="9"/>
  <c r="W75" i="9"/>
  <c r="P79" i="9"/>
  <c r="AC82" i="9"/>
  <c r="S14" i="9"/>
  <c r="AB10" i="9"/>
  <c r="S13" i="9"/>
  <c r="X18" i="9"/>
  <c r="U19" i="9"/>
  <c r="AA44" i="9"/>
  <c r="N22" i="9"/>
  <c r="Z8" i="9"/>
  <c r="V2" i="9"/>
  <c r="T38" i="9"/>
  <c r="L53" i="9"/>
  <c r="P63" i="9"/>
  <c r="Y26" i="9"/>
  <c r="W42" i="9"/>
  <c r="AC54" i="9"/>
  <c r="V27" i="9"/>
  <c r="Q8" i="9"/>
  <c r="K27" i="9"/>
  <c r="W36" i="9"/>
  <c r="U45" i="9"/>
  <c r="AB52" i="9"/>
  <c r="J23" i="9"/>
  <c r="Q43" i="9"/>
  <c r="J55" i="9"/>
  <c r="S31" i="9"/>
  <c r="X48" i="9"/>
  <c r="X58" i="9"/>
  <c r="J66" i="9"/>
  <c r="R72" i="9"/>
  <c r="J78" i="9"/>
  <c r="N83" i="9"/>
  <c r="V89" i="9"/>
  <c r="Z94" i="9"/>
  <c r="V16" i="9"/>
  <c r="Z35" i="9"/>
  <c r="Q44" i="9"/>
  <c r="X51" i="9"/>
  <c r="Y58" i="9"/>
  <c r="Q63" i="9"/>
  <c r="W67" i="9"/>
  <c r="S72" i="9"/>
  <c r="V24" i="9"/>
  <c r="L37" i="9"/>
  <c r="W46" i="9"/>
  <c r="AC53" i="9"/>
  <c r="O59" i="9"/>
  <c r="Y64" i="9"/>
  <c r="AB68" i="9"/>
  <c r="N2" i="9"/>
  <c r="V29" i="9"/>
  <c r="N40" i="9"/>
  <c r="U47" i="9"/>
  <c r="N56" i="9"/>
  <c r="Y60" i="9"/>
  <c r="Q65" i="9"/>
  <c r="M27" i="9"/>
  <c r="T47" i="9"/>
  <c r="S59" i="9"/>
  <c r="W66" i="9"/>
  <c r="AB71" i="9"/>
  <c r="AA75" i="9"/>
  <c r="T79" i="9"/>
  <c r="M83" i="9"/>
  <c r="AA86" i="9"/>
  <c r="T90" i="9"/>
  <c r="X4" i="9"/>
  <c r="T40" i="9"/>
  <c r="Z55" i="9"/>
  <c r="S63" i="9"/>
  <c r="U69" i="9"/>
  <c r="N74" i="9"/>
  <c r="AA77" i="9"/>
  <c r="T81" i="9"/>
  <c r="M85" i="9"/>
  <c r="AA88" i="9"/>
  <c r="T92" i="9"/>
  <c r="M96" i="9"/>
  <c r="R99" i="9"/>
  <c r="U29" i="9"/>
  <c r="S16" i="9"/>
  <c r="L16" i="9"/>
  <c r="AA13" i="9"/>
  <c r="M23" i="9"/>
  <c r="K26" i="9"/>
  <c r="W45" i="9"/>
  <c r="P25" i="9"/>
  <c r="M17" i="9"/>
  <c r="N19" i="9"/>
  <c r="V42" i="9"/>
  <c r="AB54" i="9"/>
  <c r="AB64" i="9"/>
  <c r="V30" i="9"/>
  <c r="J44" i="9"/>
  <c r="Q55" i="9"/>
  <c r="Y32" i="9"/>
  <c r="V9" i="9"/>
  <c r="AA27" i="9"/>
  <c r="X38" i="9"/>
  <c r="J46" i="9"/>
  <c r="Q53" i="9"/>
  <c r="J31" i="9"/>
  <c r="O17" i="9"/>
  <c r="L18" i="9"/>
  <c r="W18" i="9"/>
  <c r="L25" i="9"/>
  <c r="AA28" i="9"/>
  <c r="O51" i="9"/>
  <c r="L26" i="9"/>
  <c r="R18" i="9"/>
  <c r="Z21" i="9"/>
  <c r="AC43" i="9"/>
  <c r="P55" i="9"/>
  <c r="X65" i="9"/>
  <c r="Z33" i="9"/>
  <c r="AA45" i="9"/>
  <c r="M4" i="9"/>
  <c r="Q34" i="9"/>
  <c r="N12" i="9"/>
  <c r="S29" i="9"/>
  <c r="M39" i="9"/>
  <c r="T46" i="9"/>
  <c r="Z53" i="9"/>
  <c r="J32" i="9"/>
  <c r="N46" i="9"/>
  <c r="J6" i="9"/>
  <c r="Z38" i="9"/>
  <c r="AC50" i="9"/>
  <c r="K60" i="9"/>
  <c r="R68" i="9"/>
  <c r="V73" i="9"/>
  <c r="Z78" i="9"/>
  <c r="N85" i="9"/>
  <c r="Z90" i="9"/>
  <c r="V95" i="9"/>
  <c r="Z25" i="9"/>
  <c r="AB37" i="9"/>
  <c r="AB45" i="9"/>
  <c r="W54" i="9"/>
  <c r="W59" i="9"/>
  <c r="O64" i="9"/>
  <c r="O69" i="9"/>
  <c r="R4" i="9"/>
  <c r="Z27" i="9"/>
  <c r="AB40" i="9"/>
  <c r="N48" i="9"/>
  <c r="R55" i="9"/>
  <c r="L61" i="9"/>
  <c r="W65" i="9"/>
  <c r="X69" i="9"/>
  <c r="R12" i="9"/>
  <c r="AC31" i="9"/>
  <c r="Z41" i="9"/>
  <c r="U50" i="9"/>
  <c r="L57" i="9"/>
  <c r="W61" i="9"/>
  <c r="J67" i="9"/>
  <c r="J34" i="9"/>
  <c r="S51" i="9"/>
  <c r="O61" i="9"/>
  <c r="M68" i="9"/>
  <c r="L73" i="9"/>
  <c r="Y76" i="9"/>
  <c r="S80" i="9"/>
  <c r="L84" i="9"/>
  <c r="Y87" i="9"/>
  <c r="R91" i="9"/>
  <c r="U18" i="9"/>
  <c r="O44" i="9"/>
  <c r="AC57" i="9"/>
  <c r="O65" i="9"/>
  <c r="AC70" i="9"/>
  <c r="L75" i="9"/>
  <c r="Y78" i="9"/>
  <c r="S82" i="9"/>
  <c r="L86" i="9"/>
  <c r="Y89" i="9"/>
  <c r="R93" i="9"/>
  <c r="J97" i="9"/>
  <c r="N100" i="9"/>
  <c r="T35" i="9"/>
  <c r="P52" i="9"/>
  <c r="Y61" i="9"/>
  <c r="Q68" i="9"/>
  <c r="Q73" i="9"/>
  <c r="J77" i="9"/>
  <c r="W80" i="9"/>
  <c r="X19" i="9"/>
  <c r="K52" i="9"/>
  <c r="R44" i="9"/>
  <c r="P46" i="9"/>
  <c r="Q32" i="9"/>
  <c r="N34" i="9"/>
  <c r="AA37" i="9"/>
  <c r="O63" i="9"/>
  <c r="R80" i="9"/>
  <c r="N95" i="9"/>
  <c r="Z39" i="9"/>
  <c r="M60" i="9"/>
  <c r="AA72" i="9"/>
  <c r="P42" i="9"/>
  <c r="U61" i="9"/>
  <c r="AB9" i="9"/>
  <c r="X44" i="9"/>
  <c r="K63" i="9"/>
  <c r="Q49" i="9"/>
  <c r="R69" i="9"/>
  <c r="AB80" i="9"/>
  <c r="AC90" i="9"/>
  <c r="O48" i="9"/>
  <c r="T71" i="9"/>
  <c r="AC81" i="9"/>
  <c r="W90" i="9"/>
  <c r="V100" i="9"/>
  <c r="K56" i="9"/>
  <c r="Z67" i="9"/>
  <c r="M75" i="9"/>
  <c r="L81" i="9"/>
  <c r="M86" i="9"/>
  <c r="O90" i="9"/>
  <c r="Q94" i="9"/>
  <c r="O98" i="9"/>
  <c r="J20" i="9"/>
  <c r="Z46" i="9"/>
  <c r="AC59" i="9"/>
  <c r="U68" i="9"/>
  <c r="AA73" i="9"/>
  <c r="AC77" i="9"/>
  <c r="L82" i="9"/>
  <c r="N86" i="9"/>
  <c r="P90" i="9"/>
  <c r="S94" i="9"/>
  <c r="X98" i="9"/>
  <c r="J27" i="9"/>
  <c r="P49" i="9"/>
  <c r="M61" i="9"/>
  <c r="AC67" i="9"/>
  <c r="K73" i="9"/>
  <c r="X76" i="9"/>
  <c r="Q80" i="9"/>
  <c r="K84" i="9"/>
  <c r="X87" i="9"/>
  <c r="Q91" i="9"/>
  <c r="J95" i="9"/>
  <c r="R98" i="9"/>
  <c r="N16" i="9"/>
  <c r="P62" i="9"/>
  <c r="N76" i="9"/>
  <c r="AC85" i="9"/>
  <c r="M95" i="9"/>
  <c r="T17" i="9"/>
  <c r="Y62" i="9"/>
  <c r="Q76" i="9"/>
  <c r="K86" i="9"/>
  <c r="R95" i="9"/>
  <c r="L21" i="9"/>
  <c r="M63" i="9"/>
  <c r="S76" i="9"/>
  <c r="O86" i="9"/>
  <c r="T95" i="9"/>
  <c r="Z9" i="9"/>
  <c r="AA95" i="9"/>
  <c r="W55" i="9"/>
  <c r="J73" i="9"/>
  <c r="Y82" i="9"/>
  <c r="S92" i="9"/>
  <c r="X99" i="9"/>
  <c r="Q56" i="9"/>
  <c r="M73" i="9"/>
  <c r="AA82" i="9"/>
  <c r="Z93" i="9"/>
  <c r="U100" i="9"/>
  <c r="K64" i="9"/>
  <c r="R79" i="9"/>
  <c r="AC94" i="9"/>
  <c r="AC27" i="9"/>
  <c r="M64" i="9"/>
  <c r="L77" i="9"/>
  <c r="AB86" i="9"/>
  <c r="AC95" i="9"/>
  <c r="V28" i="9"/>
  <c r="V64" i="9"/>
  <c r="T78" i="9"/>
  <c r="O88" i="9"/>
  <c r="AB96" i="9"/>
  <c r="AA94" i="9"/>
  <c r="Z30" i="9"/>
  <c r="W68" i="9"/>
  <c r="M77" i="9"/>
  <c r="AA80" i="9"/>
  <c r="M88" i="9"/>
  <c r="Z91" i="9"/>
  <c r="Z98" i="9"/>
  <c r="P30" i="9"/>
  <c r="Q77" i="9"/>
  <c r="M87" i="9"/>
  <c r="L96" i="9"/>
  <c r="K65" i="9"/>
  <c r="U77" i="9"/>
  <c r="Q87" i="9"/>
  <c r="P96" i="9"/>
  <c r="T65" i="9"/>
  <c r="Y77" i="9"/>
  <c r="R87" i="9"/>
  <c r="M70" i="9"/>
  <c r="M99" i="9"/>
  <c r="M74" i="9"/>
  <c r="AC83" i="9"/>
  <c r="Y93" i="9"/>
  <c r="W58" i="9"/>
  <c r="Q74" i="9"/>
  <c r="X94" i="9"/>
  <c r="Q26" i="9"/>
  <c r="Q66" i="9"/>
  <c r="Y96" i="9"/>
  <c r="W2" i="9"/>
  <c r="S54" i="9"/>
  <c r="O46" i="9"/>
  <c r="M48" i="9"/>
  <c r="AC32" i="9"/>
  <c r="N35" i="9"/>
  <c r="Y39" i="9"/>
  <c r="V67" i="9"/>
  <c r="N81" i="9"/>
  <c r="Z3" i="9"/>
  <c r="M45" i="9"/>
  <c r="V60" i="9"/>
  <c r="J7" i="9"/>
  <c r="S47" i="9"/>
  <c r="J62" i="9"/>
  <c r="J15" i="9"/>
  <c r="Z49" i="9"/>
  <c r="T63" i="9"/>
  <c r="R53" i="9"/>
  <c r="V72" i="9"/>
  <c r="Q81" i="9"/>
  <c r="AA91" i="9"/>
  <c r="K57" i="9"/>
  <c r="N72" i="9"/>
  <c r="AB82" i="9"/>
  <c r="AC92" i="9"/>
  <c r="Y5" i="9"/>
  <c r="K58" i="9"/>
  <c r="K69" i="9"/>
  <c r="L76" i="9"/>
  <c r="U81" i="9"/>
  <c r="V86" i="9"/>
  <c r="X90" i="9"/>
  <c r="W98" i="9"/>
  <c r="U25" i="9"/>
  <c r="W48" i="9"/>
  <c r="Z61" i="9"/>
  <c r="L69" i="9"/>
  <c r="P74" i="9"/>
  <c r="S78" i="9"/>
  <c r="U82" i="9"/>
  <c r="W86" i="9"/>
  <c r="Y90" i="9"/>
  <c r="Q95" i="9"/>
  <c r="L99" i="9"/>
  <c r="M51" i="9"/>
  <c r="K62" i="9"/>
  <c r="T73" i="9"/>
  <c r="T84" i="9"/>
  <c r="S95" i="9"/>
  <c r="J65" i="9"/>
  <c r="R31" i="9"/>
  <c r="AB31" i="9"/>
  <c r="S96" i="9"/>
  <c r="V58" i="9"/>
  <c r="T100" i="9"/>
  <c r="M84" i="9"/>
  <c r="S21" i="9"/>
  <c r="P31" i="9"/>
  <c r="L56" i="9"/>
  <c r="L13" i="9"/>
  <c r="U40" i="9"/>
  <c r="T45" i="9"/>
  <c r="L42" i="9"/>
  <c r="Z68" i="9"/>
  <c r="Z84" i="9"/>
  <c r="Q6" i="9"/>
  <c r="J48" i="9"/>
  <c r="Z63" i="9"/>
  <c r="U9" i="9"/>
  <c r="AB48" i="9"/>
  <c r="N65" i="9"/>
  <c r="U17" i="9"/>
  <c r="N51" i="9"/>
  <c r="V66" i="9"/>
  <c r="M55" i="9"/>
  <c r="U73" i="9"/>
  <c r="W83" i="9"/>
  <c r="P92" i="9"/>
  <c r="AA58" i="9"/>
  <c r="W74" i="9"/>
  <c r="Q83" i="9"/>
  <c r="AA93" i="9"/>
  <c r="R32" i="9"/>
  <c r="AB59" i="9"/>
  <c r="Y69" i="9"/>
  <c r="U76" i="9"/>
  <c r="T82" i="9"/>
  <c r="K87" i="9"/>
  <c r="M91" i="9"/>
  <c r="P95" i="9"/>
  <c r="K99" i="9"/>
  <c r="N30" i="9"/>
  <c r="V52" i="9"/>
  <c r="X62" i="9"/>
  <c r="Z69" i="9"/>
  <c r="Y74" i="9"/>
  <c r="AB78" i="9"/>
  <c r="J83" i="9"/>
  <c r="L87" i="9"/>
  <c r="X91" i="9"/>
  <c r="Z95" i="9"/>
  <c r="T99" i="9"/>
  <c r="T33" i="9"/>
  <c r="J53" i="9"/>
  <c r="J63" i="9"/>
  <c r="Q69" i="9"/>
  <c r="AC73" i="9"/>
  <c r="W77" i="9"/>
  <c r="P81" i="9"/>
  <c r="AC84" i="9"/>
  <c r="V88" i="9"/>
  <c r="O92" i="9"/>
  <c r="AB95" i="9"/>
  <c r="N99" i="9"/>
  <c r="V37" i="9"/>
  <c r="M67" i="9"/>
  <c r="W78" i="9"/>
  <c r="P88" i="9"/>
  <c r="AC96" i="9"/>
  <c r="Y38" i="9"/>
  <c r="T67" i="9"/>
  <c r="X78" i="9"/>
  <c r="U88" i="9"/>
  <c r="M97" i="9"/>
  <c r="X39" i="9"/>
  <c r="U67" i="9"/>
  <c r="AC78" i="9"/>
  <c r="X88" i="9"/>
  <c r="O97" i="9"/>
  <c r="N78" i="9"/>
  <c r="R3" i="9"/>
  <c r="AC60" i="9"/>
  <c r="S75" i="9"/>
  <c r="L85" i="9"/>
  <c r="W94" i="9"/>
  <c r="N7" i="9"/>
  <c r="Q61" i="9"/>
  <c r="T75" i="9"/>
  <c r="Q85" i="9"/>
  <c r="W95" i="9"/>
  <c r="AC41" i="9"/>
  <c r="AA21" i="9"/>
  <c r="AB32" i="9"/>
  <c r="L58" i="9"/>
  <c r="Q14" i="9"/>
  <c r="J41" i="9"/>
  <c r="Y47" i="9"/>
  <c r="N50" i="9"/>
  <c r="N69" i="9"/>
  <c r="J86" i="9"/>
  <c r="N24" i="9"/>
  <c r="Z48" i="9"/>
  <c r="V65" i="9"/>
  <c r="N26" i="9"/>
  <c r="V49" i="9"/>
  <c r="L66" i="9"/>
  <c r="AC30" i="9"/>
  <c r="J52" i="9"/>
  <c r="R67" i="9"/>
  <c r="Q60" i="9"/>
  <c r="K74" i="9"/>
  <c r="U84" i="9"/>
  <c r="L11" i="9"/>
  <c r="Z59" i="9"/>
  <c r="U75" i="9"/>
  <c r="W85" i="9"/>
  <c r="P94" i="9"/>
  <c r="P38" i="9"/>
  <c r="Z60" i="9"/>
  <c r="J71" i="9"/>
  <c r="S77" i="9"/>
  <c r="R83" i="9"/>
  <c r="T87" i="9"/>
  <c r="W91" i="9"/>
  <c r="Y95" i="9"/>
  <c r="S99" i="9"/>
  <c r="V35" i="9"/>
  <c r="R54" i="9"/>
  <c r="V63" i="9"/>
  <c r="Q70" i="9"/>
  <c r="O75" i="9"/>
  <c r="Q79" i="9"/>
  <c r="S83" i="9"/>
  <c r="K88" i="9"/>
  <c r="M92" i="9"/>
  <c r="O96" i="9"/>
  <c r="AB99" i="9"/>
  <c r="V36" i="9"/>
  <c r="K55" i="9"/>
  <c r="AB63" i="9"/>
  <c r="AB69" i="9"/>
  <c r="S74" i="9"/>
  <c r="L78" i="9"/>
  <c r="Y81" i="9"/>
  <c r="R85" i="9"/>
  <c r="K89" i="9"/>
  <c r="X92" i="9"/>
  <c r="Q96" i="9"/>
  <c r="V99" i="9"/>
  <c r="AA43" i="9"/>
  <c r="AC68" i="9"/>
  <c r="AA79" i="9"/>
  <c r="W89" i="9"/>
  <c r="Y97" i="9"/>
  <c r="M44" i="9"/>
  <c r="M69" i="9"/>
  <c r="K80" i="9"/>
  <c r="X89" i="9"/>
  <c r="AC97" i="9"/>
  <c r="J45" i="9"/>
  <c r="S69" i="9"/>
  <c r="L80" i="9"/>
  <c r="AB89" i="9"/>
  <c r="K98" i="9"/>
  <c r="K83" i="9"/>
  <c r="V23" i="9"/>
  <c r="N63" i="9"/>
  <c r="W76" i="9"/>
  <c r="S86" i="9"/>
  <c r="U95" i="9"/>
  <c r="AB23" i="9"/>
  <c r="W63" i="9"/>
  <c r="AA76" i="9"/>
  <c r="T86" i="9"/>
  <c r="U96" i="9"/>
  <c r="K47" i="9"/>
  <c r="Z71" i="9"/>
  <c r="N84" i="9"/>
  <c r="AC99" i="9"/>
  <c r="Z47" i="9"/>
  <c r="N70" i="9"/>
  <c r="Y80" i="9"/>
  <c r="U90" i="9"/>
  <c r="S98" i="9"/>
  <c r="AB47" i="9"/>
  <c r="U70" i="9"/>
  <c r="M82" i="9"/>
  <c r="AB91" i="9"/>
  <c r="P99" i="9"/>
  <c r="AB29" i="9"/>
  <c r="L19" i="9"/>
  <c r="Y11" i="9"/>
  <c r="AC34" i="9"/>
  <c r="AA47" i="9"/>
  <c r="R48" i="9"/>
  <c r="V51" i="9"/>
  <c r="N73" i="9"/>
  <c r="R86" i="9"/>
  <c r="R27" i="9"/>
  <c r="AB53" i="9"/>
  <c r="K66" i="9"/>
  <c r="Z31" i="9"/>
  <c r="Y54" i="9"/>
  <c r="T66" i="9"/>
  <c r="K33" i="9"/>
  <c r="W56" i="9"/>
  <c r="M2" i="9"/>
  <c r="N62" i="9"/>
  <c r="P76" i="9"/>
  <c r="J85" i="9"/>
  <c r="Y24" i="9"/>
  <c r="Q64" i="9"/>
  <c r="K76" i="9"/>
  <c r="U86" i="9"/>
  <c r="V96" i="9"/>
  <c r="V40" i="9"/>
  <c r="W62" i="9"/>
  <c r="O72" i="9"/>
  <c r="AB77" i="9"/>
  <c r="AA83" i="9"/>
  <c r="AC87" i="9"/>
  <c r="L92" i="9"/>
  <c r="N4" i="9"/>
  <c r="R36" i="9"/>
  <c r="P16" i="9"/>
  <c r="J90" i="9"/>
  <c r="N59" i="9"/>
  <c r="S57" i="9"/>
  <c r="U57" i="9"/>
  <c r="X68" i="9"/>
  <c r="R42" i="9"/>
  <c r="J87" i="9"/>
  <c r="Q54" i="9"/>
  <c r="Y79" i="9"/>
  <c r="U92" i="9"/>
  <c r="W100" i="9"/>
  <c r="N57" i="9"/>
  <c r="Y71" i="9"/>
  <c r="X80" i="9"/>
  <c r="AC88" i="9"/>
  <c r="L97" i="9"/>
  <c r="Q41" i="9"/>
  <c r="Y65" i="9"/>
  <c r="Q75" i="9"/>
  <c r="W82" i="9"/>
  <c r="AC89" i="9"/>
  <c r="N97" i="9"/>
  <c r="Y53" i="9"/>
  <c r="P82" i="9"/>
  <c r="Q99" i="9"/>
  <c r="W72" i="9"/>
  <c r="N92" i="9"/>
  <c r="S55" i="9"/>
  <c r="V82" i="9"/>
  <c r="W99" i="9"/>
  <c r="M40" i="9"/>
  <c r="L79" i="9"/>
  <c r="P97" i="9"/>
  <c r="N68" i="9"/>
  <c r="M90" i="9"/>
  <c r="Y56" i="9"/>
  <c r="U80" i="9"/>
  <c r="V34" i="9"/>
  <c r="AA61" i="9"/>
  <c r="U79" i="9"/>
  <c r="AB92" i="9"/>
  <c r="V13" i="9"/>
  <c r="Y68" i="9"/>
  <c r="V84" i="9"/>
  <c r="K96" i="9"/>
  <c r="O29" i="9"/>
  <c r="AC35" i="9"/>
  <c r="AC23" i="9"/>
  <c r="N91" i="9"/>
  <c r="AA68" i="9"/>
  <c r="W60" i="9"/>
  <c r="J58" i="9"/>
  <c r="O77" i="9"/>
  <c r="Q46" i="9"/>
  <c r="P89" i="9"/>
  <c r="U63" i="9"/>
  <c r="N80" i="9"/>
  <c r="S93" i="9"/>
  <c r="AC5" i="9"/>
  <c r="M58" i="9"/>
  <c r="P72" i="9"/>
  <c r="M81" i="9"/>
  <c r="R89" i="9"/>
  <c r="T97" i="9"/>
  <c r="P45" i="9"/>
  <c r="U66" i="9"/>
  <c r="Z75" i="9"/>
  <c r="L83" i="9"/>
  <c r="S90" i="9"/>
  <c r="V97" i="9"/>
  <c r="W57" i="9"/>
  <c r="T83" i="9"/>
  <c r="M100" i="9"/>
  <c r="AB73" i="9"/>
  <c r="Q93" i="9"/>
  <c r="N58" i="9"/>
  <c r="Y83" i="9"/>
  <c r="S100" i="9"/>
  <c r="X45" i="9"/>
  <c r="P80" i="9"/>
  <c r="L98" i="9"/>
  <c r="AA69" i="9"/>
  <c r="S91" i="9"/>
  <c r="L59" i="9"/>
  <c r="AA81" i="9"/>
  <c r="U97" i="9"/>
  <c r="X66" i="9"/>
  <c r="AB81" i="9"/>
  <c r="M94" i="9"/>
  <c r="N37" i="9"/>
  <c r="M72" i="9"/>
  <c r="Z85" i="9"/>
  <c r="X97" i="9"/>
  <c r="S71" i="9"/>
  <c r="T85" i="9"/>
  <c r="V68" i="9"/>
  <c r="O83" i="9"/>
  <c r="K95" i="9"/>
  <c r="W73" i="9"/>
  <c r="AC86" i="9"/>
  <c r="T98" i="9"/>
  <c r="P22" i="9"/>
  <c r="V59" i="9"/>
  <c r="J29" i="9"/>
  <c r="K70" i="9"/>
  <c r="AB70" i="9"/>
  <c r="N31" i="9"/>
  <c r="AC79" i="9"/>
  <c r="AC66" i="9"/>
  <c r="R97" i="9"/>
  <c r="K67" i="9"/>
  <c r="Y84" i="9"/>
  <c r="N96" i="9"/>
  <c r="W38" i="9"/>
  <c r="U64" i="9"/>
  <c r="X75" i="9"/>
  <c r="Q84" i="9"/>
  <c r="P100" i="9"/>
  <c r="V56" i="9"/>
  <c r="V70" i="9"/>
  <c r="U78" i="9"/>
  <c r="M93" i="9"/>
  <c r="J100" i="9"/>
  <c r="AA90" i="9"/>
  <c r="O81" i="9"/>
  <c r="L71" i="9"/>
  <c r="X86" i="9"/>
  <c r="W87" i="9"/>
  <c r="K78" i="9"/>
  <c r="O68" i="9"/>
  <c r="N36" i="9"/>
  <c r="AA96" i="9"/>
  <c r="AA74" i="9"/>
  <c r="L100" i="9"/>
  <c r="J57" i="9"/>
  <c r="P56" i="9"/>
  <c r="N39" i="9"/>
  <c r="N82" i="9"/>
  <c r="J81" i="9"/>
  <c r="J91" i="9"/>
  <c r="AA98" i="9"/>
  <c r="T96" i="9"/>
  <c r="AB51" i="9"/>
  <c r="T59" i="9"/>
  <c r="AA100" i="9"/>
  <c r="L95" i="9"/>
  <c r="S34" i="9"/>
  <c r="T13" i="9"/>
  <c r="AA53" i="9"/>
  <c r="V91" i="9"/>
  <c r="W69" i="9"/>
  <c r="P69" i="9"/>
  <c r="N61" i="9"/>
  <c r="X77" i="9"/>
  <c r="M66" i="9"/>
  <c r="N90" i="9"/>
  <c r="R65" i="9"/>
  <c r="P84" i="9"/>
  <c r="AB93" i="9"/>
  <c r="R13" i="9"/>
  <c r="K59" i="9"/>
  <c r="R73" i="9"/>
  <c r="W81" i="9"/>
  <c r="AA89" i="9"/>
  <c r="AB97" i="9"/>
  <c r="L47" i="9"/>
  <c r="Q67" i="9"/>
  <c r="O76" i="9"/>
  <c r="U83" i="9"/>
  <c r="AB90" i="9"/>
  <c r="J98" i="9"/>
  <c r="J60" i="9"/>
  <c r="W84" i="9"/>
  <c r="AC100" i="9"/>
  <c r="K75" i="9"/>
  <c r="T94" i="9"/>
  <c r="S60" i="9"/>
  <c r="K85" i="9"/>
  <c r="J89" i="9"/>
  <c r="Y50" i="9"/>
  <c r="S81" i="9"/>
  <c r="AB98" i="9"/>
  <c r="W92" i="9"/>
  <c r="R61" i="9"/>
  <c r="Z10" i="9"/>
  <c r="M43" i="9"/>
  <c r="Y14" i="9"/>
  <c r="V92" i="9"/>
  <c r="AA85" i="9"/>
  <c r="X70" i="9"/>
  <c r="Y49" i="9"/>
  <c r="Y98" i="9"/>
  <c r="K91" i="9"/>
  <c r="AB65" i="9"/>
  <c r="R34" i="9"/>
  <c r="Q97" i="9"/>
  <c r="AA87" i="9"/>
  <c r="AC71" i="9"/>
  <c r="S84" i="9"/>
  <c r="X53" i="9"/>
  <c r="S89" i="9"/>
  <c r="R78" i="9"/>
  <c r="Z79" i="9"/>
  <c r="AB74" i="9"/>
  <c r="Z96" i="9"/>
  <c r="Y70" i="9"/>
  <c r="R81" i="9"/>
  <c r="Z77" i="9"/>
  <c r="Z87" i="9"/>
  <c r="Y100" i="9"/>
  <c r="Y91" i="9"/>
  <c r="P83" i="9"/>
  <c r="W26" i="9"/>
  <c r="P48" i="9"/>
  <c r="Q62" i="9"/>
  <c r="Z36" i="9"/>
  <c r="Z32" i="9"/>
  <c r="P71" i="9"/>
  <c r="X36" i="9"/>
  <c r="P87" i="9"/>
  <c r="O70" i="9"/>
  <c r="Z97" i="9"/>
  <c r="AB72" i="9"/>
  <c r="O85" i="9"/>
  <c r="K97" i="9"/>
  <c r="AC40" i="9"/>
  <c r="S65" i="9"/>
  <c r="M76" i="9"/>
  <c r="AA84" i="9"/>
  <c r="K93" i="9"/>
  <c r="X100" i="9"/>
  <c r="R58" i="9"/>
  <c r="M71" i="9"/>
  <c r="J79" i="9"/>
  <c r="P86" i="9"/>
  <c r="W93" i="9"/>
  <c r="R100" i="9"/>
  <c r="Q72" i="9"/>
  <c r="AC91" i="9"/>
  <c r="Z54" i="9"/>
  <c r="Q82" i="9"/>
  <c r="U99" i="9"/>
  <c r="X72" i="9"/>
  <c r="Q92" i="9"/>
  <c r="M89" i="9"/>
  <c r="AB67" i="9"/>
  <c r="Y88" i="9"/>
  <c r="M41" i="9"/>
  <c r="M79" i="9"/>
  <c r="M98" i="9"/>
  <c r="O73" i="9"/>
  <c r="Q90" i="9"/>
  <c r="J42" i="9"/>
  <c r="S73" i="9"/>
  <c r="U85" i="9"/>
  <c r="W97" i="9"/>
  <c r="O57" i="9"/>
  <c r="AC75" i="9"/>
  <c r="V90" i="9"/>
  <c r="AB100" i="9"/>
  <c r="S27" i="9"/>
  <c r="U2" i="9"/>
  <c r="J74" i="9"/>
  <c r="AB38" i="9"/>
  <c r="J40" i="9"/>
  <c r="M34" i="9"/>
  <c r="U39" i="9"/>
  <c r="N88" i="9"/>
  <c r="P78" i="9"/>
  <c r="Z99" i="9"/>
  <c r="Z73" i="9"/>
  <c r="S88" i="9"/>
  <c r="S97" i="9"/>
  <c r="Y42" i="9"/>
  <c r="P66" i="9"/>
  <c r="K77" i="9"/>
  <c r="P85" i="9"/>
  <c r="T93" i="9"/>
  <c r="P8" i="9"/>
  <c r="Q59" i="9"/>
  <c r="AA71" i="9"/>
  <c r="S79" i="9"/>
  <c r="Y86" i="9"/>
  <c r="L94" i="9"/>
  <c r="Z100" i="9"/>
  <c r="X73" i="9"/>
  <c r="P93" i="9"/>
  <c r="Y57" i="9"/>
  <c r="X83" i="9"/>
  <c r="Q100" i="9"/>
  <c r="L74" i="9"/>
  <c r="U93" i="9"/>
  <c r="T91" i="9"/>
  <c r="T69" i="9"/>
  <c r="L90" i="9"/>
  <c r="L46" i="9"/>
  <c r="T80" i="9"/>
  <c r="AC98" i="9"/>
  <c r="U74" i="9"/>
  <c r="AA92" i="9"/>
  <c r="AC52" i="9"/>
  <c r="V74" i="9"/>
  <c r="L88" i="9"/>
  <c r="O99" i="9"/>
  <c r="U59" i="9"/>
  <c r="W79" i="9"/>
  <c r="L93" i="9"/>
  <c r="S22" i="9"/>
  <c r="P14" i="9"/>
  <c r="L5" i="9"/>
  <c r="Z74" i="9"/>
  <c r="O55" i="9"/>
  <c r="U41" i="9"/>
  <c r="K41" i="9"/>
  <c r="L63" i="9"/>
  <c r="W88" i="9"/>
  <c r="O79" i="9"/>
  <c r="T48" i="9"/>
  <c r="O74" i="9"/>
  <c r="AB88" i="9"/>
  <c r="AA97" i="9"/>
  <c r="Z44" i="9"/>
  <c r="L67" i="9"/>
  <c r="T77" i="9"/>
  <c r="Y85" i="9"/>
  <c r="AC93" i="9"/>
  <c r="Q21" i="9"/>
  <c r="O60" i="9"/>
  <c r="U72" i="9"/>
  <c r="AB79" i="9"/>
  <c r="O87" i="9"/>
  <c r="U94" i="9"/>
  <c r="P77" i="9"/>
  <c r="J75" i="9"/>
  <c r="O94" i="9"/>
  <c r="R60" i="9"/>
  <c r="AB84" i="9"/>
  <c r="M3" i="9"/>
  <c r="P75" i="9"/>
  <c r="V94" i="9"/>
  <c r="K94" i="9"/>
  <c r="R71" i="9"/>
  <c r="P91" i="9"/>
  <c r="U51" i="9"/>
  <c r="X81" i="9"/>
  <c r="Y99" i="9"/>
  <c r="Y75" i="9"/>
  <c r="Q98" i="9"/>
  <c r="Z56" i="9"/>
  <c r="AB75" i="9"/>
  <c r="O89" i="9"/>
  <c r="K100" i="9"/>
  <c r="O62" i="9"/>
  <c r="AC80" i="9"/>
  <c r="N94" i="9"/>
  <c r="L2" i="9"/>
  <c r="P34" i="9"/>
  <c r="T3" i="9"/>
  <c r="AC55" i="9"/>
  <c r="AB43" i="9"/>
  <c r="S67" i="9"/>
  <c r="Y28" i="9"/>
  <c r="X79" i="9"/>
  <c r="T50" i="9"/>
  <c r="AA78" i="9"/>
  <c r="Z89" i="9"/>
  <c r="O100" i="9"/>
  <c r="K71" i="9"/>
  <c r="T88" i="9"/>
  <c r="X96" i="9"/>
  <c r="Z64" i="9"/>
  <c r="T89" i="9"/>
  <c r="AC48" i="9"/>
  <c r="U98" i="9"/>
  <c r="J50" i="9"/>
  <c r="R33" i="9"/>
  <c r="AC65" i="9"/>
  <c r="AB76" i="9"/>
  <c r="O78" i="9"/>
  <c r="Y66" i="9"/>
  <c r="R59" i="7"/>
  <c r="D57" i="7"/>
  <c r="Q63" i="7"/>
  <c r="Q59" i="7"/>
  <c r="D59" i="7"/>
  <c r="R52" i="7"/>
  <c r="J2" i="9" a="1"/>
  <c r="E37" i="7"/>
</calcChain>
</file>

<file path=xl/comments1.xml><?xml version="1.0" encoding="utf-8"?>
<comments xmlns="http://schemas.openxmlformats.org/spreadsheetml/2006/main">
  <authors>
    <author>Author</author>
  </authors>
  <commentList>
    <comment ref="B5" authorId="0" shapeId="0">
      <text>
        <r>
          <rPr>
            <sz val="8"/>
            <color indexed="81"/>
            <rFont val="Tahoma"/>
          </rPr>
          <t>id of the object to be created. If missing a unique id will be automatically assigned.</t>
        </r>
      </text>
    </comment>
    <comment ref="B6" authorId="0" shapeId="0">
      <text>
        <r>
          <rPr>
            <sz val="8"/>
            <color indexed="81"/>
            <rFont val="Tahoma"/>
          </rPr>
          <t>number of days to advance from EvaluationDate (usually zero or two): it fixes the date at which the discount factor = 1.0. If omitted, default = 0 is used.</t>
        </r>
      </text>
    </comment>
    <comment ref="B7" authorId="0" shapeId="0">
      <text>
        <r>
          <rPr>
            <sz val="8"/>
            <color indexed="81"/>
            <rFont val="Tahoma"/>
          </rPr>
          <t>holiday calendar (e.g. TARGET) to advance from global EvaluationDate</t>
        </r>
      </text>
    </comment>
    <comment ref="B8" authorId="0" shapeId="0">
      <text>
        <r>
          <rPr>
            <sz val="8"/>
            <color indexed="81"/>
            <rFont val="Tahoma"/>
          </rPr>
          <t>the curve level</t>
        </r>
      </text>
    </comment>
    <comment ref="B9" authorId="0" shapeId="0">
      <text>
        <r>
          <rPr>
            <sz val="8"/>
            <color indexed="81"/>
            <rFont val="Tahoma"/>
          </rPr>
          <t>DayCounter ID</t>
        </r>
      </text>
    </comment>
    <comment ref="B10" authorId="0" shapeId="0">
      <text>
        <r>
          <rPr>
            <sz val="8"/>
            <color indexed="81"/>
            <rFont val="Tahoma"/>
          </rPr>
          <t>Interest rate coumpounding rule (Simple:1+rt, Compounded:(1+r)^t, Continuous:e^{rt})</t>
        </r>
      </text>
    </comment>
    <comment ref="B11" authorId="0" shapeId="0">
      <text>
        <r>
          <rPr>
            <sz val="8"/>
            <color indexed="81"/>
            <rFont val="Tahoma"/>
          </rPr>
          <t>frequency (e.g. Annual, Semiannual, Every4Month, Quarterly, Bimonthly, Monthly). If omitted, default = Annual is used.</t>
        </r>
      </text>
    </comment>
    <comment ref="B12" authorId="0" shapeId="0">
      <text>
        <r>
          <rPr>
            <sz val="8"/>
            <color indexed="81"/>
            <rFont val="Tahoma"/>
          </rPr>
          <t>TRUE if the object must be permanent (i.e. resistant to garbage collection). Default is FALSE.</t>
        </r>
      </text>
    </comment>
    <comment ref="B13" authorId="0" shapeId="0">
      <text>
        <r>
          <rPr>
            <sz val="8"/>
            <color indexed="81"/>
            <rFont val="Tahoma"/>
          </rPr>
          <t>Dependancy tracking trigger</t>
        </r>
      </text>
    </comment>
    <comment ref="B70" authorId="0" shapeId="0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B71" authorId="0" shapeId="0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B72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73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B74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78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79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B80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B81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B82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B83" authorId="0" shape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B84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B85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86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Wird im Zerobond-Fall effektiv nicht genutzt?!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Datum doppelt zu FixSchedule
</t>
        </r>
      </text>
    </comment>
  </commentList>
</comments>
</file>

<file path=xl/sharedStrings.xml><?xml version="1.0" encoding="utf-8"?>
<sst xmlns="http://schemas.openxmlformats.org/spreadsheetml/2006/main" count="315" uniqueCount="185">
  <si>
    <t>Information</t>
  </si>
  <si>
    <t>Beschreibung</t>
  </si>
  <si>
    <t>Stand:</t>
  </si>
  <si>
    <t>Ansprechpartner:</t>
  </si>
  <si>
    <t>H04 Projektteam</t>
  </si>
  <si>
    <t>VR-Control Version</t>
  </si>
  <si>
    <t>Datenbank</t>
  </si>
  <si>
    <t>Portfolio</t>
  </si>
  <si>
    <t>Stichtag</t>
  </si>
  <si>
    <t>Reiter</t>
  </si>
  <si>
    <t xml:space="preserve">Übersicht der Anleihen </t>
  </si>
  <si>
    <t xml:space="preserve">Hier sind die Stammdaten der Instrumente tabellarisch aufgeführt </t>
  </si>
  <si>
    <t>Emissionstag</t>
  </si>
  <si>
    <t>Fälligkeit</t>
  </si>
  <si>
    <t>DCC</t>
  </si>
  <si>
    <t>Abgleich</t>
  </si>
  <si>
    <t>Barwert (dirty)</t>
  </si>
  <si>
    <t>n.a.</t>
  </si>
  <si>
    <t>QuantLib Version:</t>
  </si>
  <si>
    <t>QuantLib Info:</t>
  </si>
  <si>
    <t>https://svr-wiki/display/AV/QuantLib</t>
  </si>
  <si>
    <t>Kündigungsrecht (Gläubiger)</t>
  </si>
  <si>
    <t>TF-Modell</t>
  </si>
  <si>
    <t>Stammdaten</t>
  </si>
  <si>
    <t>Stammdaten und Marktdaten</t>
  </si>
  <si>
    <t>Marktdaten</t>
  </si>
  <si>
    <t>Modellparameter</t>
  </si>
  <si>
    <t>Dividendenrendite</t>
  </si>
  <si>
    <t>erwartete Dividendenzahlung (Datum)</t>
  </si>
  <si>
    <t>erwartete Dividendenzahlung (Höhe)</t>
  </si>
  <si>
    <t>Credit Spread</t>
  </si>
  <si>
    <t>Volatilität</t>
  </si>
  <si>
    <t>Kalender</t>
  </si>
  <si>
    <t>Modellsetup</t>
  </si>
  <si>
    <t>diskrete Zeitschritte (pro Jahr)</t>
  </si>
  <si>
    <t>Typ des Binominalbaums</t>
  </si>
  <si>
    <t>CRR</t>
  </si>
  <si>
    <t>diskrete Zeitschritte (gesamt)</t>
  </si>
  <si>
    <t>Diskontkurve</t>
  </si>
  <si>
    <t>Trigger</t>
  </si>
  <si>
    <t>QuantLib Spezifika</t>
  </si>
  <si>
    <t>Dividendenrenditenkurve</t>
  </si>
  <si>
    <t>Volatilitätsfläche</t>
  </si>
  <si>
    <t>Black-Scholes-Merton-Prozess</t>
  </si>
  <si>
    <t>Kupontermine</t>
  </si>
  <si>
    <t>pricing engine</t>
  </si>
  <si>
    <t>set pricing engine</t>
  </si>
  <si>
    <t>QuantLib</t>
  </si>
  <si>
    <t>Dividenden</t>
  </si>
  <si>
    <t>DE000A19W2L5</t>
  </si>
  <si>
    <t>Nein</t>
  </si>
  <si>
    <t>Fehler</t>
  </si>
  <si>
    <t>Nominal [EUR]</t>
  </si>
  <si>
    <t>Abweichung zum Markt</t>
  </si>
  <si>
    <t>Marktdatenquelle</t>
  </si>
  <si>
    <t>Wandlungsverhältnis (auf 100)</t>
  </si>
  <si>
    <t>actual/365 (fixed)</t>
  </si>
  <si>
    <t>Parität [EUR]</t>
  </si>
  <si>
    <t>Bewertungsstichtag</t>
  </si>
  <si>
    <t>Delete all</t>
  </si>
  <si>
    <t>Spread over Index</t>
  </si>
  <si>
    <t>Wandlungsverhältnis (auf Nominal bei EQ-Wandlung)</t>
  </si>
  <si>
    <t>Aktienkurs [EUR]</t>
  </si>
  <si>
    <t>FX-Rate [EUREUR]</t>
  </si>
  <si>
    <t>Ibor Index</t>
  </si>
  <si>
    <t>fixing Days</t>
  </si>
  <si>
    <t>CoCoTrigger</t>
  </si>
  <si>
    <t>FlatForward</t>
  </si>
  <si>
    <t>Error</t>
  </si>
  <si>
    <t>ObjectID</t>
  </si>
  <si>
    <t>NDays</t>
  </si>
  <si>
    <t>Calendar</t>
  </si>
  <si>
    <t>NullCalendar</t>
  </si>
  <si>
    <t>Rate</t>
  </si>
  <si>
    <t>DayCounter</t>
  </si>
  <si>
    <t>Compounding</t>
  </si>
  <si>
    <t>Continuous</t>
  </si>
  <si>
    <t>Frequency</t>
  </si>
  <si>
    <t>Annual</t>
  </si>
  <si>
    <t>Permanent</t>
  </si>
  <si>
    <t>AddFixing</t>
  </si>
  <si>
    <t>is Write down</t>
  </si>
  <si>
    <t>RecoveryRateIfTriggered</t>
  </si>
  <si>
    <t>Sonderfälle</t>
  </si>
  <si>
    <t>Semiannual</t>
  </si>
  <si>
    <t>EveryFourthMonth</t>
  </si>
  <si>
    <t>Quarterly</t>
  </si>
  <si>
    <t>Bimonthly</t>
  </si>
  <si>
    <t>Monthly</t>
  </si>
  <si>
    <t>EveryFourthWeek</t>
  </si>
  <si>
    <t>Biweekly</t>
  </si>
  <si>
    <t>Weekly</t>
  </si>
  <si>
    <t>Daily</t>
  </si>
  <si>
    <t>OtherFrequency</t>
  </si>
  <si>
    <t>Zahlungsfrequenz</t>
  </si>
  <si>
    <t>Trigger = 1 und RR = 1 &amp; Margin = CS &amp; Aktie = 1 =&gt; 100</t>
  </si>
  <si>
    <t>Trigger = 1 und RR = X &amp; Margin = CS &amp; Aktie = 1  =&gt;  nahe X</t>
  </si>
  <si>
    <t>Trigger = 0 und RR = X &amp; Margin = CS &amp; Aktie = 1  =&gt; 100</t>
  </si>
  <si>
    <t>Discount Risky in WriteDown</t>
  </si>
  <si>
    <t>Trigger = 20 und RR = X &amp; Margin = CS &amp; Aktie = 1  =&gt; X (if risky discounting, &gt;&gt;100 otherwise)</t>
  </si>
  <si>
    <t>XXX</t>
  </si>
  <si>
    <t>Übersicht zu den Vergleichsrechnungen von Cocos unter dem TF-Modell</t>
  </si>
  <si>
    <t xml:space="preserve">Bewertung von XXX </t>
  </si>
  <si>
    <t>Marktpreis</t>
  </si>
  <si>
    <t>Gearing</t>
  </si>
  <si>
    <t>Spread</t>
  </si>
  <si>
    <t>=ohRepositoryDeleteAllObjects()</t>
  </si>
  <si>
    <t>ScheduleFix</t>
  </si>
  <si>
    <t>ScheduleFloat</t>
  </si>
  <si>
    <t>Letzter Fix-Rate Termin</t>
  </si>
  <si>
    <t>ScheduleResult</t>
  </si>
  <si>
    <t>Helper1</t>
  </si>
  <si>
    <t>Helper2</t>
  </si>
  <si>
    <t>Important: Fix-Rates and Floating Rates are set in Cashflows manually per cashflow date.</t>
  </si>
  <si>
    <t>Quote</t>
  </si>
  <si>
    <t>1D</t>
  </si>
  <si>
    <t>TARGET</t>
  </si>
  <si>
    <t>Following</t>
  </si>
  <si>
    <t>Actual/360</t>
  </si>
  <si>
    <t>1W</t>
  </si>
  <si>
    <t>2W</t>
  </si>
  <si>
    <t>3W</t>
  </si>
  <si>
    <t>1M</t>
  </si>
  <si>
    <t>Modified Following</t>
  </si>
  <si>
    <t>2M</t>
  </si>
  <si>
    <t>3M</t>
  </si>
  <si>
    <t>6M</t>
  </si>
  <si>
    <t>FUT1</t>
  </si>
  <si>
    <t>Target</t>
  </si>
  <si>
    <t>FUT2</t>
  </si>
  <si>
    <t>FUT3</t>
  </si>
  <si>
    <t>FUT4</t>
  </si>
  <si>
    <t>FUT5</t>
  </si>
  <si>
    <t>FUT6</t>
  </si>
  <si>
    <t>FUT7</t>
  </si>
  <si>
    <t>FUT8</t>
  </si>
  <si>
    <t>3Y</t>
  </si>
  <si>
    <t>30/360 (Bond Basis)</t>
  </si>
  <si>
    <t>0D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</si>
  <si>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</si>
  <si>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</si>
  <si>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</si>
  <si>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</si>
  <si>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</si>
  <si>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</si>
  <si>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</si>
  <si>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</si>
  <si>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</si>
  <si>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</si>
  <si>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</si>
  <si>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AllRateHelpers</t>
  </si>
  <si>
    <t>Priority</t>
  </si>
  <si>
    <t>Selected</t>
  </si>
  <si>
    <t>NImmFutures</t>
  </si>
  <si>
    <t>NSerialFutures</t>
  </si>
  <si>
    <t>FrontFuturesRollingDays</t>
  </si>
  <si>
    <t>DepoFuturesPriority</t>
  </si>
  <si>
    <t>AllDepos</t>
  </si>
  <si>
    <t>PiecewiseYieldCurve</t>
  </si>
  <si>
    <t>TraitsID</t>
  </si>
  <si>
    <t>Discount</t>
  </si>
  <si>
    <t>InterpolatorID</t>
  </si>
  <si>
    <t>LogLinear</t>
  </si>
  <si>
    <t>Accuracy</t>
  </si>
  <si>
    <t>TermStructureCalendar</t>
  </si>
  <si>
    <t>TermStructureDayCounter</t>
  </si>
  <si>
    <t>TermStructureReferenceDate</t>
  </si>
  <si>
    <t>TermStructureMaxDate</t>
  </si>
  <si>
    <t>TermStructureSettlementDays</t>
  </si>
  <si>
    <t>YieldTSDiscount</t>
  </si>
  <si>
    <t>YieldTSForwardRate</t>
  </si>
  <si>
    <t>YieldTSZeroRate</t>
  </si>
  <si>
    <t>Date</t>
  </si>
  <si>
    <t>Data</t>
  </si>
  <si>
    <t>ZeroRate</t>
  </si>
  <si>
    <t>Credit Z.Spread</t>
  </si>
  <si>
    <t>RiskyZeroCurve</t>
  </si>
  <si>
    <t>BP-shifted Curve</t>
  </si>
  <si>
    <t>BPRiskyZeroCurve</t>
  </si>
  <si>
    <t>Zerorate</t>
  </si>
  <si>
    <t>I. Rates:</t>
  </si>
  <si>
    <t>Shifted Curves and RiskyCurve</t>
  </si>
  <si>
    <t>II. Bootstrapping</t>
  </si>
  <si>
    <t>Callable</t>
  </si>
  <si>
    <t>CallSchedule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</si>
</sst>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-* #,##0.00_-;\-* #,##0.00_-;_-* &quot;-&quot;??_-;_-@_-"/>
    <numFmt numFmtId="164" formatCode="0.000"/>
    <numFmt numFmtId="165" formatCode="0.0000%"/>
    <numFmt numFmtId="166" formatCode="0.0000"/>
    <numFmt numFmtId="167" formatCode="_-* #,##0.00\ _€_-;\-* #,##0.00\ _€_-;_-* &quot;-&quot;??\ _€_-;_-@_-"/>
    <numFmt numFmtId="168" formatCode="_-* #,##0\ _€_-;\-* #,##0\ _€_-;_-* &quot;-&quot;??\ _€_-;_-@_-"/>
    <numFmt numFmtId="169" formatCode="_-* #,##0.00000\ _€_-;\-* #,##0.00000\ _€_-;_-* &quot;-&quot;??\ _€_-;_-@_-"/>
    <numFmt numFmtId="170" formatCode="0.00000000"/>
    <numFmt numFmtId="171" formatCode="0.000%"/>
    <numFmt numFmtId="172" formatCode="0.00000%"/>
    <numFmt numFmtId="173" formatCode="_-* #,##0_-;\-* #,##0_-;_-* &quot;-&quot;??_-;_-@_-"/>
    <numFmt numFmtId="174" formatCode="_-* #,##0.00000000\ _€_-;\-* #,##0.00000000\ _€_-;_-* &quot;-&quot;????????\ _€_-;_-@_-"/>
    <numFmt numFmtId="175" formatCode="0.0%"/>
    <numFmt numFmtId="176" formatCode="ddd\,\ d\-mmm\-yyyy"/>
    <numFmt numFmtId="177" formatCode="0.000000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"/>
    </font>
    <font>
      <sz val="16"/>
      <color theme="0"/>
      <name val="Calibri "/>
    </font>
    <font>
      <sz val="11"/>
      <color theme="0"/>
      <name val="Calibri 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81"/>
      <name val="Tahoma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56BCB1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378E2E"/>
        <bgColor indexed="64"/>
      </patternFill>
    </fill>
    <fill>
      <patternFill patternType="solid">
        <fgColor rgb="FFBEDA9E"/>
        <bgColor indexed="64"/>
      </patternFill>
    </fill>
    <fill>
      <patternFill patternType="solid">
        <fgColor rgb="FFA59D8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theme="8"/>
        <bgColor indexed="64"/>
      </patternFill>
    </fill>
  </fills>
  <borders count="3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81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4" fontId="3" fillId="5" borderId="3" xfId="0" applyNumberFormat="1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5" borderId="5" xfId="0" applyFont="1" applyFill="1" applyBorder="1" applyAlignment="1">
      <alignment horizontal="left" vertical="top"/>
    </xf>
    <xf numFmtId="0" fontId="3" fillId="2" borderId="7" xfId="0" applyFont="1" applyFill="1" applyBorder="1"/>
    <xf numFmtId="0" fontId="3" fillId="2" borderId="8" xfId="0" applyFont="1" applyFill="1" applyBorder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0" fillId="5" borderId="10" xfId="1" applyNumberFormat="1" applyFont="1" applyFill="1" applyBorder="1" applyAlignment="1">
      <alignment horizontal="center"/>
    </xf>
    <xf numFmtId="1" fontId="0" fillId="5" borderId="10" xfId="1" applyNumberFormat="1" applyFont="1" applyFill="1" applyBorder="1" applyAlignment="1">
      <alignment horizontal="center"/>
    </xf>
    <xf numFmtId="164" fontId="0" fillId="5" borderId="10" xfId="1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9" fontId="0" fillId="9" borderId="10" xfId="2" applyNumberFormat="1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166" fontId="0" fillId="5" borderId="10" xfId="1" applyNumberFormat="1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165" fontId="0" fillId="5" borderId="10" xfId="2" applyNumberFormat="1" applyFont="1" applyFill="1" applyBorder="1" applyAlignment="1">
      <alignment horizontal="center"/>
    </xf>
    <xf numFmtId="0" fontId="7" fillId="5" borderId="6" xfId="3" applyFill="1" applyBorder="1" applyAlignment="1">
      <alignment horizontal="left" vertical="top" wrapText="1"/>
    </xf>
    <xf numFmtId="170" fontId="0" fillId="5" borderId="10" xfId="1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horizontal="left" wrapText="1"/>
    </xf>
    <xf numFmtId="168" fontId="0" fillId="12" borderId="10" xfId="2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wrapText="1"/>
    </xf>
    <xf numFmtId="0" fontId="0" fillId="9" borderId="10" xfId="2" applyNumberFormat="1" applyFont="1" applyFill="1" applyBorder="1" applyAlignment="1">
      <alignment horizontal="center" wrapText="1"/>
    </xf>
    <xf numFmtId="0" fontId="0" fillId="5" borderId="10" xfId="1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9" fontId="0" fillId="5" borderId="10" xfId="1" applyFont="1" applyFill="1" applyBorder="1" applyAlignment="1">
      <alignment horizontal="center"/>
    </xf>
    <xf numFmtId="171" fontId="0" fillId="5" borderId="10" xfId="1" applyNumberFormat="1" applyFont="1" applyFill="1" applyBorder="1" applyAlignment="1">
      <alignment horizontal="center"/>
    </xf>
    <xf numFmtId="172" fontId="0" fillId="5" borderId="10" xfId="1" applyNumberFormat="1" applyFont="1" applyFill="1" applyBorder="1" applyAlignment="1">
      <alignment horizontal="center"/>
    </xf>
    <xf numFmtId="173" fontId="0" fillId="5" borderId="10" xfId="4" applyNumberFormat="1" applyFont="1" applyFill="1" applyBorder="1" applyAlignment="1">
      <alignment horizontal="center"/>
    </xf>
    <xf numFmtId="43" fontId="0" fillId="5" borderId="10" xfId="4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174" fontId="0" fillId="7" borderId="0" xfId="0" applyNumberFormat="1" applyFill="1" applyAlignment="1">
      <alignment horizontal="center"/>
    </xf>
    <xf numFmtId="175" fontId="0" fillId="2" borderId="0" xfId="1" applyNumberFormat="1" applyFont="1" applyFill="1" applyAlignment="1">
      <alignment horizontal="center" wrapText="1"/>
    </xf>
    <xf numFmtId="172" fontId="0" fillId="2" borderId="0" xfId="0" applyNumberFormat="1" applyFill="1" applyAlignment="1">
      <alignment horizontal="center" wrapText="1"/>
    </xf>
    <xf numFmtId="9" fontId="0" fillId="2" borderId="0" xfId="0" applyNumberFormat="1" applyFill="1" applyAlignment="1">
      <alignment horizontal="center" wrapText="1"/>
    </xf>
    <xf numFmtId="165" fontId="0" fillId="2" borderId="0" xfId="0" applyNumberFormat="1" applyFill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 wrapText="1"/>
    </xf>
    <xf numFmtId="2" fontId="0" fillId="5" borderId="10" xfId="1" applyNumberFormat="1" applyFont="1" applyFill="1" applyBorder="1" applyAlignment="1">
      <alignment horizontal="center"/>
    </xf>
    <xf numFmtId="0" fontId="10" fillId="15" borderId="11" xfId="0" applyFont="1" applyFill="1" applyBorder="1" applyAlignment="1">
      <alignment horizontal="right"/>
    </xf>
    <xf numFmtId="0" fontId="11" fillId="16" borderId="11" xfId="0" applyFont="1" applyFill="1" applyBorder="1" applyAlignment="1">
      <alignment horizontal="center"/>
    </xf>
    <xf numFmtId="0" fontId="10" fillId="15" borderId="12" xfId="0" applyFont="1" applyFill="1" applyBorder="1" applyAlignment="1">
      <alignment horizontal="right"/>
    </xf>
    <xf numFmtId="0" fontId="12" fillId="16" borderId="12" xfId="0" applyFont="1" applyFill="1" applyBorder="1" applyAlignment="1">
      <alignment horizontal="center"/>
    </xf>
    <xf numFmtId="0" fontId="11" fillId="17" borderId="11" xfId="0" applyFont="1" applyFill="1" applyBorder="1" applyAlignment="1">
      <alignment horizontal="center"/>
    </xf>
    <xf numFmtId="0" fontId="10" fillId="15" borderId="13" xfId="0" applyFont="1" applyFill="1" applyBorder="1" applyAlignment="1">
      <alignment horizontal="right"/>
    </xf>
    <xf numFmtId="3" fontId="11" fillId="17" borderId="13" xfId="0" applyNumberFormat="1" applyFont="1" applyFill="1" applyBorder="1" applyAlignment="1">
      <alignment horizontal="center"/>
    </xf>
    <xf numFmtId="0" fontId="11" fillId="17" borderId="13" xfId="0" applyFont="1" applyFill="1" applyBorder="1" applyAlignment="1">
      <alignment horizontal="center"/>
    </xf>
    <xf numFmtId="165" fontId="11" fillId="17" borderId="13" xfId="0" applyNumberFormat="1" applyFont="1" applyFill="1" applyBorder="1" applyAlignment="1">
      <alignment horizontal="center"/>
    </xf>
    <xf numFmtId="0" fontId="11" fillId="17" borderId="12" xfId="0" applyFont="1" applyFill="1" applyBorder="1" applyAlignment="1">
      <alignment horizontal="center"/>
    </xf>
    <xf numFmtId="176" fontId="10" fillId="15" borderId="14" xfId="0" applyNumberFormat="1" applyFont="1" applyFill="1" applyBorder="1" applyAlignment="1">
      <alignment horizontal="right"/>
    </xf>
    <xf numFmtId="165" fontId="0" fillId="0" borderId="15" xfId="0" applyNumberFormat="1" applyBorder="1"/>
    <xf numFmtId="0" fontId="10" fillId="15" borderId="16" xfId="0" applyFont="1" applyFill="1" applyBorder="1" applyAlignment="1">
      <alignment horizontal="right"/>
    </xf>
    <xf numFmtId="0" fontId="0" fillId="0" borderId="17" xfId="0" applyBorder="1"/>
    <xf numFmtId="43" fontId="0" fillId="5" borderId="10" xfId="4" applyFont="1" applyFill="1" applyBorder="1" applyAlignment="1">
      <alignment horizontal="center"/>
    </xf>
    <xf numFmtId="0" fontId="14" fillId="2" borderId="0" xfId="0" applyFont="1" applyFill="1" applyAlignment="1">
      <alignment horizontal="left" wrapText="1"/>
    </xf>
    <xf numFmtId="0" fontId="2" fillId="18" borderId="9" xfId="0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0" fillId="2" borderId="0" xfId="0" applyFill="1"/>
    <xf numFmtId="14" fontId="0" fillId="2" borderId="0" xfId="0" applyNumberFormat="1" applyFill="1"/>
    <xf numFmtId="14" fontId="10" fillId="15" borderId="11" xfId="0" applyNumberFormat="1" applyFont="1" applyFill="1" applyBorder="1" applyAlignment="1">
      <alignment horizontal="right"/>
    </xf>
    <xf numFmtId="14" fontId="11" fillId="16" borderId="11" xfId="0" applyNumberFormat="1" applyFont="1" applyFill="1" applyBorder="1" applyAlignment="1">
      <alignment horizontal="center"/>
    </xf>
    <xf numFmtId="43" fontId="10" fillId="15" borderId="11" xfId="4" applyFont="1" applyFill="1" applyBorder="1" applyAlignment="1">
      <alignment horizontal="right"/>
    </xf>
    <xf numFmtId="43" fontId="11" fillId="16" borderId="11" xfId="4" applyFont="1" applyFill="1" applyBorder="1" applyAlignment="1">
      <alignment horizontal="center"/>
    </xf>
    <xf numFmtId="43" fontId="0" fillId="2" borderId="0" xfId="4" applyFont="1" applyFill="1"/>
    <xf numFmtId="10" fontId="10" fillId="15" borderId="11" xfId="1" applyNumberFormat="1" applyFont="1" applyFill="1" applyBorder="1" applyAlignment="1">
      <alignment horizontal="right"/>
    </xf>
    <xf numFmtId="10" fontId="11" fillId="16" borderId="11" xfId="1" applyNumberFormat="1" applyFont="1" applyFill="1" applyBorder="1" applyAlignment="1">
      <alignment horizontal="center"/>
    </xf>
    <xf numFmtId="10" fontId="0" fillId="2" borderId="0" xfId="1" applyNumberFormat="1" applyFont="1" applyFill="1"/>
    <xf numFmtId="0" fontId="3" fillId="5" borderId="1" xfId="0" quotePrefix="1" applyFont="1" applyFill="1" applyBorder="1" applyAlignment="1">
      <alignment horizontal="left"/>
    </xf>
    <xf numFmtId="10" fontId="0" fillId="5" borderId="10" xfId="1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0" fontId="0" fillId="5" borderId="0" xfId="1" applyNumberFormat="1" applyFont="1" applyFill="1" applyBorder="1" applyAlignment="1">
      <alignment horizontal="center"/>
    </xf>
    <xf numFmtId="165" fontId="0" fillId="0" borderId="0" xfId="0" applyNumberFormat="1" applyBorder="1"/>
    <xf numFmtId="0" fontId="0" fillId="0" borderId="0" xfId="0" applyBorder="1"/>
    <xf numFmtId="14" fontId="0" fillId="5" borderId="0" xfId="1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71" fontId="0" fillId="5" borderId="0" xfId="1" applyNumberFormat="1" applyFont="1" applyFill="1" applyBorder="1" applyAlignment="1">
      <alignment horizontal="center"/>
    </xf>
    <xf numFmtId="14" fontId="2" fillId="4" borderId="0" xfId="0" applyNumberFormat="1" applyFont="1" applyFill="1" applyBorder="1" applyAlignment="1">
      <alignment horizontal="center"/>
    </xf>
    <xf numFmtId="173" fontId="0" fillId="5" borderId="0" xfId="4" applyNumberFormat="1" applyFont="1" applyFill="1" applyBorder="1" applyAlignment="1">
      <alignment horizontal="left"/>
    </xf>
    <xf numFmtId="173" fontId="0" fillId="5" borderId="0" xfId="4" applyNumberFormat="1" applyFont="1" applyFill="1" applyBorder="1" applyAlignment="1">
      <alignment horizontal="center"/>
    </xf>
    <xf numFmtId="0" fontId="0" fillId="13" borderId="0" xfId="0" applyFill="1" applyAlignment="1">
      <alignment vertical="top" wrapText="1"/>
    </xf>
    <xf numFmtId="0" fontId="14" fillId="13" borderId="0" xfId="0" applyFont="1" applyFill="1" applyAlignment="1">
      <alignment vertical="top" wrapText="1"/>
    </xf>
    <xf numFmtId="0" fontId="15" fillId="7" borderId="0" xfId="0" applyFont="1" applyFill="1" applyAlignment="1">
      <alignment horizontal="left"/>
    </xf>
    <xf numFmtId="0" fontId="18" fillId="0" borderId="18" xfId="0" applyFont="1" applyBorder="1"/>
    <xf numFmtId="0" fontId="19" fillId="15" borderId="19" xfId="0" applyFont="1" applyFill="1" applyBorder="1" applyAlignment="1">
      <alignment horizontal="right"/>
    </xf>
    <xf numFmtId="0" fontId="19" fillId="15" borderId="15" xfId="0" applyFont="1" applyFill="1" applyBorder="1" applyAlignment="1">
      <alignment horizontal="right"/>
    </xf>
    <xf numFmtId="0" fontId="18" fillId="16" borderId="20" xfId="0" applyFont="1" applyFill="1" applyBorder="1" applyAlignment="1">
      <alignment horizontal="right"/>
    </xf>
    <xf numFmtId="0" fontId="20" fillId="16" borderId="21" xfId="0" applyFont="1" applyFill="1" applyBorder="1" applyAlignment="1">
      <alignment horizontal="center"/>
    </xf>
    <xf numFmtId="0" fontId="18" fillId="17" borderId="21" xfId="0" applyFont="1" applyFill="1" applyBorder="1" applyAlignment="1">
      <alignment horizontal="right"/>
    </xf>
    <xf numFmtId="165" fontId="18" fillId="17" borderId="21" xfId="0" applyNumberFormat="1" applyFont="1" applyFill="1" applyBorder="1" applyAlignment="1">
      <alignment horizontal="center"/>
    </xf>
    <xf numFmtId="0" fontId="18" fillId="17" borderId="21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8" fillId="16" borderId="23" xfId="0" applyFont="1" applyFill="1" applyBorder="1" applyAlignment="1">
      <alignment horizontal="right"/>
    </xf>
    <xf numFmtId="0" fontId="20" fillId="16" borderId="0" xfId="0" applyFont="1" applyFill="1" applyBorder="1" applyAlignment="1">
      <alignment horizontal="center"/>
    </xf>
    <xf numFmtId="0" fontId="18" fillId="17" borderId="0" xfId="0" applyFont="1" applyFill="1" applyBorder="1" applyAlignment="1">
      <alignment horizontal="right"/>
    </xf>
    <xf numFmtId="165" fontId="18" fillId="17" borderId="0" xfId="0" applyNumberFormat="1" applyFont="1" applyFill="1" applyBorder="1" applyAlignment="1">
      <alignment horizontal="center"/>
    </xf>
    <xf numFmtId="0" fontId="18" fillId="17" borderId="0" xfId="0" applyFont="1" applyFill="1" applyBorder="1" applyAlignment="1">
      <alignment horizontal="center"/>
    </xf>
    <xf numFmtId="0" fontId="18" fillId="17" borderId="24" xfId="0" applyFont="1" applyFill="1" applyBorder="1" applyAlignment="1">
      <alignment horizontal="center"/>
    </xf>
    <xf numFmtId="0" fontId="18" fillId="16" borderId="25" xfId="0" applyFont="1" applyFill="1" applyBorder="1" applyAlignment="1">
      <alignment horizontal="right"/>
    </xf>
    <xf numFmtId="0" fontId="20" fillId="16" borderId="26" xfId="0" applyFont="1" applyFill="1" applyBorder="1" applyAlignment="1">
      <alignment horizontal="center"/>
    </xf>
    <xf numFmtId="0" fontId="18" fillId="17" borderId="26" xfId="0" applyFont="1" applyFill="1" applyBorder="1" applyAlignment="1">
      <alignment horizontal="right"/>
    </xf>
    <xf numFmtId="165" fontId="18" fillId="17" borderId="26" xfId="0" applyNumberFormat="1" applyFont="1" applyFill="1" applyBorder="1" applyAlignment="1">
      <alignment horizontal="center"/>
    </xf>
    <xf numFmtId="0" fontId="18" fillId="17" borderId="26" xfId="0" applyFont="1" applyFill="1" applyBorder="1" applyAlignment="1">
      <alignment horizontal="center"/>
    </xf>
    <xf numFmtId="0" fontId="18" fillId="17" borderId="27" xfId="0" applyFont="1" applyFill="1" applyBorder="1" applyAlignment="1">
      <alignment horizontal="center"/>
    </xf>
    <xf numFmtId="0" fontId="20" fillId="16" borderId="21" xfId="0" applyFont="1" applyFill="1" applyBorder="1" applyAlignment="1">
      <alignment horizontal="left"/>
    </xf>
    <xf numFmtId="166" fontId="18" fillId="17" borderId="21" xfId="0" applyNumberFormat="1" applyFont="1" applyFill="1" applyBorder="1" applyAlignment="1">
      <alignment horizontal="center"/>
    </xf>
    <xf numFmtId="0" fontId="18" fillId="2" borderId="21" xfId="0" applyFont="1" applyFill="1" applyBorder="1" applyAlignment="1">
      <alignment horizontal="right"/>
    </xf>
    <xf numFmtId="0" fontId="18" fillId="2" borderId="0" xfId="0" applyFont="1" applyFill="1" applyBorder="1" applyAlignment="1">
      <alignment horizontal="right"/>
    </xf>
    <xf numFmtId="0" fontId="18" fillId="2" borderId="26" xfId="0" applyFont="1" applyFill="1" applyBorder="1" applyAlignment="1">
      <alignment horizontal="right"/>
    </xf>
    <xf numFmtId="0" fontId="20" fillId="16" borderId="0" xfId="0" applyFont="1" applyFill="1" applyBorder="1" applyAlignment="1">
      <alignment horizontal="left"/>
    </xf>
    <xf numFmtId="166" fontId="18" fillId="17" borderId="0" xfId="0" applyNumberFormat="1" applyFont="1" applyFill="1" applyBorder="1" applyAlignment="1">
      <alignment horizontal="center"/>
    </xf>
    <xf numFmtId="0" fontId="20" fillId="16" borderId="26" xfId="0" applyFont="1" applyFill="1" applyBorder="1" applyAlignment="1">
      <alignment horizontal="left"/>
    </xf>
    <xf numFmtId="166" fontId="18" fillId="17" borderId="26" xfId="0" applyNumberFormat="1" applyFont="1" applyFill="1" applyBorder="1" applyAlignment="1">
      <alignment horizontal="center"/>
    </xf>
    <xf numFmtId="0" fontId="18" fillId="16" borderId="28" xfId="0" applyFont="1" applyFill="1" applyBorder="1" applyAlignment="1">
      <alignment horizontal="right"/>
    </xf>
    <xf numFmtId="0" fontId="20" fillId="16" borderId="29" xfId="0" applyFont="1" applyFill="1" applyBorder="1" applyAlignment="1">
      <alignment horizontal="center"/>
    </xf>
    <xf numFmtId="0" fontId="18" fillId="17" borderId="29" xfId="0" applyFont="1" applyFill="1" applyBorder="1" applyAlignment="1">
      <alignment horizontal="right"/>
    </xf>
    <xf numFmtId="165" fontId="18" fillId="17" borderId="29" xfId="0" applyNumberFormat="1" applyFont="1" applyFill="1" applyBorder="1" applyAlignment="1">
      <alignment horizontal="center"/>
    </xf>
    <xf numFmtId="0" fontId="18" fillId="2" borderId="29" xfId="0" applyFont="1" applyFill="1" applyBorder="1" applyAlignment="1">
      <alignment horizontal="right"/>
    </xf>
    <xf numFmtId="0" fontId="18" fillId="17" borderId="29" xfId="0" applyFont="1" applyFill="1" applyBorder="1" applyAlignment="1">
      <alignment horizontal="center"/>
    </xf>
    <xf numFmtId="0" fontId="18" fillId="17" borderId="17" xfId="0" applyFont="1" applyFill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31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18" fillId="0" borderId="23" xfId="0" applyFont="1" applyBorder="1" applyAlignment="1">
      <alignment horizontal="right"/>
    </xf>
    <xf numFmtId="0" fontId="18" fillId="0" borderId="28" xfId="0" applyFont="1" applyBorder="1" applyAlignment="1">
      <alignment horizontal="right"/>
    </xf>
    <xf numFmtId="0" fontId="18" fillId="0" borderId="0" xfId="0" applyFont="1" applyBorder="1" applyAlignment="1">
      <alignment horizontal="center"/>
    </xf>
    <xf numFmtId="0" fontId="18" fillId="0" borderId="33" xfId="0" applyFont="1" applyBorder="1" applyAlignment="1">
      <alignment horizontal="right"/>
    </xf>
    <xf numFmtId="0" fontId="18" fillId="0" borderId="34" xfId="0" applyFont="1" applyBorder="1" applyAlignment="1">
      <alignment horizontal="right"/>
    </xf>
    <xf numFmtId="0" fontId="18" fillId="0" borderId="29" xfId="0" applyFont="1" applyBorder="1" applyAlignment="1">
      <alignment horizontal="center"/>
    </xf>
    <xf numFmtId="0" fontId="19" fillId="15" borderId="11" xfId="0" applyFont="1" applyFill="1" applyBorder="1" applyAlignment="1">
      <alignment horizontal="right"/>
    </xf>
    <xf numFmtId="3" fontId="18" fillId="17" borderId="11" xfId="0" applyNumberFormat="1" applyFont="1" applyFill="1" applyBorder="1" applyAlignment="1">
      <alignment horizontal="center"/>
    </xf>
    <xf numFmtId="0" fontId="19" fillId="15" borderId="13" xfId="0" applyFont="1" applyFill="1" applyBorder="1" applyAlignment="1">
      <alignment horizontal="right"/>
    </xf>
    <xf numFmtId="3" fontId="18" fillId="17" borderId="13" xfId="0" applyNumberFormat="1" applyFont="1" applyFill="1" applyBorder="1" applyAlignment="1">
      <alignment horizontal="center"/>
    </xf>
    <xf numFmtId="0" fontId="18" fillId="17" borderId="13" xfId="0" applyFont="1" applyFill="1" applyBorder="1" applyAlignment="1">
      <alignment horizontal="center"/>
    </xf>
    <xf numFmtId="0" fontId="19" fillId="15" borderId="12" xfId="0" applyFont="1" applyFill="1" applyBorder="1" applyAlignment="1">
      <alignment horizontal="right"/>
    </xf>
    <xf numFmtId="0" fontId="18" fillId="17" borderId="12" xfId="0" applyFont="1" applyFill="1" applyBorder="1" applyAlignment="1">
      <alignment horizontal="center"/>
    </xf>
    <xf numFmtId="0" fontId="18" fillId="0" borderId="0" xfId="0" applyFont="1"/>
    <xf numFmtId="0" fontId="18" fillId="16" borderId="11" xfId="0" applyFont="1" applyFill="1" applyBorder="1" applyAlignment="1">
      <alignment horizontal="center"/>
    </xf>
    <xf numFmtId="0" fontId="20" fillId="16" borderId="12" xfId="0" applyFont="1" applyFill="1" applyBorder="1" applyAlignment="1">
      <alignment horizontal="center"/>
    </xf>
    <xf numFmtId="0" fontId="18" fillId="17" borderId="11" xfId="0" applyFont="1" applyFill="1" applyBorder="1" applyAlignment="1">
      <alignment horizontal="center"/>
    </xf>
    <xf numFmtId="0" fontId="18" fillId="2" borderId="0" xfId="0" applyFont="1" applyFill="1"/>
    <xf numFmtId="0" fontId="18" fillId="2" borderId="18" xfId="0" applyFont="1" applyFill="1" applyBorder="1"/>
    <xf numFmtId="0" fontId="18" fillId="2" borderId="15" xfId="0" applyFont="1" applyFill="1" applyBorder="1"/>
    <xf numFmtId="0" fontId="18" fillId="2" borderId="23" xfId="0" applyFont="1" applyFill="1" applyBorder="1"/>
    <xf numFmtId="0" fontId="18" fillId="2" borderId="24" xfId="0" applyFont="1" applyFill="1" applyBorder="1"/>
    <xf numFmtId="176" fontId="18" fillId="2" borderId="24" xfId="0" applyNumberFormat="1" applyFont="1" applyFill="1" applyBorder="1"/>
    <xf numFmtId="0" fontId="18" fillId="2" borderId="25" xfId="0" applyFont="1" applyFill="1" applyBorder="1"/>
    <xf numFmtId="0" fontId="18" fillId="2" borderId="27" xfId="0" applyFont="1" applyFill="1" applyBorder="1"/>
    <xf numFmtId="0" fontId="18" fillId="2" borderId="20" xfId="0" applyFont="1" applyFill="1" applyBorder="1"/>
    <xf numFmtId="170" fontId="18" fillId="2" borderId="22" xfId="0" applyNumberFormat="1" applyFont="1" applyFill="1" applyBorder="1"/>
    <xf numFmtId="165" fontId="18" fillId="2" borderId="24" xfId="1" applyNumberFormat="1" applyFont="1" applyFill="1" applyBorder="1"/>
    <xf numFmtId="0" fontId="18" fillId="2" borderId="28" xfId="0" applyFont="1" applyFill="1" applyBorder="1"/>
    <xf numFmtId="165" fontId="18" fillId="2" borderId="17" xfId="1" applyNumberFormat="1" applyFont="1" applyFill="1" applyBorder="1"/>
    <xf numFmtId="176" fontId="18" fillId="2" borderId="23" xfId="0" applyNumberFormat="1" applyFont="1" applyFill="1" applyBorder="1"/>
    <xf numFmtId="177" fontId="18" fillId="2" borderId="33" xfId="0" applyNumberFormat="1" applyFont="1" applyFill="1" applyBorder="1"/>
    <xf numFmtId="176" fontId="18" fillId="2" borderId="28" xfId="0" applyNumberFormat="1" applyFont="1" applyFill="1" applyBorder="1"/>
    <xf numFmtId="177" fontId="18" fillId="2" borderId="34" xfId="0" applyNumberFormat="1" applyFont="1" applyFill="1" applyBorder="1"/>
    <xf numFmtId="14" fontId="18" fillId="17" borderId="21" xfId="0" applyNumberFormat="1" applyFont="1" applyFill="1" applyBorder="1" applyAlignment="1">
      <alignment horizontal="center"/>
    </xf>
    <xf numFmtId="14" fontId="18" fillId="17" borderId="0" xfId="0" applyNumberFormat="1" applyFont="1" applyFill="1" applyBorder="1" applyAlignment="1">
      <alignment horizontal="center"/>
    </xf>
    <xf numFmtId="14" fontId="18" fillId="17" borderId="29" xfId="0" applyNumberFormat="1" applyFont="1" applyFill="1" applyBorder="1" applyAlignment="1">
      <alignment horizontal="center"/>
    </xf>
    <xf numFmtId="0" fontId="18" fillId="16" borderId="0" xfId="0" applyFont="1" applyFill="1" applyBorder="1" applyAlignment="1">
      <alignment horizontal="center"/>
    </xf>
    <xf numFmtId="0" fontId="18" fillId="16" borderId="0" xfId="0" applyFont="1" applyFill="1" applyBorder="1" applyAlignment="1">
      <alignment horizontal="left"/>
    </xf>
    <xf numFmtId="9" fontId="0" fillId="5" borderId="0" xfId="1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1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</cellXfs>
  <cellStyles count="5">
    <cellStyle name="Comma" xfId="4" builtinId="3"/>
    <cellStyle name="Comma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5838825</xdr:colOff>
      <xdr:row>2</xdr:row>
      <xdr:rowOff>155121</xdr:rowOff>
    </xdr:from>
    <xdr:to>
      <xdr:col>2</xdr:col>
      <xdr:colOff>6569999</xdr:colOff>
      <xdr:row>2</xdr:row>
      <xdr:rowOff>506394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6285" y="711381"/>
          <a:ext cx="731174" cy="35127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EDV-Projekte\Produkte\ZIABRIS\K.%20Test\6.4\Hull-White\Bewertung\T001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mis/parcit_ausschreibungen/Document%20Library/2020%20Welle%203/H04/1_Einarbeitung/QuantLib/YieldCurveBootstrapp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91080/Documents/05_ParcIT/Prototype/TrinomialTree_v1.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91080/Documents/05_ParcIT/Prototype/MoCo%20Sheets/MarketData/2_MarketData_201702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HW-Tree initial"/>
      <sheetName val="HW-Tree final"/>
      <sheetName val="Spreadumrechnung"/>
      <sheetName val="HullWhite A and B"/>
      <sheetName val="Valuation (2)"/>
      <sheetName val="Valuation Kal. Swaptions"/>
      <sheetName val="analytic HW"/>
      <sheetName val="Log (Excel Mode)"/>
      <sheetName val="EURIBOR6M"/>
      <sheetName val="Log (Prod)"/>
      <sheetName val="SW L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es"/>
      <sheetName val="RateHelpers"/>
      <sheetName val="Bootstrapping"/>
      <sheetName val="Bond"/>
    </sheetNames>
    <sheetDataSet>
      <sheetData sheetId="0">
        <row r="4">
          <cell r="B4" t="str">
            <v>obj_00000#0049</v>
          </cell>
        </row>
      </sheetData>
      <sheetData sheetId="1"/>
      <sheetData sheetId="2">
        <row r="10">
          <cell r="F10" t="str">
            <v>obj_0002f#0000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W-Tree initial"/>
      <sheetName val="HW-Tree final"/>
      <sheetName val="tree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Holidays"/>
      <sheetName val="IR Curve"/>
      <sheetName val="Fixings"/>
      <sheetName val="RateReference"/>
      <sheetName val="Konventionen"/>
      <sheetName val="SwaptionVolaCube"/>
    </sheetNames>
    <sheetDataSet>
      <sheetData sheetId="0">
        <row r="5">
          <cell r="E5">
            <v>42794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vr-wiki/display/AV/QuantLi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B1:C27"/>
  <sheetViews>
    <sheetView zoomScaleNormal="100" workbookViewId="0">
      <selection activeCell="C26" sqref="C26"/>
    </sheetView>
  </sheetViews>
  <sheetFormatPr defaultColWidth="11.453125" defaultRowHeight="14"/>
  <cols>
    <col min="1" max="1" width="3.6328125" style="1" customWidth="1"/>
    <col min="2" max="2" width="33.36328125" style="1" bestFit="1" customWidth="1"/>
    <col min="3" max="3" width="98.6328125" style="1" bestFit="1" customWidth="1"/>
    <col min="4" max="16384" width="11.453125" style="1"/>
  </cols>
  <sheetData>
    <row r="1" spans="2:3" ht="14.25" customHeight="1"/>
    <row r="2" spans="2:3" s="2" customFormat="1" ht="30" customHeight="1">
      <c r="B2" s="175" t="s">
        <v>101</v>
      </c>
      <c r="C2" s="175"/>
    </row>
    <row r="3" spans="2:3" ht="52.5" customHeight="1"/>
    <row r="4" spans="2:3">
      <c r="B4" s="3" t="s">
        <v>0</v>
      </c>
      <c r="C4" s="3" t="s">
        <v>1</v>
      </c>
    </row>
    <row r="5" spans="2:3">
      <c r="B5" s="4" t="s">
        <v>2</v>
      </c>
      <c r="C5" s="5">
        <v>44148</v>
      </c>
    </row>
    <row r="6" spans="2:3">
      <c r="B6" s="6" t="s">
        <v>3</v>
      </c>
      <c r="C6" s="7" t="s">
        <v>4</v>
      </c>
    </row>
    <row r="7" spans="2:3">
      <c r="B7" s="6" t="s">
        <v>5</v>
      </c>
      <c r="C7" s="8" t="s">
        <v>17</v>
      </c>
    </row>
    <row r="8" spans="2:3">
      <c r="B8" s="6" t="s">
        <v>6</v>
      </c>
      <c r="C8" s="7" t="s">
        <v>17</v>
      </c>
    </row>
    <row r="9" spans="2:3">
      <c r="B9" s="6" t="s">
        <v>7</v>
      </c>
      <c r="C9" s="7" t="s">
        <v>17</v>
      </c>
    </row>
    <row r="10" spans="2:3">
      <c r="B10" s="6" t="s">
        <v>8</v>
      </c>
      <c r="C10" s="8">
        <v>44046</v>
      </c>
    </row>
    <row r="11" spans="2:3">
      <c r="B11" s="6" t="s">
        <v>54</v>
      </c>
      <c r="C11" s="8"/>
    </row>
    <row r="12" spans="2:3">
      <c r="B12" s="6" t="s">
        <v>18</v>
      </c>
      <c r="C12" s="7" t="str">
        <f>_xll.qlVersion()</f>
        <v>1.19-dev</v>
      </c>
    </row>
    <row r="13" spans="2:3" ht="14.5">
      <c r="B13" s="9" t="s">
        <v>19</v>
      </c>
      <c r="C13" s="27" t="s">
        <v>20</v>
      </c>
    </row>
    <row r="15" spans="2:3" s="2" customFormat="1">
      <c r="B15" s="3" t="s">
        <v>9</v>
      </c>
      <c r="C15" s="3" t="s">
        <v>1</v>
      </c>
    </row>
    <row r="16" spans="2:3" s="10" customFormat="1">
      <c r="B16" s="6" t="s">
        <v>10</v>
      </c>
      <c r="C16" s="7" t="s">
        <v>11</v>
      </c>
    </row>
    <row r="17" spans="2:3" s="11" customFormat="1">
      <c r="B17" s="6" t="s">
        <v>100</v>
      </c>
      <c r="C17" s="6" t="s">
        <v>100</v>
      </c>
    </row>
    <row r="18" spans="2:3">
      <c r="B18" s="6"/>
      <c r="C18" s="7"/>
    </row>
    <row r="19" spans="2:3">
      <c r="B19" s="6"/>
      <c r="C19" s="7"/>
    </row>
    <row r="20" spans="2:3">
      <c r="B20" s="6"/>
      <c r="C20" s="7"/>
    </row>
    <row r="21" spans="2:3">
      <c r="B21" s="6"/>
      <c r="C21" s="7"/>
    </row>
    <row r="22" spans="2:3">
      <c r="B22" s="6"/>
      <c r="C22" s="7"/>
    </row>
    <row r="24" spans="2:3">
      <c r="B24" s="3" t="s">
        <v>40</v>
      </c>
      <c r="C24" s="3" t="s">
        <v>1</v>
      </c>
    </row>
    <row r="25" spans="2:3">
      <c r="B25" s="6" t="s">
        <v>59</v>
      </c>
      <c r="C25" s="80" t="s">
        <v>106</v>
      </c>
    </row>
    <row r="26" spans="2:3">
      <c r="B26" s="6" t="s">
        <v>39</v>
      </c>
      <c r="C26" s="7">
        <v>1</v>
      </c>
    </row>
    <row r="27" spans="2:3">
      <c r="B27" s="6" t="s">
        <v>58</v>
      </c>
      <c r="C27" s="7" t="b">
        <f>_xll.qlSettingsSetEvaluationDate(C10,Trigger)</f>
        <v>1</v>
      </c>
    </row>
  </sheetData>
  <mergeCells count="1">
    <mergeCell ref="B2:C2"/>
  </mergeCells>
  <hyperlinks>
    <hyperlink ref="C13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AE133"/>
  <sheetViews>
    <sheetView workbookViewId="0">
      <selection activeCell="F100" sqref="F100"/>
    </sheetView>
  </sheetViews>
  <sheetFormatPr defaultRowHeight="14.5"/>
  <cols>
    <col min="1" max="1" width="27.54296875" style="70" bestFit="1" customWidth="1"/>
    <col min="2" max="2" width="17.36328125" style="70" bestFit="1" customWidth="1"/>
    <col min="3" max="3" width="9.54296875" style="70" bestFit="1" customWidth="1"/>
    <col min="4" max="4" width="11.26953125" style="70" bestFit="1" customWidth="1"/>
    <col min="5" max="5" width="18.26953125" style="70" bestFit="1" customWidth="1"/>
    <col min="6" max="6" width="8.7265625" style="70"/>
    <col min="7" max="7" width="20.08984375" style="70" bestFit="1" customWidth="1"/>
    <col min="8" max="8" width="11.7265625" style="70" bestFit="1" customWidth="1"/>
    <col min="9" max="9" width="14.36328125" style="70" customWidth="1"/>
    <col min="10" max="10" width="8.08984375" style="70" bestFit="1" customWidth="1"/>
    <col min="11" max="11" width="7.1796875" style="70" bestFit="1" customWidth="1"/>
    <col min="12" max="12" width="3.54296875" style="70" bestFit="1" customWidth="1"/>
    <col min="13" max="14" width="6.26953125" style="70" bestFit="1" customWidth="1"/>
    <col min="15" max="15" width="17.36328125" style="70" bestFit="1" customWidth="1"/>
    <col min="16" max="16" width="18.26953125" style="70" bestFit="1" customWidth="1"/>
    <col min="17" max="17" width="11.7265625" style="70" bestFit="1" customWidth="1"/>
    <col min="18" max="18" width="7.1796875" style="70" bestFit="1" customWidth="1"/>
    <col min="19" max="19" width="2.6328125" style="70" bestFit="1" customWidth="1"/>
    <col min="20" max="21" width="8.7265625" style="70"/>
    <col min="22" max="22" width="13.6328125" style="70" bestFit="1" customWidth="1"/>
    <col min="23" max="24" width="8.08984375" style="70" bestFit="1" customWidth="1"/>
    <col min="25" max="25" width="8.7265625" style="70"/>
    <col min="26" max="26" width="25.7265625" style="70" bestFit="1" customWidth="1"/>
    <col min="27" max="27" width="17.36328125" style="70" bestFit="1" customWidth="1"/>
    <col min="28" max="28" width="8.7265625" style="70"/>
    <col min="29" max="29" width="14.54296875" style="70" bestFit="1" customWidth="1"/>
    <col min="30" max="31" width="10.81640625" style="70" bestFit="1" customWidth="1"/>
    <col min="32" max="32" width="14.54296875" style="70" bestFit="1" customWidth="1"/>
    <col min="33" max="33" width="18.26953125" style="70" bestFit="1" customWidth="1"/>
    <col min="34" max="34" width="15.453125" style="70" bestFit="1" customWidth="1"/>
    <col min="35" max="35" width="20.08984375" style="70" bestFit="1" customWidth="1"/>
    <col min="36" max="16384" width="8.7265625" style="70"/>
  </cols>
  <sheetData>
    <row r="1" spans="1:31" s="172" customFormat="1" ht="10.5">
      <c r="A1" s="173" t="s">
        <v>180</v>
      </c>
      <c r="AE1" s="172" t="str">
        <f>_xll.ohRangeRetrieveError(C102)</f>
        <v/>
      </c>
    </row>
    <row r="2" spans="1:31" ht="15" thickBot="1"/>
    <row r="3" spans="1:31" ht="15" thickBot="1">
      <c r="A3" s="51" t="s">
        <v>67</v>
      </c>
      <c r="B3" s="52" t="str">
        <f>_xll.qlFlatForward(B5,B6,B7,B8,B9,B10,B11,B12,B13)</f>
        <v>obj_00000#0002</v>
      </c>
      <c r="C3" s="52" t="str">
        <f>_xll.qlIborIndex("Euribor",,"3M",2,"EUR","Target","unadjusted",FALSE,"act/360",InterestRateCurve!B3)</f>
        <v>Euribor#0002</v>
      </c>
      <c r="D3" s="61">
        <v>44077</v>
      </c>
      <c r="E3" s="62">
        <v>3.0000000000000001E-3</v>
      </c>
      <c r="H3" s="95"/>
      <c r="I3" s="96" t="s">
        <v>68</v>
      </c>
      <c r="J3" s="96" t="s">
        <v>69</v>
      </c>
      <c r="K3" s="96" t="s">
        <v>114</v>
      </c>
      <c r="L3" s="96"/>
      <c r="M3" s="96"/>
      <c r="N3" s="96"/>
      <c r="O3" s="96"/>
      <c r="P3" s="96"/>
      <c r="Q3" s="96"/>
      <c r="R3" s="96"/>
      <c r="S3" s="97"/>
    </row>
    <row r="4" spans="1:31" ht="15" thickBot="1">
      <c r="A4" s="53" t="s">
        <v>68</v>
      </c>
      <c r="B4" s="54" t="str">
        <f>_xll.ohRangeRetrieveError(B3)</f>
        <v/>
      </c>
      <c r="C4" s="12"/>
      <c r="D4" s="61">
        <v>43985</v>
      </c>
      <c r="E4" s="62">
        <v>4.0000000000000001E-3</v>
      </c>
      <c r="H4" s="98" t="str">
        <f>_xll.qlDepositRateHelper2(J4,K4,L4,M4,N4,O4,P4,Q4)</f>
        <v>DepoON#0002</v>
      </c>
      <c r="I4" s="99" t="str">
        <f>_xll.ohRangeRetrieveError(H4)</f>
        <v/>
      </c>
      <c r="J4" s="100" t="str">
        <f>"DepoON"</f>
        <v>DepoON</v>
      </c>
      <c r="K4" s="101">
        <v>0.01</v>
      </c>
      <c r="L4" s="100" t="s">
        <v>115</v>
      </c>
      <c r="M4" s="102">
        <v>0</v>
      </c>
      <c r="N4" s="102" t="s">
        <v>116</v>
      </c>
      <c r="O4" s="100" t="s">
        <v>117</v>
      </c>
      <c r="P4" s="102" t="b">
        <v>1</v>
      </c>
      <c r="Q4" s="102" t="s">
        <v>118</v>
      </c>
      <c r="R4" s="101"/>
      <c r="S4" s="103"/>
    </row>
    <row r="5" spans="1:31" ht="15" thickBot="1">
      <c r="A5" s="51" t="s">
        <v>69</v>
      </c>
      <c r="B5" s="55"/>
      <c r="C5" s="12"/>
      <c r="D5" s="63" t="s">
        <v>80</v>
      </c>
      <c r="E5" s="64" t="b">
        <f>_xll.qlIndexAddFixings(C3,D3:D4,E3:E4,TRUE)</f>
        <v>1</v>
      </c>
      <c r="H5" s="104" t="str">
        <f>_xll.qlDepositRateHelper2(J5,K5,L5,M5,N5,O5,P5,Q5)</f>
        <v>DepoTN#0002</v>
      </c>
      <c r="I5" s="105" t="str">
        <f>_xll.ohRangeRetrieveError(H5)</f>
        <v/>
      </c>
      <c r="J5" s="106" t="str">
        <f>"DepoTN"</f>
        <v>DepoTN</v>
      </c>
      <c r="K5" s="107">
        <v>0.01</v>
      </c>
      <c r="L5" s="106" t="s">
        <v>115</v>
      </c>
      <c r="M5" s="108">
        <v>1</v>
      </c>
      <c r="N5" s="108" t="s">
        <v>116</v>
      </c>
      <c r="O5" s="106" t="s">
        <v>117</v>
      </c>
      <c r="P5" s="108" t="b">
        <v>1</v>
      </c>
      <c r="Q5" s="108" t="s">
        <v>118</v>
      </c>
      <c r="R5" s="107"/>
      <c r="S5" s="109"/>
    </row>
    <row r="6" spans="1:31">
      <c r="A6" s="56" t="s">
        <v>70</v>
      </c>
      <c r="B6" s="57"/>
      <c r="C6" s="12"/>
      <c r="H6" s="104" t="str">
        <f>_xll.qlDepositRateHelper2(J6,K6,L6,M6,N6,O6,P6,Q6)</f>
        <v>DepoSN#0002</v>
      </c>
      <c r="I6" s="105" t="str">
        <f>_xll.ohRangeRetrieveError(H6)</f>
        <v/>
      </c>
      <c r="J6" s="106" t="str">
        <f>"DepoSN"</f>
        <v>DepoSN</v>
      </c>
      <c r="K6" s="107">
        <v>0.01</v>
      </c>
      <c r="L6" s="106" t="s">
        <v>115</v>
      </c>
      <c r="M6" s="108">
        <v>2</v>
      </c>
      <c r="N6" s="108" t="s">
        <v>116</v>
      </c>
      <c r="O6" s="106" t="s">
        <v>117</v>
      </c>
      <c r="P6" s="108" t="b">
        <v>1</v>
      </c>
      <c r="Q6" s="108" t="s">
        <v>118</v>
      </c>
      <c r="R6" s="107"/>
      <c r="S6" s="109"/>
    </row>
    <row r="7" spans="1:31">
      <c r="A7" s="56" t="s">
        <v>71</v>
      </c>
      <c r="B7" s="58" t="s">
        <v>72</v>
      </c>
      <c r="H7" s="104" t="str">
        <f>_xll.qlDepositRateHelper2(J7,K7,L7,M7,N7,O7,P7,Q7)</f>
        <v>Depo1W#0002</v>
      </c>
      <c r="I7" s="105" t="str">
        <f>_xll.ohRangeRetrieveError(H7)</f>
        <v/>
      </c>
      <c r="J7" s="106" t="str">
        <f>"Depo"&amp;L7</f>
        <v>Depo1W</v>
      </c>
      <c r="K7" s="107">
        <v>0.01</v>
      </c>
      <c r="L7" s="106" t="s">
        <v>119</v>
      </c>
      <c r="M7" s="108">
        <v>2</v>
      </c>
      <c r="N7" s="108" t="s">
        <v>116</v>
      </c>
      <c r="O7" s="106" t="s">
        <v>117</v>
      </c>
      <c r="P7" s="108" t="b">
        <v>1</v>
      </c>
      <c r="Q7" s="108" t="s">
        <v>118</v>
      </c>
      <c r="R7" s="107"/>
      <c r="S7" s="109"/>
    </row>
    <row r="8" spans="1:31">
      <c r="A8" s="56" t="s">
        <v>73</v>
      </c>
      <c r="B8" s="59">
        <v>2E-3</v>
      </c>
      <c r="H8" s="104" t="str">
        <f>_xll.qlDepositRateHelper2(J8,K8,L8,M8,N8,O8,P8,Q8)</f>
        <v>Depo2W#0002</v>
      </c>
      <c r="I8" s="105" t="str">
        <f>_xll.ohRangeRetrieveError(H8)</f>
        <v/>
      </c>
      <c r="J8" s="106" t="str">
        <f>"Depo"&amp;L8</f>
        <v>Depo2W</v>
      </c>
      <c r="K8" s="107">
        <v>0.01</v>
      </c>
      <c r="L8" s="106" t="s">
        <v>120</v>
      </c>
      <c r="M8" s="108">
        <v>2</v>
      </c>
      <c r="N8" s="108" t="s">
        <v>116</v>
      </c>
      <c r="O8" s="106" t="s">
        <v>117</v>
      </c>
      <c r="P8" s="108" t="b">
        <v>1</v>
      </c>
      <c r="Q8" s="108" t="s">
        <v>118</v>
      </c>
      <c r="R8" s="107"/>
      <c r="S8" s="109"/>
    </row>
    <row r="9" spans="1:31">
      <c r="A9" s="56" t="s">
        <v>74</v>
      </c>
      <c r="B9" s="58"/>
      <c r="H9" s="104" t="str">
        <f>_xll.qlDepositRateHelper2(J9,K9,L9,M9,N9,O9,P9,Q9)</f>
        <v>Depo3W#0002</v>
      </c>
      <c r="I9" s="105" t="str">
        <f>_xll.ohRangeRetrieveError(H9)</f>
        <v/>
      </c>
      <c r="J9" s="106" t="str">
        <f>"Depo"&amp;L9</f>
        <v>Depo3W</v>
      </c>
      <c r="K9" s="107">
        <v>0.01</v>
      </c>
      <c r="L9" s="106" t="s">
        <v>121</v>
      </c>
      <c r="M9" s="108">
        <v>2</v>
      </c>
      <c r="N9" s="108" t="s">
        <v>116</v>
      </c>
      <c r="O9" s="106" t="s">
        <v>117</v>
      </c>
      <c r="P9" s="108" t="b">
        <v>1</v>
      </c>
      <c r="Q9" s="108" t="s">
        <v>118</v>
      </c>
      <c r="R9" s="107"/>
      <c r="S9" s="109"/>
    </row>
    <row r="10" spans="1:31">
      <c r="A10" s="56" t="s">
        <v>75</v>
      </c>
      <c r="B10" s="58" t="s">
        <v>76</v>
      </c>
      <c r="H10" s="104" t="str">
        <f>_xll.qlDepositRateHelper2(J10,K10,L10,M10,N10,O10,P10,Q10)</f>
        <v>Depo1M#0002</v>
      </c>
      <c r="I10" s="105" t="str">
        <f>_xll.ohRangeRetrieveError(H10)</f>
        <v/>
      </c>
      <c r="J10" s="106" t="str">
        <f>"Depo"&amp;L10</f>
        <v>Depo1M</v>
      </c>
      <c r="K10" s="107">
        <v>0.01</v>
      </c>
      <c r="L10" s="106" t="s">
        <v>122</v>
      </c>
      <c r="M10" s="108">
        <v>2</v>
      </c>
      <c r="N10" s="108" t="s">
        <v>116</v>
      </c>
      <c r="O10" s="106" t="s">
        <v>123</v>
      </c>
      <c r="P10" s="108" t="b">
        <v>1</v>
      </c>
      <c r="Q10" s="108" t="s">
        <v>118</v>
      </c>
      <c r="R10" s="107"/>
      <c r="S10" s="109"/>
    </row>
    <row r="11" spans="1:31">
      <c r="A11" s="56" t="s">
        <v>77</v>
      </c>
      <c r="B11" s="58" t="s">
        <v>78</v>
      </c>
      <c r="H11" s="104" t="str">
        <f>_xll.qlDepositRateHelper2(J11,K11,L11,M11,N11,O11,P11,Q11)</f>
        <v>Depo2M#0002</v>
      </c>
      <c r="I11" s="105" t="str">
        <f>_xll.ohRangeRetrieveError(H11)</f>
        <v/>
      </c>
      <c r="J11" s="106" t="str">
        <f>"Depo"&amp;L11</f>
        <v>Depo2M</v>
      </c>
      <c r="K11" s="107">
        <v>0.01</v>
      </c>
      <c r="L11" s="106" t="s">
        <v>124</v>
      </c>
      <c r="M11" s="108">
        <v>2</v>
      </c>
      <c r="N11" s="108" t="s">
        <v>116</v>
      </c>
      <c r="O11" s="106" t="s">
        <v>123</v>
      </c>
      <c r="P11" s="108" t="b">
        <v>1</v>
      </c>
      <c r="Q11" s="108" t="s">
        <v>118</v>
      </c>
      <c r="R11" s="107"/>
      <c r="S11" s="109"/>
    </row>
    <row r="12" spans="1:31">
      <c r="A12" s="56" t="s">
        <v>79</v>
      </c>
      <c r="B12" s="58"/>
      <c r="H12" s="104" t="str">
        <f>_xll.qlDepositRateHelper2(J12,K12,L12,M12,N12,O12,P12,Q12)</f>
        <v>Depo3M#0002</v>
      </c>
      <c r="I12" s="105" t="str">
        <f>_xll.ohRangeRetrieveError(H12)</f>
        <v/>
      </c>
      <c r="J12" s="106" t="str">
        <f>"Depo"&amp;L12</f>
        <v>Depo3M</v>
      </c>
      <c r="K12" s="107">
        <v>0.01</v>
      </c>
      <c r="L12" s="106" t="s">
        <v>125</v>
      </c>
      <c r="M12" s="108">
        <v>2</v>
      </c>
      <c r="N12" s="108" t="s">
        <v>116</v>
      </c>
      <c r="O12" s="106" t="s">
        <v>123</v>
      </c>
      <c r="P12" s="108" t="b">
        <v>1</v>
      </c>
      <c r="Q12" s="108" t="s">
        <v>118</v>
      </c>
      <c r="R12" s="107"/>
      <c r="S12" s="109"/>
    </row>
    <row r="13" spans="1:31" ht="15" thickBot="1">
      <c r="A13" s="53" t="s">
        <v>39</v>
      </c>
      <c r="B13" s="60"/>
      <c r="H13" s="110" t="str">
        <f>_xll.qlDepositRateHelper2(J13,K13,L13,M13,N13,O13,P13,Q13)</f>
        <v>Depo6M#0002</v>
      </c>
      <c r="I13" s="111" t="str">
        <f>_xll.ohRangeRetrieveError(H13)</f>
        <v/>
      </c>
      <c r="J13" s="112" t="str">
        <f>"Depo"&amp;L13</f>
        <v>Depo6M</v>
      </c>
      <c r="K13" s="113">
        <v>0.01</v>
      </c>
      <c r="L13" s="112" t="s">
        <v>126</v>
      </c>
      <c r="M13" s="114">
        <v>2</v>
      </c>
      <c r="N13" s="114" t="s">
        <v>116</v>
      </c>
      <c r="O13" s="112" t="s">
        <v>123</v>
      </c>
      <c r="P13" s="114" t="b">
        <v>1</v>
      </c>
      <c r="Q13" s="114" t="s">
        <v>118</v>
      </c>
      <c r="R13" s="113"/>
      <c r="S13" s="115"/>
    </row>
    <row r="14" spans="1:31">
      <c r="H14" s="98" t="str">
        <f>_xll.qlFuturesRateHelper2(J14,K14,"IMM",L14,M14,N14,O14,P14,Q14,R14)</f>
        <v>FUT1#0002</v>
      </c>
      <c r="I14" s="116" t="str">
        <f>_xll.ohRangeRetrieveError(H14)</f>
        <v/>
      </c>
      <c r="J14" s="100" t="s">
        <v>127</v>
      </c>
      <c r="K14" s="117">
        <v>99</v>
      </c>
      <c r="L14" s="118" t="str">
        <f t="array" ref="L14:L21">_xll.qlIMMNextCodes(_xll.qlSettingsEvaluationDate()+3,P14:P21)</f>
        <v>U0</v>
      </c>
      <c r="M14" s="102">
        <v>3</v>
      </c>
      <c r="N14" s="102" t="s">
        <v>128</v>
      </c>
      <c r="O14" s="100" t="s">
        <v>123</v>
      </c>
      <c r="P14" s="102" t="b">
        <v>1</v>
      </c>
      <c r="Q14" s="102" t="s">
        <v>118</v>
      </c>
      <c r="R14" s="101">
        <v>0</v>
      </c>
      <c r="S14" s="103"/>
    </row>
    <row r="15" spans="1:31">
      <c r="H15" s="104" t="str">
        <f>_xll.qlFuturesRateHelper2(J15,K15,"IMM",L15,M15,N15,O15,P15,Q15,R15)</f>
        <v>FUT2#0002</v>
      </c>
      <c r="I15" s="121" t="str">
        <f>_xll.ohRangeRetrieveError(H15)</f>
        <v/>
      </c>
      <c r="J15" s="106" t="s">
        <v>129</v>
      </c>
      <c r="K15" s="122">
        <v>99</v>
      </c>
      <c r="L15" s="119" t="str">
        <v>Z0</v>
      </c>
      <c r="M15" s="108">
        <v>3</v>
      </c>
      <c r="N15" s="108" t="s">
        <v>128</v>
      </c>
      <c r="O15" s="106" t="s">
        <v>123</v>
      </c>
      <c r="P15" s="108" t="b">
        <v>1</v>
      </c>
      <c r="Q15" s="108" t="s">
        <v>118</v>
      </c>
      <c r="R15" s="107">
        <v>0</v>
      </c>
      <c r="S15" s="109"/>
    </row>
    <row r="16" spans="1:31">
      <c r="H16" s="104" t="str">
        <f>_xll.qlFuturesRateHelper2(J16,K16,"IMM",L16,M16,N16,O16,P16,Q16,R16)</f>
        <v>FUT3#0002</v>
      </c>
      <c r="I16" s="121" t="str">
        <f>_xll.ohRangeRetrieveError(H16)</f>
        <v/>
      </c>
      <c r="J16" s="106" t="s">
        <v>130</v>
      </c>
      <c r="K16" s="122">
        <v>99</v>
      </c>
      <c r="L16" s="119" t="str">
        <v>H1</v>
      </c>
      <c r="M16" s="108">
        <v>3</v>
      </c>
      <c r="N16" s="108" t="s">
        <v>128</v>
      </c>
      <c r="O16" s="106" t="s">
        <v>123</v>
      </c>
      <c r="P16" s="108" t="b">
        <v>1</v>
      </c>
      <c r="Q16" s="108" t="s">
        <v>118</v>
      </c>
      <c r="R16" s="107">
        <v>0</v>
      </c>
      <c r="S16" s="109"/>
    </row>
    <row r="17" spans="8:19">
      <c r="H17" s="104" t="str">
        <f>_xll.qlFuturesRateHelper2(J17,K17,"IMM",L17,M17,N17,O17,P17,Q17,R17)</f>
        <v>FUT4#0002</v>
      </c>
      <c r="I17" s="121" t="str">
        <f>_xll.ohRangeRetrieveError(H17)</f>
        <v/>
      </c>
      <c r="J17" s="106" t="s">
        <v>131</v>
      </c>
      <c r="K17" s="122">
        <v>99</v>
      </c>
      <c r="L17" s="119" t="str">
        <v>M1</v>
      </c>
      <c r="M17" s="108">
        <v>3</v>
      </c>
      <c r="N17" s="108" t="s">
        <v>128</v>
      </c>
      <c r="O17" s="106" t="s">
        <v>123</v>
      </c>
      <c r="P17" s="108" t="b">
        <v>1</v>
      </c>
      <c r="Q17" s="108" t="s">
        <v>118</v>
      </c>
      <c r="R17" s="107">
        <v>0</v>
      </c>
      <c r="S17" s="109"/>
    </row>
    <row r="18" spans="8:19">
      <c r="H18" s="104" t="str">
        <f>_xll.qlFuturesRateHelper2(J18,K18,"IMM",L18,M18,N18,O18,P18,Q18,R18)</f>
        <v>FUT5#0002</v>
      </c>
      <c r="I18" s="121" t="str">
        <f>_xll.ohRangeRetrieveError(H18)</f>
        <v/>
      </c>
      <c r="J18" s="106" t="s">
        <v>132</v>
      </c>
      <c r="K18" s="122">
        <v>99</v>
      </c>
      <c r="L18" s="119" t="str">
        <v>U1</v>
      </c>
      <c r="M18" s="108">
        <v>3</v>
      </c>
      <c r="N18" s="108" t="s">
        <v>128</v>
      </c>
      <c r="O18" s="106" t="s">
        <v>123</v>
      </c>
      <c r="P18" s="108" t="b">
        <v>1</v>
      </c>
      <c r="Q18" s="108" t="s">
        <v>118</v>
      </c>
      <c r="R18" s="107">
        <v>0</v>
      </c>
      <c r="S18" s="109"/>
    </row>
    <row r="19" spans="8:19">
      <c r="H19" s="104" t="str">
        <f>_xll.qlFuturesRateHelper2(J19,K19,"IMM",L19,M19,N19,O19,P19,Q19,R19)</f>
        <v>FUT6#0002</v>
      </c>
      <c r="I19" s="121" t="str">
        <f>_xll.ohRangeRetrieveError(H19)</f>
        <v/>
      </c>
      <c r="J19" s="106" t="s">
        <v>133</v>
      </c>
      <c r="K19" s="122">
        <v>99</v>
      </c>
      <c r="L19" s="119" t="str">
        <v>Z1</v>
      </c>
      <c r="M19" s="108">
        <v>3</v>
      </c>
      <c r="N19" s="108" t="s">
        <v>128</v>
      </c>
      <c r="O19" s="106" t="s">
        <v>123</v>
      </c>
      <c r="P19" s="108" t="b">
        <v>1</v>
      </c>
      <c r="Q19" s="108" t="s">
        <v>118</v>
      </c>
      <c r="R19" s="107">
        <v>0</v>
      </c>
      <c r="S19" s="109"/>
    </row>
    <row r="20" spans="8:19">
      <c r="H20" s="104" t="str">
        <f>_xll.qlFuturesRateHelper2(J20,K20,"IMM",L20,M20,N20,O20,P20,Q20,R20)</f>
        <v>FUT7#0002</v>
      </c>
      <c r="I20" s="121" t="str">
        <f>_xll.ohRangeRetrieveError(H20)</f>
        <v/>
      </c>
      <c r="J20" s="106" t="s">
        <v>134</v>
      </c>
      <c r="K20" s="122">
        <v>99</v>
      </c>
      <c r="L20" s="119" t="str">
        <v>H2</v>
      </c>
      <c r="M20" s="108">
        <v>3</v>
      </c>
      <c r="N20" s="108" t="s">
        <v>128</v>
      </c>
      <c r="O20" s="106" t="s">
        <v>123</v>
      </c>
      <c r="P20" s="108" t="b">
        <v>1</v>
      </c>
      <c r="Q20" s="108" t="s">
        <v>118</v>
      </c>
      <c r="R20" s="107">
        <v>0</v>
      </c>
      <c r="S20" s="109"/>
    </row>
    <row r="21" spans="8:19">
      <c r="H21" s="110" t="str">
        <f>_xll.qlFuturesRateHelper2(J21,K21,"IMM",L21,M21,N21,O21,P21,Q21,R21)</f>
        <v>FUT8#0002</v>
      </c>
      <c r="I21" s="123" t="str">
        <f>_xll.ohRangeRetrieveError(H21)</f>
        <v/>
      </c>
      <c r="J21" s="112" t="s">
        <v>135</v>
      </c>
      <c r="K21" s="124">
        <v>99</v>
      </c>
      <c r="L21" s="120" t="str">
        <v>M2</v>
      </c>
      <c r="M21" s="114">
        <v>3</v>
      </c>
      <c r="N21" s="114" t="s">
        <v>128</v>
      </c>
      <c r="O21" s="112" t="s">
        <v>123</v>
      </c>
      <c r="P21" s="114" t="b">
        <v>1</v>
      </c>
      <c r="Q21" s="114" t="s">
        <v>118</v>
      </c>
      <c r="R21" s="113">
        <v>0</v>
      </c>
      <c r="S21" s="115"/>
    </row>
    <row r="22" spans="8:19">
      <c r="H22" s="98" t="str">
        <f>_xll.qlSwapRateHelper2(J22,K22,2,L22,M22,N22,O22,P22,Q22,R22,S22)</f>
        <v>Swap3Y#0002</v>
      </c>
      <c r="I22" s="99" t="str">
        <f>_xll.ohRangeRetrieveError(H22)</f>
        <v/>
      </c>
      <c r="J22" s="100" t="str">
        <f>"Swap"&amp;L22</f>
        <v>Swap3Y</v>
      </c>
      <c r="K22" s="101">
        <v>0.01</v>
      </c>
      <c r="L22" s="118" t="s">
        <v>136</v>
      </c>
      <c r="M22" s="102" t="s">
        <v>128</v>
      </c>
      <c r="N22" s="102" t="s">
        <v>78</v>
      </c>
      <c r="O22" s="100" t="s">
        <v>123</v>
      </c>
      <c r="P22" s="102" t="s">
        <v>137</v>
      </c>
      <c r="Q22" s="169" t="str">
        <f>XXX!$F$27</f>
        <v>Euribor#0002</v>
      </c>
      <c r="R22" s="101">
        <v>0</v>
      </c>
      <c r="S22" s="103" t="s">
        <v>138</v>
      </c>
    </row>
    <row r="23" spans="8:19">
      <c r="H23" s="104" t="str">
        <f>_xll.qlSwapRateHelper2(J23,K23,2,L23,M23,N23,O23,P23,Q23,R23,S23)</f>
        <v>Swap4Y#0002</v>
      </c>
      <c r="I23" s="105" t="str">
        <f>_xll.ohRangeRetrieveError(H23)</f>
        <v/>
      </c>
      <c r="J23" s="106" t="str">
        <f>"Swap"&amp;L23</f>
        <v>Swap4Y</v>
      </c>
      <c r="K23" s="107">
        <v>0.01</v>
      </c>
      <c r="L23" s="119" t="s">
        <v>139</v>
      </c>
      <c r="M23" s="108" t="s">
        <v>128</v>
      </c>
      <c r="N23" s="108" t="s">
        <v>78</v>
      </c>
      <c r="O23" s="106" t="s">
        <v>123</v>
      </c>
      <c r="P23" s="108" t="s">
        <v>137</v>
      </c>
      <c r="Q23" s="170" t="str">
        <f>XXX!$F$27</f>
        <v>Euribor#0002</v>
      </c>
      <c r="R23" s="107">
        <v>0</v>
      </c>
      <c r="S23" s="109" t="s">
        <v>138</v>
      </c>
    </row>
    <row r="24" spans="8:19">
      <c r="H24" s="104" t="str">
        <f>_xll.qlSwapRateHelper2(J24,K24,2,L24,M24,N24,O24,P24,Q24,R24,S24)</f>
        <v>Swap5Y#0002</v>
      </c>
      <c r="I24" s="105" t="str">
        <f>_xll.ohRangeRetrieveError(H24)</f>
        <v/>
      </c>
      <c r="J24" s="106" t="str">
        <f>"Swap"&amp;L24</f>
        <v>Swap5Y</v>
      </c>
      <c r="K24" s="107">
        <v>0.01</v>
      </c>
      <c r="L24" s="119" t="s">
        <v>140</v>
      </c>
      <c r="M24" s="108" t="s">
        <v>128</v>
      </c>
      <c r="N24" s="108" t="s">
        <v>78</v>
      </c>
      <c r="O24" s="106" t="s">
        <v>123</v>
      </c>
      <c r="P24" s="108" t="s">
        <v>137</v>
      </c>
      <c r="Q24" s="170" t="str">
        <f>XXX!$F$27</f>
        <v>Euribor#0002</v>
      </c>
      <c r="R24" s="107">
        <v>0</v>
      </c>
      <c r="S24" s="109" t="s">
        <v>138</v>
      </c>
    </row>
    <row r="25" spans="8:19">
      <c r="H25" s="104" t="str">
        <f>_xll.qlSwapRateHelper2(J25,K25,2,L25,M25,N25,O25,P25,Q25,R25,S25)</f>
        <v>Swap6Y#0002</v>
      </c>
      <c r="I25" s="105" t="str">
        <f>_xll.ohRangeRetrieveError(H25)</f>
        <v/>
      </c>
      <c r="J25" s="106" t="str">
        <f>"Swap"&amp;L25</f>
        <v>Swap6Y</v>
      </c>
      <c r="K25" s="107">
        <v>0.01</v>
      </c>
      <c r="L25" s="119" t="s">
        <v>141</v>
      </c>
      <c r="M25" s="108" t="s">
        <v>128</v>
      </c>
      <c r="N25" s="108" t="s">
        <v>78</v>
      </c>
      <c r="O25" s="106" t="s">
        <v>123</v>
      </c>
      <c r="P25" s="108" t="s">
        <v>137</v>
      </c>
      <c r="Q25" s="170" t="str">
        <f>XXX!$F$27</f>
        <v>Euribor#0002</v>
      </c>
      <c r="R25" s="107">
        <v>0</v>
      </c>
      <c r="S25" s="109" t="s">
        <v>138</v>
      </c>
    </row>
    <row r="26" spans="8:19">
      <c r="H26" s="104" t="str">
        <f>_xll.qlSwapRateHelper2(J26,K26,2,L26,M26,N26,O26,P26,Q26,R26,S26)</f>
        <v>Swap7Y#0002</v>
      </c>
      <c r="I26" s="105" t="str">
        <f>_xll.ohRangeRetrieveError(H26)</f>
        <v/>
      </c>
      <c r="J26" s="106" t="str">
        <f>"Swap"&amp;L26</f>
        <v>Swap7Y</v>
      </c>
      <c r="K26" s="107">
        <v>0.01</v>
      </c>
      <c r="L26" s="119" t="s">
        <v>142</v>
      </c>
      <c r="M26" s="108" t="s">
        <v>128</v>
      </c>
      <c r="N26" s="108" t="s">
        <v>78</v>
      </c>
      <c r="O26" s="106" t="s">
        <v>123</v>
      </c>
      <c r="P26" s="108" t="s">
        <v>137</v>
      </c>
      <c r="Q26" s="170" t="str">
        <f>XXX!$F$27</f>
        <v>Euribor#0002</v>
      </c>
      <c r="R26" s="107">
        <v>0</v>
      </c>
      <c r="S26" s="109" t="s">
        <v>138</v>
      </c>
    </row>
    <row r="27" spans="8:19">
      <c r="H27" s="104" t="str">
        <f>_xll.qlSwapRateHelper2(J27,K27,2,L27,M27,N27,O27,P27,Q27,R27,S27)</f>
        <v>Swap8Y#0002</v>
      </c>
      <c r="I27" s="105" t="str">
        <f>_xll.ohRangeRetrieveError(H27)</f>
        <v/>
      </c>
      <c r="J27" s="106" t="str">
        <f>"Swap"&amp;L27</f>
        <v>Swap8Y</v>
      </c>
      <c r="K27" s="107">
        <v>0.01</v>
      </c>
      <c r="L27" s="119" t="s">
        <v>143</v>
      </c>
      <c r="M27" s="108" t="s">
        <v>128</v>
      </c>
      <c r="N27" s="108" t="s">
        <v>78</v>
      </c>
      <c r="O27" s="106" t="s">
        <v>123</v>
      </c>
      <c r="P27" s="108" t="s">
        <v>137</v>
      </c>
      <c r="Q27" s="170" t="str">
        <f>XXX!$F$27</f>
        <v>Euribor#0002</v>
      </c>
      <c r="R27" s="107">
        <v>0</v>
      </c>
      <c r="S27" s="109" t="s">
        <v>138</v>
      </c>
    </row>
    <row r="28" spans="8:19">
      <c r="H28" s="104" t="str">
        <f>_xll.qlSwapRateHelper2(J28,K28,2,L28,M28,N28,O28,P28,Q28,R28,S28)</f>
        <v>Swap9Y#0002</v>
      </c>
      <c r="I28" s="105" t="str">
        <f>_xll.ohRangeRetrieveError(H28)</f>
        <v/>
      </c>
      <c r="J28" s="106" t="str">
        <f>"Swap"&amp;L28</f>
        <v>Swap9Y</v>
      </c>
      <c r="K28" s="107">
        <v>0.01</v>
      </c>
      <c r="L28" s="119" t="s">
        <v>144</v>
      </c>
      <c r="M28" s="108" t="s">
        <v>128</v>
      </c>
      <c r="N28" s="108" t="s">
        <v>78</v>
      </c>
      <c r="O28" s="106" t="s">
        <v>123</v>
      </c>
      <c r="P28" s="108" t="s">
        <v>137</v>
      </c>
      <c r="Q28" s="170" t="str">
        <f>XXX!$F$27</f>
        <v>Euribor#0002</v>
      </c>
      <c r="R28" s="107">
        <v>0</v>
      </c>
      <c r="S28" s="109" t="s">
        <v>138</v>
      </c>
    </row>
    <row r="29" spans="8:19">
      <c r="H29" s="104" t="str">
        <f>_xll.qlSwapRateHelper2(J29,K29,2,L29,M29,N29,O29,P29,Q29,R29,S29)</f>
        <v>Swap10Y#0002</v>
      </c>
      <c r="I29" s="105" t="str">
        <f>_xll.ohRangeRetrieveError(H29)</f>
        <v/>
      </c>
      <c r="J29" s="106" t="str">
        <f>"Swap"&amp;L29</f>
        <v>Swap10Y</v>
      </c>
      <c r="K29" s="107">
        <v>0.01</v>
      </c>
      <c r="L29" s="119" t="s">
        <v>145</v>
      </c>
      <c r="M29" s="108" t="s">
        <v>128</v>
      </c>
      <c r="N29" s="108" t="s">
        <v>78</v>
      </c>
      <c r="O29" s="106" t="s">
        <v>123</v>
      </c>
      <c r="P29" s="108" t="s">
        <v>137</v>
      </c>
      <c r="Q29" s="170" t="str">
        <f>XXX!$F$27</f>
        <v>Euribor#0002</v>
      </c>
      <c r="R29" s="107">
        <v>0</v>
      </c>
      <c r="S29" s="109" t="s">
        <v>138</v>
      </c>
    </row>
    <row r="30" spans="8:19">
      <c r="H30" s="104" t="str">
        <f>_xll.qlSwapRateHelper2(J30,K30,2,L30,M30,N30,O30,P30,Q30,R30,S30)</f>
        <v>Swap15Y#0002</v>
      </c>
      <c r="I30" s="105" t="str">
        <f>_xll.ohRangeRetrieveError(H30)</f>
        <v/>
      </c>
      <c r="J30" s="106" t="str">
        <f>"Swap"&amp;L30</f>
        <v>Swap15Y</v>
      </c>
      <c r="K30" s="107">
        <v>0.01</v>
      </c>
      <c r="L30" s="119" t="s">
        <v>146</v>
      </c>
      <c r="M30" s="108" t="s">
        <v>128</v>
      </c>
      <c r="N30" s="108" t="s">
        <v>78</v>
      </c>
      <c r="O30" s="106" t="s">
        <v>123</v>
      </c>
      <c r="P30" s="108" t="s">
        <v>137</v>
      </c>
      <c r="Q30" s="170" t="str">
        <f>XXX!$F$27</f>
        <v>Euribor#0002</v>
      </c>
      <c r="R30" s="107">
        <v>0</v>
      </c>
      <c r="S30" s="109" t="s">
        <v>138</v>
      </c>
    </row>
    <row r="31" spans="8:19">
      <c r="H31" s="104" t="str">
        <f>_xll.qlSwapRateHelper2(J31,K31,2,L31,M31,N31,O31,P31,Q31,R31,S31)</f>
        <v>Swap20Y#0002</v>
      </c>
      <c r="I31" s="105" t="str">
        <f>_xll.ohRangeRetrieveError(H31)</f>
        <v/>
      </c>
      <c r="J31" s="106" t="str">
        <f>"Swap"&amp;L31</f>
        <v>Swap20Y</v>
      </c>
      <c r="K31" s="107">
        <v>0.01</v>
      </c>
      <c r="L31" s="119" t="s">
        <v>147</v>
      </c>
      <c r="M31" s="108" t="s">
        <v>128</v>
      </c>
      <c r="N31" s="108" t="s">
        <v>78</v>
      </c>
      <c r="O31" s="106" t="s">
        <v>123</v>
      </c>
      <c r="P31" s="108" t="s">
        <v>137</v>
      </c>
      <c r="Q31" s="170" t="str">
        <f>XXX!$F$27</f>
        <v>Euribor#0002</v>
      </c>
      <c r="R31" s="107">
        <v>0</v>
      </c>
      <c r="S31" s="109" t="s">
        <v>138</v>
      </c>
    </row>
    <row r="32" spans="8:19">
      <c r="H32" s="104" t="str">
        <f>_xll.qlSwapRateHelper2(J32,K32,2,L32,M32,N32,O32,P32,Q32,R32,S32)</f>
        <v>Swap25Y#0002</v>
      </c>
      <c r="I32" s="105" t="str">
        <f>_xll.ohRangeRetrieveError(H32)</f>
        <v/>
      </c>
      <c r="J32" s="106" t="str">
        <f>"Swap"&amp;L32</f>
        <v>Swap25Y</v>
      </c>
      <c r="K32" s="107">
        <v>0.01</v>
      </c>
      <c r="L32" s="119" t="s">
        <v>148</v>
      </c>
      <c r="M32" s="108" t="s">
        <v>128</v>
      </c>
      <c r="N32" s="108" t="s">
        <v>78</v>
      </c>
      <c r="O32" s="106" t="s">
        <v>123</v>
      </c>
      <c r="P32" s="108" t="s">
        <v>137</v>
      </c>
      <c r="Q32" s="170" t="str">
        <f>XXX!$F$27</f>
        <v>Euribor#0002</v>
      </c>
      <c r="R32" s="107">
        <v>0</v>
      </c>
      <c r="S32" s="109" t="s">
        <v>138</v>
      </c>
    </row>
    <row r="33" spans="1:19" ht="15" thickBot="1">
      <c r="H33" s="125" t="str">
        <f>_xll.qlSwapRateHelper2(J33,K33,2,L33,M33,N33,O33,P33,Q33,R33,S33)</f>
        <v>Swap30Y#0002</v>
      </c>
      <c r="I33" s="126" t="str">
        <f>_xll.ohRangeRetrieveError(H33)</f>
        <v/>
      </c>
      <c r="J33" s="127" t="str">
        <f>"Swap"&amp;L33</f>
        <v>Swap30Y</v>
      </c>
      <c r="K33" s="128">
        <v>0.01</v>
      </c>
      <c r="L33" s="129" t="s">
        <v>149</v>
      </c>
      <c r="M33" s="130" t="s">
        <v>128</v>
      </c>
      <c r="N33" s="130" t="s">
        <v>78</v>
      </c>
      <c r="O33" s="127" t="s">
        <v>123</v>
      </c>
      <c r="P33" s="130" t="s">
        <v>137</v>
      </c>
      <c r="Q33" s="171" t="str">
        <f>XXX!$F$27</f>
        <v>Euribor#0002</v>
      </c>
      <c r="R33" s="128">
        <v>0</v>
      </c>
      <c r="S33" s="131" t="s">
        <v>138</v>
      </c>
    </row>
    <row r="36" spans="1:19" s="172" customFormat="1" ht="10.5">
      <c r="A36" s="173" t="s">
        <v>182</v>
      </c>
    </row>
    <row r="37" spans="1:19" ht="15" thickBot="1"/>
    <row r="38" spans="1:19">
      <c r="A38" s="132" t="s">
        <v>150</v>
      </c>
      <c r="B38" s="133" t="s">
        <v>151</v>
      </c>
      <c r="C38" s="134" t="s">
        <v>152</v>
      </c>
    </row>
    <row r="39" spans="1:19">
      <c r="A39" s="135" t="str">
        <f t="array" ref="A39:A68">H4:H33</f>
        <v>DepoON#0002</v>
      </c>
      <c r="B39" s="137">
        <v>1</v>
      </c>
      <c r="C39" s="138" t="str">
        <f t="array" ref="C39:C68">_xll.qlRateHelperSelection(A39:A68,B39:B68,B70,B71,B72,B73,B74)</f>
        <v>Depo2M</v>
      </c>
    </row>
    <row r="40" spans="1:19">
      <c r="A40" s="135" t="str">
        <v>DepoTN#0002</v>
      </c>
      <c r="B40" s="137">
        <v>1</v>
      </c>
      <c r="C40" s="138" t="str">
        <v>Depo3M</v>
      </c>
    </row>
    <row r="41" spans="1:19">
      <c r="A41" s="135" t="str">
        <v>DepoSN#0002</v>
      </c>
      <c r="B41" s="137">
        <v>1</v>
      </c>
      <c r="C41" s="138" t="str">
        <v>FUT1</v>
      </c>
    </row>
    <row r="42" spans="1:19">
      <c r="A42" s="135" t="str">
        <v>Depo1W#0002</v>
      </c>
      <c r="B42" s="137">
        <v>1</v>
      </c>
      <c r="C42" s="138" t="str">
        <v>Depo6M</v>
      </c>
    </row>
    <row r="43" spans="1:19">
      <c r="A43" s="135" t="str">
        <v>Depo2W#0002</v>
      </c>
      <c r="B43" s="137">
        <v>1</v>
      </c>
      <c r="C43" s="138" t="str">
        <v>FUT2</v>
      </c>
    </row>
    <row r="44" spans="1:19">
      <c r="A44" s="135" t="str">
        <v>Depo3W#0002</v>
      </c>
      <c r="B44" s="137">
        <v>1</v>
      </c>
      <c r="C44" s="138" t="str">
        <v>FUT3</v>
      </c>
    </row>
    <row r="45" spans="1:19">
      <c r="A45" s="135" t="str">
        <v>Depo1M#0002</v>
      </c>
      <c r="B45" s="137">
        <v>1</v>
      </c>
      <c r="C45" s="138" t="str">
        <v>FUT4</v>
      </c>
    </row>
    <row r="46" spans="1:19">
      <c r="A46" s="135" t="str">
        <v>Depo2M#0002</v>
      </c>
      <c r="B46" s="137">
        <v>1</v>
      </c>
      <c r="C46" s="138" t="str">
        <v>FUT5</v>
      </c>
    </row>
    <row r="47" spans="1:19">
      <c r="A47" s="135" t="str">
        <v>Depo3M#0002</v>
      </c>
      <c r="B47" s="137">
        <v>1</v>
      </c>
      <c r="C47" s="138" t="str">
        <v>FUT6</v>
      </c>
    </row>
    <row r="48" spans="1:19">
      <c r="A48" s="135" t="str">
        <v>Depo6M#0002</v>
      </c>
      <c r="B48" s="137">
        <v>4</v>
      </c>
      <c r="C48" s="138" t="str">
        <v>FUT7</v>
      </c>
    </row>
    <row r="49" spans="1:3">
      <c r="A49" s="135" t="str">
        <v>FUT1#0002</v>
      </c>
      <c r="B49" s="137">
        <v>4</v>
      </c>
      <c r="C49" s="138" t="str">
        <v>FUT8</v>
      </c>
    </row>
    <row r="50" spans="1:3">
      <c r="A50" s="135" t="str">
        <v>FUT2#0002</v>
      </c>
      <c r="B50" s="137">
        <v>4</v>
      </c>
      <c r="C50" s="138" t="str">
        <v>Swap3Y</v>
      </c>
    </row>
    <row r="51" spans="1:3">
      <c r="A51" s="135" t="str">
        <v>FUT3#0002</v>
      </c>
      <c r="B51" s="137">
        <v>4</v>
      </c>
      <c r="C51" s="138" t="str">
        <v>Swap4Y</v>
      </c>
    </row>
    <row r="52" spans="1:3">
      <c r="A52" s="135" t="str">
        <v>FUT4#0002</v>
      </c>
      <c r="B52" s="137">
        <v>4</v>
      </c>
      <c r="C52" s="138" t="str">
        <v>Swap5Y</v>
      </c>
    </row>
    <row r="53" spans="1:3">
      <c r="A53" s="135" t="str">
        <v>FUT5#0002</v>
      </c>
      <c r="B53" s="137">
        <v>4</v>
      </c>
      <c r="C53" s="138" t="str">
        <v>Swap6Y</v>
      </c>
    </row>
    <row r="54" spans="1:3">
      <c r="A54" s="135" t="str">
        <v>FUT6#0002</v>
      </c>
      <c r="B54" s="137">
        <v>4</v>
      </c>
      <c r="C54" s="138" t="str">
        <v>Swap7Y</v>
      </c>
    </row>
    <row r="55" spans="1:3">
      <c r="A55" s="135" t="str">
        <v>FUT7#0002</v>
      </c>
      <c r="B55" s="137">
        <v>4</v>
      </c>
      <c r="C55" s="138" t="str">
        <v>Swap8Y</v>
      </c>
    </row>
    <row r="56" spans="1:3">
      <c r="A56" s="135" t="str">
        <v>FUT8#0002</v>
      </c>
      <c r="B56" s="137">
        <v>3</v>
      </c>
      <c r="C56" s="138" t="str">
        <v>Swap9Y</v>
      </c>
    </row>
    <row r="57" spans="1:3">
      <c r="A57" s="135" t="str">
        <v>Swap3Y#0002</v>
      </c>
      <c r="B57" s="137">
        <v>3</v>
      </c>
      <c r="C57" s="138" t="str">
        <v>Swap10Y</v>
      </c>
    </row>
    <row r="58" spans="1:3">
      <c r="A58" s="135" t="str">
        <v>Swap4Y#0002</v>
      </c>
      <c r="B58" s="137">
        <v>3</v>
      </c>
      <c r="C58" s="138" t="str">
        <v>Swap15Y</v>
      </c>
    </row>
    <row r="59" spans="1:3">
      <c r="A59" s="135" t="str">
        <v>Swap5Y#0002</v>
      </c>
      <c r="B59" s="137">
        <v>3</v>
      </c>
      <c r="C59" s="138" t="str">
        <v>Swap20Y</v>
      </c>
    </row>
    <row r="60" spans="1:3">
      <c r="A60" s="135" t="str">
        <v>Swap6Y#0002</v>
      </c>
      <c r="B60" s="137">
        <v>3</v>
      </c>
      <c r="C60" s="138" t="str">
        <v>Swap25Y</v>
      </c>
    </row>
    <row r="61" spans="1:3">
      <c r="A61" s="135" t="str">
        <v>Swap7Y#0002</v>
      </c>
      <c r="B61" s="137">
        <v>3</v>
      </c>
      <c r="C61" s="138" t="str">
        <v>Swap30Y</v>
      </c>
    </row>
    <row r="62" spans="1:3">
      <c r="A62" s="135" t="str">
        <v>Swap8Y#0002</v>
      </c>
      <c r="B62" s="137">
        <v>3</v>
      </c>
      <c r="C62" s="138" t="e">
        <v>#N/A</v>
      </c>
    </row>
    <row r="63" spans="1:3">
      <c r="A63" s="135" t="str">
        <v>Swap9Y#0002</v>
      </c>
      <c r="B63" s="137">
        <v>3</v>
      </c>
      <c r="C63" s="138" t="e">
        <v>#N/A</v>
      </c>
    </row>
    <row r="64" spans="1:3">
      <c r="A64" s="135" t="str">
        <v>Swap10Y#0002</v>
      </c>
      <c r="B64" s="137">
        <v>3</v>
      </c>
      <c r="C64" s="138" t="e">
        <v>#N/A</v>
      </c>
    </row>
    <row r="65" spans="1:3">
      <c r="A65" s="135" t="str">
        <v>Swap15Y#0002</v>
      </c>
      <c r="B65" s="137">
        <v>3</v>
      </c>
      <c r="C65" s="138" t="e">
        <v>#N/A</v>
      </c>
    </row>
    <row r="66" spans="1:3">
      <c r="A66" s="135" t="str">
        <v>Swap20Y#0002</v>
      </c>
      <c r="B66" s="137">
        <v>3</v>
      </c>
      <c r="C66" s="138" t="e">
        <v>#N/A</v>
      </c>
    </row>
    <row r="67" spans="1:3">
      <c r="A67" s="135" t="str">
        <v>Swap25Y#0002</v>
      </c>
      <c r="B67" s="137">
        <v>3</v>
      </c>
      <c r="C67" s="138" t="e">
        <v>#N/A</v>
      </c>
    </row>
    <row r="68" spans="1:3" ht="15" thickBot="1">
      <c r="A68" s="136" t="str">
        <v>Swap30Y#0002</v>
      </c>
      <c r="B68" s="140">
        <v>3</v>
      </c>
      <c r="C68" s="139" t="e">
        <v>#N/A</v>
      </c>
    </row>
    <row r="69" spans="1:3" ht="15" thickBot="1"/>
    <row r="70" spans="1:3">
      <c r="A70" s="141" t="s">
        <v>153</v>
      </c>
      <c r="B70" s="142">
        <v>8</v>
      </c>
    </row>
    <row r="71" spans="1:3">
      <c r="A71" s="143" t="s">
        <v>154</v>
      </c>
      <c r="B71" s="144">
        <v>0</v>
      </c>
    </row>
    <row r="72" spans="1:3">
      <c r="A72" s="143" t="s">
        <v>155</v>
      </c>
      <c r="B72" s="144">
        <v>3</v>
      </c>
    </row>
    <row r="73" spans="1:3">
      <c r="A73" s="143" t="s">
        <v>156</v>
      </c>
      <c r="B73" s="145" t="s">
        <v>157</v>
      </c>
    </row>
    <row r="74" spans="1:3" ht="15" thickBot="1">
      <c r="A74" s="146" t="s">
        <v>39</v>
      </c>
      <c r="B74" s="147">
        <v>30</v>
      </c>
    </row>
    <row r="75" spans="1:3" ht="15" thickBot="1">
      <c r="A75" s="148"/>
      <c r="B75" s="148"/>
    </row>
    <row r="76" spans="1:3">
      <c r="A76" s="141" t="s">
        <v>158</v>
      </c>
      <c r="B76" s="149" t="str">
        <f>_xll.qlPiecewiseYieldCurve(B78,B79,B80,_xll.ohPack(C39:C68),B81,,,B84,B82,B83,B85,B86)</f>
        <v>obj_00020#0002</v>
      </c>
    </row>
    <row r="77" spans="1:3" ht="15" thickBot="1">
      <c r="A77" s="146" t="s">
        <v>68</v>
      </c>
      <c r="B77" s="150" t="str">
        <f>_xll.ohRangeRetrieveError(B76)</f>
        <v/>
      </c>
    </row>
    <row r="78" spans="1:3">
      <c r="A78" s="141" t="s">
        <v>69</v>
      </c>
      <c r="B78" s="151"/>
    </row>
    <row r="79" spans="1:3">
      <c r="A79" s="143" t="s">
        <v>70</v>
      </c>
      <c r="B79" s="145">
        <v>2</v>
      </c>
    </row>
    <row r="80" spans="1:3">
      <c r="A80" s="143" t="s">
        <v>71</v>
      </c>
      <c r="B80" s="145" t="s">
        <v>128</v>
      </c>
    </row>
    <row r="81" spans="1:2">
      <c r="A81" s="143" t="s">
        <v>74</v>
      </c>
      <c r="B81" s="145"/>
    </row>
    <row r="82" spans="1:2">
      <c r="A82" s="143" t="s">
        <v>159</v>
      </c>
      <c r="B82" s="145" t="s">
        <v>160</v>
      </c>
    </row>
    <row r="83" spans="1:2">
      <c r="A83" s="143" t="s">
        <v>161</v>
      </c>
      <c r="B83" s="145" t="s">
        <v>162</v>
      </c>
    </row>
    <row r="84" spans="1:2">
      <c r="A84" s="143" t="s">
        <v>163</v>
      </c>
      <c r="B84" s="145"/>
    </row>
    <row r="85" spans="1:2">
      <c r="A85" s="143" t="s">
        <v>79</v>
      </c>
      <c r="B85" s="145"/>
    </row>
    <row r="86" spans="1:2" ht="15" thickBot="1">
      <c r="A86" s="146" t="s">
        <v>39</v>
      </c>
      <c r="B86" s="147"/>
    </row>
    <row r="87" spans="1:2" ht="15" thickBot="1">
      <c r="A87" s="148"/>
      <c r="B87" s="148"/>
    </row>
    <row r="88" spans="1:2">
      <c r="A88" s="153" t="s">
        <v>164</v>
      </c>
      <c r="B88" s="154" t="str">
        <f>_xll.qlTermStructureCalendar(B76)</f>
        <v>TARGET</v>
      </c>
    </row>
    <row r="89" spans="1:2">
      <c r="A89" s="155" t="s">
        <v>165</v>
      </c>
      <c r="B89" s="156" t="str">
        <f>_xll.qlTermStructureDayCounter(B76)</f>
        <v>Actual/365 (Fixed)</v>
      </c>
    </row>
    <row r="90" spans="1:2">
      <c r="A90" s="155" t="s">
        <v>166</v>
      </c>
      <c r="B90" s="157">
        <f>_xll.qlTermStructureReferenceDate(B76)</f>
        <v>44048</v>
      </c>
    </row>
    <row r="91" spans="1:2">
      <c r="A91" s="155" t="s">
        <v>167</v>
      </c>
      <c r="B91" s="157">
        <f>_xll.qlTermStructureMaxDate(B76)</f>
        <v>55005</v>
      </c>
    </row>
    <row r="92" spans="1:2">
      <c r="A92" s="158" t="s">
        <v>168</v>
      </c>
      <c r="B92" s="159">
        <f>_xll.qlTermStructureSettlementDays(B76)</f>
        <v>2</v>
      </c>
    </row>
    <row r="93" spans="1:2">
      <c r="A93" s="160" t="s">
        <v>169</v>
      </c>
      <c r="B93" s="161">
        <f>_xll.qlYieldTSDiscount(B76,B90)</f>
        <v>1</v>
      </c>
    </row>
    <row r="94" spans="1:2">
      <c r="A94" s="155" t="s">
        <v>170</v>
      </c>
      <c r="B94" s="162">
        <f>_xll.qlYieldTSForwardRate(B76,B90,B90+90,B89,"simple","annual")</f>
        <v>1.0138798320297541E-2</v>
      </c>
    </row>
    <row r="95" spans="1:2" ht="15" thickBot="1">
      <c r="A95" s="163" t="s">
        <v>171</v>
      </c>
      <c r="B95" s="164">
        <f>_xll.qlYieldTSZeroRate(B76,B90,B89,"simple","annual")</f>
        <v>1.0130313818912384E-2</v>
      </c>
    </row>
    <row r="98" spans="1:7" s="172" customFormat="1" ht="10.5">
      <c r="A98" s="173" t="s">
        <v>181</v>
      </c>
    </row>
    <row r="99" spans="1:7" ht="15" thickBot="1"/>
    <row r="100" spans="1:7" ht="15" thickBot="1">
      <c r="A100" s="152"/>
      <c r="B100" s="152"/>
      <c r="C100" s="152"/>
      <c r="D100" s="149">
        <f>XXX!F45</f>
        <v>0.04</v>
      </c>
      <c r="F100" s="149">
        <v>1E-4</v>
      </c>
    </row>
    <row r="101" spans="1:7">
      <c r="A101" s="132" t="s">
        <v>172</v>
      </c>
      <c r="B101" s="134" t="s">
        <v>173</v>
      </c>
      <c r="C101" s="148" t="s">
        <v>174</v>
      </c>
      <c r="D101" s="148" t="s">
        <v>175</v>
      </c>
      <c r="E101" s="148" t="s">
        <v>176</v>
      </c>
      <c r="F101" s="148" t="s">
        <v>177</v>
      </c>
      <c r="G101" s="148" t="s">
        <v>178</v>
      </c>
    </row>
    <row r="102" spans="1:7">
      <c r="A102" s="165">
        <f t="array" ref="A102:A132">_xll.qlPiecewiseYieldCurveDates(B76)</f>
        <v>44048</v>
      </c>
      <c r="B102" s="166">
        <f t="array" ref="B102:B132">_xll.qlPiecewiseYieldCurveData(B76)</f>
        <v>1</v>
      </c>
      <c r="C102" s="152">
        <f t="array" ref="C102:C132">_xll.qlYieldTSZeroRate(B76,A102:A125,"act/act","continuous",,TRUE,1)</f>
        <v>1.0130308687752946E-2</v>
      </c>
      <c r="D102" s="152">
        <f>$R$2</f>
        <v>0</v>
      </c>
      <c r="E102" s="152">
        <f>C102+D102</f>
        <v>1.0130308687752946E-2</v>
      </c>
      <c r="F102" s="152">
        <f>E102+$U$2</f>
        <v>1.0130308687752946E-2</v>
      </c>
      <c r="G102" s="152"/>
    </row>
    <row r="103" spans="1:7">
      <c r="A103" s="165">
        <v>44109</v>
      </c>
      <c r="B103" s="166">
        <v>0.9983084218407704</v>
      </c>
      <c r="C103" s="152">
        <v>1.0158062958369437E-2</v>
      </c>
      <c r="D103" s="152">
        <f>$R$2</f>
        <v>0</v>
      </c>
      <c r="E103" s="152">
        <f>C103+D103</f>
        <v>1.0158062958369437E-2</v>
      </c>
      <c r="F103" s="152">
        <f>E103+$U$2</f>
        <v>1.0158062958369437E-2</v>
      </c>
      <c r="G103" s="152"/>
    </row>
    <row r="104" spans="1:7">
      <c r="A104" s="165">
        <v>44140</v>
      </c>
      <c r="B104" s="166">
        <v>0.99745095866130662</v>
      </c>
      <c r="C104" s="152">
        <v>1.0153698015536455E-2</v>
      </c>
      <c r="D104" s="152">
        <f>$R$2</f>
        <v>0</v>
      </c>
      <c r="E104" s="152">
        <f>C104+D104</f>
        <v>1.0153698015536455E-2</v>
      </c>
      <c r="F104" s="152">
        <f>E104+$U$2</f>
        <v>1.0153698015536455E-2</v>
      </c>
      <c r="G104" s="152"/>
    </row>
    <row r="105" spans="1:7">
      <c r="A105" s="165">
        <v>44181</v>
      </c>
      <c r="B105" s="166">
        <v>0.9963165329926551</v>
      </c>
      <c r="C105" s="152">
        <v>1.0155172705421689E-2</v>
      </c>
      <c r="D105" s="152">
        <f>$R$2</f>
        <v>0</v>
      </c>
      <c r="E105" s="152">
        <f>C105+D105</f>
        <v>1.0155172705421689E-2</v>
      </c>
      <c r="F105" s="152">
        <f>E105+$U$2</f>
        <v>1.0155172705421689E-2</v>
      </c>
      <c r="G105" s="152"/>
    </row>
    <row r="106" spans="1:7">
      <c r="A106" s="165">
        <v>44232</v>
      </c>
      <c r="B106" s="166">
        <v>0.99491487950475344</v>
      </c>
      <c r="C106" s="152">
        <v>1.0135491330886507E-2</v>
      </c>
      <c r="D106" s="152">
        <f>$R$2</f>
        <v>0</v>
      </c>
      <c r="E106" s="152">
        <f>C106+D106</f>
        <v>1.0135491330886507E-2</v>
      </c>
      <c r="F106" s="152">
        <f>E106+$U$2</f>
        <v>1.0135491330886507E-2</v>
      </c>
      <c r="G106" s="152"/>
    </row>
    <row r="107" spans="1:7">
      <c r="A107" s="165">
        <v>44271</v>
      </c>
      <c r="B107" s="166">
        <v>0.99383195310988048</v>
      </c>
      <c r="C107" s="152">
        <v>1.0145467413543234E-2</v>
      </c>
      <c r="D107" s="152">
        <f>$R$2</f>
        <v>0</v>
      </c>
      <c r="E107" s="152">
        <f>C107+D107</f>
        <v>1.0145467413543234E-2</v>
      </c>
      <c r="F107" s="152">
        <f>E107+$U$2</f>
        <v>1.0145467413543234E-2</v>
      </c>
      <c r="G107" s="152"/>
    </row>
    <row r="108" spans="1:7">
      <c r="A108" s="165">
        <v>44364</v>
      </c>
      <c r="B108" s="166">
        <v>0.99127113381104248</v>
      </c>
      <c r="C108" s="152">
        <v>1.013971762632049E-2</v>
      </c>
      <c r="D108" s="152">
        <f>$R$2</f>
        <v>0</v>
      </c>
      <c r="E108" s="152">
        <f>C108+D108</f>
        <v>1.013971762632049E-2</v>
      </c>
      <c r="F108" s="152">
        <f>E108+$U$2</f>
        <v>1.013971762632049E-2</v>
      </c>
      <c r="G108" s="152"/>
    </row>
    <row r="109" spans="1:7">
      <c r="A109" s="165">
        <v>44455</v>
      </c>
      <c r="B109" s="166">
        <v>0.98877177317948362</v>
      </c>
      <c r="C109" s="152">
        <v>1.0136637548215184E-2</v>
      </c>
      <c r="D109" s="152">
        <f>$R$2</f>
        <v>0</v>
      </c>
      <c r="E109" s="152">
        <f>C109+D109</f>
        <v>1.0136637548215184E-2</v>
      </c>
      <c r="F109" s="152">
        <f>E109+$U$2</f>
        <v>1.0136637548215184E-2</v>
      </c>
      <c r="G109" s="152"/>
    </row>
    <row r="110" spans="1:7">
      <c r="A110" s="165">
        <v>44545</v>
      </c>
      <c r="B110" s="166">
        <v>0.98630604191212579</v>
      </c>
      <c r="C110" s="152">
        <v>1.0134727336103736E-2</v>
      </c>
      <c r="D110" s="152">
        <f>$R$2</f>
        <v>0</v>
      </c>
      <c r="E110" s="152">
        <f>C110+D110</f>
        <v>1.0134727336103736E-2</v>
      </c>
      <c r="F110" s="152">
        <f>E110+$U$2</f>
        <v>1.0134727336103736E-2</v>
      </c>
      <c r="G110" s="152"/>
    </row>
    <row r="111" spans="1:7">
      <c r="A111" s="165">
        <v>44635</v>
      </c>
      <c r="B111" s="166">
        <v>0.98384642584750759</v>
      </c>
      <c r="C111" s="152">
        <v>1.0133424579506743E-2</v>
      </c>
      <c r="D111" s="152">
        <f>$R$2</f>
        <v>0</v>
      </c>
      <c r="E111" s="152">
        <f>C111+D111</f>
        <v>1.0133424579506743E-2</v>
      </c>
      <c r="F111" s="152">
        <f>E111+$U$2</f>
        <v>1.0133424579506743E-2</v>
      </c>
      <c r="G111" s="152"/>
    </row>
    <row r="112" spans="1:7">
      <c r="A112" s="165">
        <v>44728</v>
      </c>
      <c r="B112" s="166">
        <v>0.98131133638239865</v>
      </c>
      <c r="C112" s="152">
        <v>1.0132402484609752E-2</v>
      </c>
      <c r="D112" s="152">
        <f>$R$2</f>
        <v>0</v>
      </c>
      <c r="E112" s="152">
        <f>C112+D112</f>
        <v>1.0132402484609752E-2</v>
      </c>
      <c r="F112" s="152">
        <f>E112+$U$2</f>
        <v>1.0132402484609752E-2</v>
      </c>
      <c r="G112" s="152"/>
    </row>
    <row r="113" spans="1:7">
      <c r="A113" s="165">
        <v>44819</v>
      </c>
      <c r="B113" s="166">
        <v>0.97883708807857395</v>
      </c>
      <c r="C113" s="152">
        <v>1.0131641174737454E-2</v>
      </c>
      <c r="D113" s="152">
        <f>$R$2</f>
        <v>0</v>
      </c>
      <c r="E113" s="152">
        <f>C113+D113</f>
        <v>1.0131641174737454E-2</v>
      </c>
      <c r="F113" s="152">
        <f>E113+$U$2</f>
        <v>1.0131641174737454E-2</v>
      </c>
      <c r="G113" s="152"/>
    </row>
    <row r="114" spans="1:7">
      <c r="A114" s="165">
        <v>45145</v>
      </c>
      <c r="B114" s="166">
        <v>0.97049024404917827</v>
      </c>
      <c r="C114" s="152">
        <v>9.9701394155384433E-3</v>
      </c>
      <c r="D114" s="152">
        <f>$R$2</f>
        <v>0</v>
      </c>
      <c r="E114" s="152">
        <f>C114+D114</f>
        <v>9.9701394155384433E-3</v>
      </c>
      <c r="F114" s="152">
        <f>E114+$U$2</f>
        <v>9.9701394155384433E-3</v>
      </c>
      <c r="G114" s="152"/>
    </row>
    <row r="115" spans="1:7">
      <c r="A115" s="165">
        <v>45509</v>
      </c>
      <c r="B115" s="166">
        <v>0.96098618348770593</v>
      </c>
      <c r="C115" s="152">
        <v>9.9488118348073067E-3</v>
      </c>
      <c r="D115" s="152">
        <f>$R$2</f>
        <v>0</v>
      </c>
      <c r="E115" s="152">
        <f>C115+D115</f>
        <v>9.9488118348073067E-3</v>
      </c>
      <c r="F115" s="152">
        <f>E115+$U$2</f>
        <v>9.9488118348073067E-3</v>
      </c>
      <c r="G115" s="152"/>
    </row>
    <row r="116" spans="1:7">
      <c r="A116" s="165">
        <v>45874</v>
      </c>
      <c r="B116" s="166">
        <v>0.9514714687995125</v>
      </c>
      <c r="C116" s="152">
        <v>9.951335488790708E-3</v>
      </c>
      <c r="D116" s="152">
        <f>$R$2</f>
        <v>0</v>
      </c>
      <c r="E116" s="152">
        <f>C116+D116</f>
        <v>9.951335488790708E-3</v>
      </c>
      <c r="F116" s="152">
        <f>E116+$U$2</f>
        <v>9.951335488790708E-3</v>
      </c>
      <c r="G116" s="152"/>
    </row>
    <row r="117" spans="1:7">
      <c r="A117" s="165">
        <v>46239</v>
      </c>
      <c r="B117" s="166">
        <v>0.94205095920756332</v>
      </c>
      <c r="C117" s="152">
        <v>9.9511680183666813E-3</v>
      </c>
      <c r="D117" s="152">
        <f>$R$2</f>
        <v>0</v>
      </c>
      <c r="E117" s="152">
        <f>C117+D117</f>
        <v>9.9511680183666813E-3</v>
      </c>
      <c r="F117" s="152">
        <f>E117+$U$2</f>
        <v>9.9511680183666813E-3</v>
      </c>
      <c r="G117" s="152"/>
    </row>
    <row r="118" spans="1:7">
      <c r="A118" s="165">
        <v>46604</v>
      </c>
      <c r="B118" s="166">
        <v>0.93272372198772724</v>
      </c>
      <c r="C118" s="152">
        <v>9.9510484042732161E-3</v>
      </c>
      <c r="D118" s="152">
        <f>$R$2</f>
        <v>0</v>
      </c>
      <c r="E118" s="152">
        <f>C118+D118</f>
        <v>9.9510484042732161E-3</v>
      </c>
      <c r="F118" s="152">
        <f>E118+$U$2</f>
        <v>9.9510484042732161E-3</v>
      </c>
      <c r="G118" s="152"/>
    </row>
    <row r="119" spans="1:7">
      <c r="A119" s="165">
        <v>46972</v>
      </c>
      <c r="B119" s="166">
        <v>0.92338812298632855</v>
      </c>
      <c r="C119" s="152">
        <v>9.9564030850939119E-3</v>
      </c>
      <c r="D119" s="152">
        <f>$R$2</f>
        <v>0</v>
      </c>
      <c r="E119" s="152">
        <f>C119+D119</f>
        <v>9.9564030850939119E-3</v>
      </c>
      <c r="F119" s="152">
        <f>E119+$U$2</f>
        <v>9.9564030850939119E-3</v>
      </c>
      <c r="G119" s="152"/>
    </row>
    <row r="120" spans="1:7">
      <c r="A120" s="165">
        <v>47336</v>
      </c>
      <c r="B120" s="166">
        <v>0.91429587859271044</v>
      </c>
      <c r="C120" s="152">
        <v>9.9538747482783175E-3</v>
      </c>
      <c r="D120" s="152">
        <f>$R$2</f>
        <v>0</v>
      </c>
      <c r="E120" s="152">
        <f>C120+D120</f>
        <v>9.9538747482783175E-3</v>
      </c>
      <c r="F120" s="152">
        <f>E120+$U$2</f>
        <v>9.9538747482783175E-3</v>
      </c>
      <c r="G120" s="152"/>
    </row>
    <row r="121" spans="1:7">
      <c r="A121" s="165">
        <v>47700</v>
      </c>
      <c r="B121" s="166">
        <v>0.90529292073812051</v>
      </c>
      <c r="C121" s="152">
        <v>9.9507816961612178E-3</v>
      </c>
      <c r="D121" s="152">
        <f>$R$2</f>
        <v>0</v>
      </c>
      <c r="E121" s="152">
        <f>C121+D121</f>
        <v>9.9507816961612178E-3</v>
      </c>
      <c r="F121" s="152">
        <f>E121+$U$2</f>
        <v>9.9507816961612178E-3</v>
      </c>
      <c r="G121" s="152"/>
    </row>
    <row r="122" spans="1:7">
      <c r="A122" s="165">
        <v>49527</v>
      </c>
      <c r="B122" s="166">
        <v>0.86130893966409738</v>
      </c>
      <c r="C122" s="152">
        <v>9.952390505131763E-3</v>
      </c>
      <c r="D122" s="152">
        <f>$R$2</f>
        <v>0</v>
      </c>
      <c r="E122" s="152">
        <f>C122+D122</f>
        <v>9.952390505131763E-3</v>
      </c>
      <c r="F122" s="152">
        <f>E122+$U$2</f>
        <v>9.952390505131763E-3</v>
      </c>
      <c r="G122" s="152"/>
    </row>
    <row r="123" spans="1:7">
      <c r="A123" s="165">
        <v>51354</v>
      </c>
      <c r="B123" s="166">
        <v>0.81950702111305895</v>
      </c>
      <c r="C123" s="152">
        <v>9.9512562026618807E-3</v>
      </c>
      <c r="D123" s="152">
        <f>$R$2</f>
        <v>0</v>
      </c>
      <c r="E123" s="152">
        <f>C123+D123</f>
        <v>9.9512562026618807E-3</v>
      </c>
      <c r="F123" s="152">
        <f>E123+$U$2</f>
        <v>9.9512562026618807E-3</v>
      </c>
      <c r="G123" s="152"/>
    </row>
    <row r="124" spans="1:7">
      <c r="A124" s="165">
        <v>53181</v>
      </c>
      <c r="B124" s="166">
        <v>0.77969161807078091</v>
      </c>
      <c r="C124" s="152">
        <v>9.952534602990561E-3</v>
      </c>
      <c r="D124" s="152">
        <f>$R$2</f>
        <v>0</v>
      </c>
      <c r="E124" s="152">
        <f>C124+D124</f>
        <v>9.952534602990561E-3</v>
      </c>
      <c r="F124" s="152">
        <f>E124+$U$2</f>
        <v>9.952534602990561E-3</v>
      </c>
      <c r="G124" s="152"/>
    </row>
    <row r="125" spans="1:7">
      <c r="A125" s="165">
        <v>55005</v>
      </c>
      <c r="B125" s="166">
        <v>0.74193177085030304</v>
      </c>
      <c r="C125" s="152">
        <v>9.9503030391478852E-3</v>
      </c>
      <c r="D125" s="152">
        <f>$R$2</f>
        <v>0</v>
      </c>
      <c r="E125" s="152">
        <f>C125+D125</f>
        <v>9.9503030391478852E-3</v>
      </c>
      <c r="F125" s="152">
        <f>E125+$U$2</f>
        <v>9.9503030391478852E-3</v>
      </c>
      <c r="G125" s="152"/>
    </row>
    <row r="126" spans="1:7">
      <c r="A126" s="165" t="e">
        <v>#N/A</v>
      </c>
      <c r="B126" s="166" t="e">
        <v>#N/A</v>
      </c>
      <c r="C126" s="152" t="e">
        <v>#N/A</v>
      </c>
      <c r="D126" s="152">
        <f>$R$2</f>
        <v>0</v>
      </c>
      <c r="E126" s="152" t="e">
        <f>C126+D126</f>
        <v>#N/A</v>
      </c>
      <c r="F126" s="152" t="e">
        <f>E126+$U$2</f>
        <v>#N/A</v>
      </c>
      <c r="G126" s="152"/>
    </row>
    <row r="127" spans="1:7">
      <c r="A127" s="165" t="e">
        <v>#N/A</v>
      </c>
      <c r="B127" s="166" t="e">
        <v>#N/A</v>
      </c>
      <c r="C127" s="152" t="e">
        <v>#N/A</v>
      </c>
      <c r="D127" s="152">
        <f>$R$2</f>
        <v>0</v>
      </c>
      <c r="E127" s="152" t="e">
        <f>C127+D127</f>
        <v>#N/A</v>
      </c>
      <c r="F127" s="152" t="e">
        <f>E127+$U$2</f>
        <v>#N/A</v>
      </c>
      <c r="G127" s="152"/>
    </row>
    <row r="128" spans="1:7">
      <c r="A128" s="165" t="e">
        <v>#N/A</v>
      </c>
      <c r="B128" s="166" t="e">
        <v>#N/A</v>
      </c>
      <c r="C128" s="152" t="e">
        <v>#N/A</v>
      </c>
      <c r="D128" s="152">
        <f>$R$2</f>
        <v>0</v>
      </c>
      <c r="E128" s="152" t="e">
        <f>C128+D128</f>
        <v>#N/A</v>
      </c>
      <c r="F128" s="152" t="e">
        <f>E128+$U$2</f>
        <v>#N/A</v>
      </c>
      <c r="G128" s="152"/>
    </row>
    <row r="129" spans="1:7">
      <c r="A129" s="165" t="e">
        <v>#N/A</v>
      </c>
      <c r="B129" s="166" t="e">
        <v>#N/A</v>
      </c>
      <c r="C129" s="152" t="e">
        <v>#N/A</v>
      </c>
      <c r="D129" s="152">
        <f>$R$2</f>
        <v>0</v>
      </c>
      <c r="E129" s="152" t="e">
        <f>C129+D129</f>
        <v>#N/A</v>
      </c>
      <c r="F129" s="152" t="e">
        <f>E129+$U$2</f>
        <v>#N/A</v>
      </c>
      <c r="G129" s="152"/>
    </row>
    <row r="130" spans="1:7">
      <c r="A130" s="165" t="e">
        <v>#N/A</v>
      </c>
      <c r="B130" s="166" t="e">
        <v>#N/A</v>
      </c>
      <c r="C130" s="152" t="e">
        <v>#N/A</v>
      </c>
      <c r="D130" s="152">
        <f>$R$2</f>
        <v>0</v>
      </c>
      <c r="E130" s="152" t="e">
        <f>C130+D130</f>
        <v>#N/A</v>
      </c>
      <c r="F130" s="152" t="e">
        <f>E130+$U$2</f>
        <v>#N/A</v>
      </c>
      <c r="G130" s="152"/>
    </row>
    <row r="131" spans="1:7">
      <c r="A131" s="165" t="e">
        <v>#N/A</v>
      </c>
      <c r="B131" s="166" t="e">
        <v>#N/A</v>
      </c>
      <c r="C131" s="152" t="e">
        <v>#N/A</v>
      </c>
      <c r="D131" s="152">
        <f>$R$2</f>
        <v>0</v>
      </c>
      <c r="E131" s="152" t="e">
        <f>C131+D131</f>
        <v>#N/A</v>
      </c>
      <c r="F131" s="152" t="e">
        <f>E131+$U$2</f>
        <v>#N/A</v>
      </c>
      <c r="G131" s="152"/>
    </row>
    <row r="132" spans="1:7" ht="15" thickBot="1">
      <c r="A132" s="167" t="e">
        <v>#N/A</v>
      </c>
      <c r="B132" s="168" t="e">
        <v>#N/A</v>
      </c>
      <c r="C132" s="152" t="e">
        <v>#N/A</v>
      </c>
      <c r="D132" s="152">
        <f>$R$2</f>
        <v>0</v>
      </c>
      <c r="E132" s="152" t="e">
        <f>C132+D132</f>
        <v>#N/A</v>
      </c>
      <c r="F132" s="152" t="e">
        <f>E132+$U$2</f>
        <v>#N/A</v>
      </c>
      <c r="G132" s="152"/>
    </row>
    <row r="133" spans="1:7">
      <c r="E133" s="149" t="str">
        <f>_xll.qlZeroCurve(E101,A102:A125,E102:E125,"act/act")</f>
        <v>RiskyZeroCurve#0002</v>
      </c>
      <c r="G133" s="149" t="str">
        <f>_xll.qlZeroCurve(G101,A102:A125,F102:F125,"act/act")</f>
        <v>BPRiskyZeroCurve#0002</v>
      </c>
    </row>
  </sheetData>
  <dataValidations count="8">
    <dataValidation type="list" allowBlank="1" showInputMessage="1" showErrorMessage="1" sqref="N22:N33 B11">
      <formula1>"Annual,Semiannual,EveryFourthMonth,Quarterly,Bimonthly,Monthly,Biweekly,Weekly,Daily,Once,NoFrequency"</formula1>
    </dataValidation>
    <dataValidation type="list" allowBlank="1" showInputMessage="1" showErrorMessage="1" sqref="P22:P33 Q4:Q21 B81 B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O4:O33">
      <formula1>"Following,Modified Following,Preceding,Modified Preceding,Unadjusted"</formula1>
    </dataValidation>
    <dataValidation type="list" allowBlank="1" showInputMessage="1" showErrorMessage="1" sqref="M22:M33 N4:N21 B80 B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82">
      <formula1>"Discount,ZeroYield,ForwardRate"</formula1>
    </dataValidation>
    <dataValidation type="list" allowBlank="1" showInputMessage="1" showErrorMessage="1" sqref="B83">
      <formula1>"BackwardFlat,ForwardFlat,Linear,LogLinear,Cubic,LogCubic"</formula1>
    </dataValidation>
    <dataValidation type="list" allowBlank="1" showInputMessage="1" showErrorMessage="1" sqref="B73">
      <formula1>"AllDepos,DeposBeforeFirstFuturesStartDate,DeposBeforeFirstFuturesStartDatePlusOne,DeposBeforeFirstFuturesExpiryDate"</formula1>
    </dataValidation>
    <dataValidation type="list" allowBlank="1" showInputMessage="1" showErrorMessage="1" sqref="B10">
      <formula1>"Simple,Compounded,Continuous,SimpleThenCompounded"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BH104"/>
  <sheetViews>
    <sheetView topLeftCell="B13" zoomScale="60" zoomScaleNormal="60" workbookViewId="0">
      <selection activeCell="D69" sqref="D69"/>
    </sheetView>
  </sheetViews>
  <sheetFormatPr defaultColWidth="8.90625" defaultRowHeight="14.5"/>
  <cols>
    <col min="1" max="1" width="8.90625" style="12"/>
    <col min="2" max="2" width="16.54296875" style="12" customWidth="1"/>
    <col min="3" max="3" width="3.90625" style="12" customWidth="1"/>
    <col min="4" max="4" width="8.90625" style="12"/>
    <col min="5" max="5" width="47.1796875" style="12" bestFit="1" customWidth="1"/>
    <col min="6" max="6" width="35.36328125" style="12" bestFit="1" customWidth="1"/>
    <col min="7" max="7" width="36.26953125" style="12" bestFit="1" customWidth="1"/>
    <col min="8" max="8" width="86.1796875" style="12" bestFit="1" customWidth="1"/>
    <col min="9" max="9" width="24.81640625" style="12" bestFit="1" customWidth="1"/>
    <col min="10" max="10" width="24.81640625" style="12" customWidth="1"/>
    <col min="11" max="11" width="12" style="12" customWidth="1"/>
    <col min="12" max="12" width="8.90625" style="12"/>
    <col min="13" max="13" width="20.453125" style="12" customWidth="1"/>
    <col min="14" max="14" width="4.6328125" style="12" customWidth="1"/>
    <col min="15" max="15" width="8.90625" style="12"/>
    <col min="16" max="16" width="18.453125" style="12" bestFit="1" customWidth="1"/>
    <col min="17" max="17" width="17.6328125" style="12" customWidth="1"/>
    <col min="18" max="18" width="14.1796875" style="12" customWidth="1"/>
    <col min="19" max="19" width="14" style="12" bestFit="1" customWidth="1"/>
    <col min="20" max="20" width="15.36328125" style="12" bestFit="1" customWidth="1"/>
    <col min="21" max="16384" width="8.90625" style="12"/>
  </cols>
  <sheetData>
    <row r="1" spans="2:60">
      <c r="B1" s="17" t="s">
        <v>32</v>
      </c>
      <c r="G1" s="12" t="str">
        <f>_xll.ohRangeRetrieveError(InterestRateCurve!C3)</f>
        <v/>
      </c>
    </row>
    <row r="2" spans="2:60">
      <c r="B2" s="20" t="str">
        <f>_xll.qlCalendarName("TARGET",Trigger)</f>
        <v>TARGET</v>
      </c>
      <c r="J2" s="84"/>
    </row>
    <row r="3" spans="2:60">
      <c r="J3" s="84"/>
    </row>
    <row r="4" spans="2:60">
      <c r="J4" s="84"/>
    </row>
    <row r="5" spans="2:60">
      <c r="J5" s="85"/>
    </row>
    <row r="8" spans="2:60">
      <c r="H8" s="66" t="s">
        <v>83</v>
      </c>
    </row>
    <row r="9" spans="2:60">
      <c r="H9" s="66" t="s">
        <v>95</v>
      </c>
    </row>
    <row r="10" spans="2:60">
      <c r="H10" s="66" t="s">
        <v>96</v>
      </c>
    </row>
    <row r="11" spans="2:60">
      <c r="H11" s="66" t="s">
        <v>97</v>
      </c>
    </row>
    <row r="12" spans="2:60">
      <c r="H12" s="66" t="s">
        <v>99</v>
      </c>
    </row>
    <row r="15" spans="2:60" ht="20">
      <c r="B15" s="177" t="s">
        <v>102</v>
      </c>
      <c r="C15" s="177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7"/>
      <c r="U15" s="177"/>
      <c r="V15" s="177"/>
      <c r="W15" s="177"/>
      <c r="X15" s="177"/>
      <c r="Y15" s="177"/>
      <c r="Z15" s="177"/>
      <c r="AA15" s="177"/>
      <c r="AB15" s="177"/>
      <c r="AC15" s="177"/>
      <c r="AD15" s="177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77"/>
      <c r="AS15" s="177"/>
      <c r="AT15" s="177"/>
      <c r="AU15" s="177"/>
      <c r="AV15" s="177"/>
      <c r="AW15" s="177"/>
      <c r="AX15" s="177"/>
      <c r="AY15" s="177"/>
      <c r="AZ15" s="177"/>
      <c r="BA15" s="177"/>
      <c r="BB15" s="177"/>
      <c r="BC15" s="177"/>
      <c r="BD15" s="177"/>
      <c r="BE15" s="177"/>
      <c r="BF15" s="177"/>
      <c r="BG15" s="177"/>
      <c r="BH15" s="177"/>
    </row>
    <row r="17" spans="2:22" ht="18.5">
      <c r="B17" s="14"/>
      <c r="C17" s="15"/>
      <c r="D17" s="178" t="s">
        <v>24</v>
      </c>
      <c r="E17" s="178"/>
      <c r="F17" s="178"/>
      <c r="G17" s="178"/>
      <c r="H17" s="178"/>
      <c r="I17" s="178"/>
      <c r="J17" s="68"/>
      <c r="K17" s="35"/>
      <c r="O17" s="178" t="s">
        <v>22</v>
      </c>
      <c r="P17" s="178"/>
      <c r="Q17" s="178"/>
      <c r="R17" s="178"/>
      <c r="S17" s="178"/>
      <c r="T17" s="41"/>
      <c r="U17" s="41"/>
      <c r="V17" s="41"/>
    </row>
    <row r="18" spans="2:22" ht="18.5">
      <c r="B18" s="14"/>
      <c r="C18" s="15"/>
      <c r="D18" s="15"/>
      <c r="E18" s="15"/>
      <c r="F18" s="15"/>
      <c r="G18" s="15"/>
      <c r="H18" s="15"/>
      <c r="I18" s="15"/>
      <c r="J18" s="15"/>
      <c r="K18" s="15"/>
      <c r="O18" s="15"/>
      <c r="P18" s="15"/>
      <c r="Q18" s="15"/>
      <c r="R18" s="15"/>
      <c r="S18" s="15"/>
      <c r="T18" s="15"/>
      <c r="U18" s="15"/>
      <c r="V18" s="15"/>
    </row>
    <row r="19" spans="2:22" ht="14.4" customHeight="1">
      <c r="B19" s="179" t="s">
        <v>23</v>
      </c>
      <c r="C19" s="13"/>
      <c r="D19" s="16"/>
      <c r="E19" s="16"/>
      <c r="F19" s="16"/>
      <c r="G19" s="16"/>
      <c r="H19" s="16"/>
      <c r="I19" s="16"/>
      <c r="J19" s="16"/>
      <c r="K19" s="16"/>
      <c r="M19" s="179" t="s">
        <v>26</v>
      </c>
      <c r="O19" s="16"/>
      <c r="P19" s="16"/>
      <c r="Q19" s="16"/>
      <c r="R19" s="16"/>
      <c r="S19" s="16"/>
      <c r="T19" s="16"/>
      <c r="U19" s="16"/>
      <c r="V19" s="16"/>
    </row>
    <row r="20" spans="2:22" ht="43.5">
      <c r="B20" s="179"/>
      <c r="C20" s="13"/>
      <c r="D20" s="16"/>
      <c r="E20" s="17" t="s">
        <v>8</v>
      </c>
      <c r="F20" s="17" t="s">
        <v>52</v>
      </c>
      <c r="G20" s="17" t="s">
        <v>60</v>
      </c>
      <c r="H20" s="17" t="s">
        <v>13</v>
      </c>
      <c r="I20" s="17" t="s">
        <v>12</v>
      </c>
      <c r="J20" s="82" t="s">
        <v>109</v>
      </c>
      <c r="K20" s="16"/>
      <c r="M20" s="179"/>
      <c r="O20" s="16"/>
      <c r="P20" s="30" t="s">
        <v>34</v>
      </c>
      <c r="Q20" s="30" t="s">
        <v>37</v>
      </c>
      <c r="R20" s="30" t="s">
        <v>35</v>
      </c>
      <c r="S20" s="16"/>
      <c r="T20" s="16"/>
      <c r="U20" s="16"/>
      <c r="V20" s="16"/>
    </row>
    <row r="21" spans="2:22" ht="14.4" customHeight="1">
      <c r="B21" s="179"/>
      <c r="C21" s="13"/>
      <c r="D21" s="16"/>
      <c r="E21" s="18">
        <f>Übersicht!C10</f>
        <v>44046</v>
      </c>
      <c r="F21" s="39">
        <v>100</v>
      </c>
      <c r="G21" s="36">
        <v>0.04</v>
      </c>
      <c r="H21" s="18">
        <v>45721</v>
      </c>
      <c r="I21" s="18">
        <v>43164</v>
      </c>
      <c r="J21" s="86">
        <v>44990</v>
      </c>
      <c r="K21" s="16"/>
      <c r="M21" s="179"/>
      <c r="O21" s="16"/>
      <c r="P21" s="31">
        <v>365</v>
      </c>
      <c r="Q21" s="31">
        <f>_xll.qlDayCounterYearFraction("Actual/365 (Fixed)",E21,H21,,,Trigger)*P21</f>
        <v>1675</v>
      </c>
      <c r="R21" s="31" t="s">
        <v>36</v>
      </c>
      <c r="S21" s="16"/>
      <c r="T21" s="16"/>
      <c r="U21" s="16"/>
      <c r="V21" s="16"/>
    </row>
    <row r="22" spans="2:22" ht="14.4" customHeight="1">
      <c r="B22" s="179"/>
      <c r="C22" s="13"/>
      <c r="D22" s="16"/>
      <c r="E22" s="16"/>
      <c r="F22" s="16"/>
      <c r="G22" s="16"/>
      <c r="H22" s="16"/>
      <c r="I22" s="16"/>
      <c r="J22" s="16"/>
      <c r="K22" s="16"/>
      <c r="M22" s="179"/>
      <c r="O22" s="16"/>
      <c r="P22" s="16"/>
      <c r="Q22" s="16"/>
      <c r="R22" s="16"/>
      <c r="S22" s="16"/>
      <c r="T22" s="16"/>
      <c r="U22" s="16"/>
      <c r="V22" s="16"/>
    </row>
    <row r="23" spans="2:22" ht="14.4" customHeight="1">
      <c r="B23" s="179"/>
      <c r="C23" s="13"/>
      <c r="D23" s="16"/>
      <c r="E23" s="17" t="s">
        <v>61</v>
      </c>
      <c r="F23" s="17" t="s">
        <v>55</v>
      </c>
      <c r="G23" s="67" t="s">
        <v>82</v>
      </c>
      <c r="H23" s="67" t="s">
        <v>81</v>
      </c>
      <c r="I23" s="67" t="s">
        <v>66</v>
      </c>
      <c r="J23" s="67" t="s">
        <v>98</v>
      </c>
      <c r="K23" s="16"/>
      <c r="M23" s="179"/>
      <c r="O23" s="16"/>
      <c r="P23" s="16"/>
      <c r="Q23" s="16"/>
      <c r="R23" s="16"/>
      <c r="S23" s="16"/>
      <c r="T23" s="16"/>
      <c r="U23" s="16"/>
      <c r="V23" s="16"/>
    </row>
    <row r="24" spans="2:22" ht="14.4" customHeight="1">
      <c r="B24" s="179"/>
      <c r="C24" s="13"/>
      <c r="D24" s="16"/>
      <c r="E24" s="28">
        <v>1</v>
      </c>
      <c r="F24" s="28">
        <f>E24/F21*100</f>
        <v>1</v>
      </c>
      <c r="G24" s="65">
        <v>1</v>
      </c>
      <c r="H24" s="18" t="b">
        <v>1</v>
      </c>
      <c r="I24" s="40">
        <v>1</v>
      </c>
      <c r="J24" s="34" t="b">
        <v>1</v>
      </c>
      <c r="K24" s="16"/>
      <c r="M24" s="179"/>
      <c r="O24" s="16"/>
      <c r="P24" s="16"/>
      <c r="Q24" s="16"/>
      <c r="R24" s="16"/>
      <c r="S24" s="16"/>
      <c r="T24" s="16"/>
      <c r="U24" s="16"/>
      <c r="V24" s="16"/>
    </row>
    <row r="25" spans="2:22" ht="14.4" customHeight="1">
      <c r="B25" s="179"/>
      <c r="C25" s="13"/>
      <c r="D25" s="16"/>
      <c r="E25" s="16"/>
      <c r="F25" s="16"/>
      <c r="G25" s="16"/>
      <c r="H25" s="16"/>
      <c r="I25" s="16"/>
      <c r="J25" s="16"/>
      <c r="K25" s="16"/>
      <c r="M25" s="179"/>
      <c r="O25" s="16"/>
      <c r="P25" s="16"/>
      <c r="Q25" s="16"/>
      <c r="R25" s="16"/>
      <c r="S25" s="16"/>
      <c r="T25" s="16"/>
      <c r="U25" s="16"/>
      <c r="V25" s="16"/>
    </row>
    <row r="26" spans="2:22" ht="14.4" customHeight="1">
      <c r="B26" s="179"/>
      <c r="C26" s="13"/>
      <c r="D26" s="16"/>
      <c r="E26" s="17" t="s">
        <v>21</v>
      </c>
      <c r="F26" s="17" t="s">
        <v>64</v>
      </c>
      <c r="G26" s="17" t="s">
        <v>65</v>
      </c>
      <c r="H26" s="17" t="s">
        <v>94</v>
      </c>
      <c r="I26" s="16"/>
      <c r="J26" s="16"/>
      <c r="K26" s="16"/>
      <c r="M26" s="179"/>
      <c r="O26" s="16"/>
      <c r="P26" s="16"/>
      <c r="Q26" s="16"/>
      <c r="R26" s="16"/>
      <c r="S26" s="16"/>
      <c r="T26" s="16"/>
      <c r="U26" s="16"/>
      <c r="V26" s="16"/>
    </row>
    <row r="27" spans="2:22" ht="14.4" customHeight="1">
      <c r="B27" s="179"/>
      <c r="C27" s="13"/>
      <c r="D27" s="16"/>
      <c r="E27" s="18" t="s">
        <v>50</v>
      </c>
      <c r="F27" s="18" t="str">
        <f>InterestRateCurve!C3</f>
        <v>Euribor#0002</v>
      </c>
      <c r="G27" s="50">
        <v>2</v>
      </c>
      <c r="H27" s="50" t="s">
        <v>86</v>
      </c>
      <c r="I27" s="16"/>
      <c r="J27" s="16"/>
      <c r="K27" s="16"/>
      <c r="M27" s="179"/>
      <c r="O27" s="16"/>
      <c r="P27" s="16"/>
      <c r="Q27" s="16"/>
      <c r="R27" s="16"/>
      <c r="S27" s="16"/>
      <c r="T27" s="16"/>
      <c r="U27" s="16"/>
      <c r="V27" s="16"/>
    </row>
    <row r="28" spans="2:22" ht="14.4" customHeight="1">
      <c r="B28" s="179"/>
      <c r="C28" s="13"/>
      <c r="D28" s="16"/>
      <c r="E28" s="16"/>
      <c r="F28" s="16"/>
      <c r="G28" s="16"/>
      <c r="H28" s="16"/>
      <c r="I28" s="16"/>
      <c r="J28" s="16"/>
      <c r="K28" s="16"/>
      <c r="M28" s="179"/>
      <c r="O28" s="16"/>
      <c r="P28" s="16"/>
      <c r="Q28" s="16"/>
      <c r="R28" s="16"/>
      <c r="S28" s="16"/>
      <c r="T28" s="16"/>
      <c r="U28" s="16"/>
      <c r="V28" s="16"/>
    </row>
    <row r="29" spans="2:22" ht="14.4" customHeight="1">
      <c r="B29" s="179"/>
      <c r="C29" s="13"/>
      <c r="D29" s="16"/>
      <c r="E29" s="17" t="s">
        <v>44</v>
      </c>
      <c r="F29" s="17" t="s">
        <v>48</v>
      </c>
      <c r="G29" s="17" t="s">
        <v>63</v>
      </c>
      <c r="H29" s="16"/>
      <c r="I29" s="16"/>
      <c r="J29" s="16"/>
      <c r="K29" s="16"/>
      <c r="M29" s="179"/>
      <c r="O29" s="16"/>
      <c r="P29" s="16"/>
      <c r="Q29" s="16"/>
      <c r="R29" s="16"/>
      <c r="S29" s="16"/>
      <c r="T29" s="16"/>
      <c r="U29" s="16"/>
      <c r="V29" s="16"/>
    </row>
    <row r="30" spans="2:22" ht="14.4" customHeight="1">
      <c r="B30" s="179"/>
      <c r="C30" s="13"/>
      <c r="D30" s="16"/>
      <c r="E30" s="18" t="str">
        <f ca="1">Cashflows!G1</f>
        <v>DE000A19W2L5Kupontermine#0002</v>
      </c>
      <c r="F30" s="18" t="str">
        <f>_xll.qlFixedDividend(E36&amp;F29,H42,G42,,Trigger)</f>
        <v>DE000A19W2L5Dividenden#0002</v>
      </c>
      <c r="G30" s="34">
        <v>1</v>
      </c>
      <c r="H30" s="16"/>
      <c r="I30" s="16"/>
      <c r="J30" s="16"/>
      <c r="K30" s="16"/>
      <c r="M30" s="179"/>
      <c r="O30" s="16"/>
      <c r="P30" s="16"/>
      <c r="Q30" s="16"/>
      <c r="R30" s="16"/>
      <c r="S30" s="16"/>
      <c r="T30" s="16"/>
      <c r="U30" s="16"/>
      <c r="V30" s="16"/>
    </row>
    <row r="31" spans="2:22" ht="14.4" customHeight="1">
      <c r="B31" s="69"/>
      <c r="C31" s="13"/>
      <c r="D31" s="16"/>
      <c r="E31" s="16"/>
      <c r="F31" s="16"/>
      <c r="G31" s="16"/>
      <c r="H31" s="16"/>
      <c r="I31" s="16"/>
      <c r="J31" s="16"/>
      <c r="K31" s="16"/>
      <c r="M31" s="179"/>
      <c r="O31" s="16"/>
      <c r="P31" s="16"/>
      <c r="Q31" s="16"/>
      <c r="R31" s="16"/>
      <c r="S31" s="16"/>
      <c r="T31" s="16"/>
      <c r="U31" s="16"/>
      <c r="V31" s="16"/>
    </row>
    <row r="32" spans="2:22" ht="14.4" customHeight="1">
      <c r="B32" s="69"/>
      <c r="C32" s="13"/>
      <c r="D32" s="16"/>
      <c r="E32" s="16"/>
      <c r="F32" s="16"/>
      <c r="G32" s="16"/>
      <c r="H32" s="16"/>
      <c r="I32" s="16"/>
      <c r="J32" s="16"/>
      <c r="K32" s="16"/>
      <c r="M32" s="179"/>
      <c r="O32" s="16"/>
      <c r="P32" s="16"/>
      <c r="Q32" s="16"/>
      <c r="R32" s="16"/>
      <c r="S32" s="16"/>
      <c r="T32" s="16"/>
      <c r="U32" s="16"/>
      <c r="V32" s="16"/>
    </row>
    <row r="33" spans="2:22" ht="14.4" customHeight="1">
      <c r="B33" s="69"/>
      <c r="C33" s="13"/>
      <c r="D33" s="16"/>
      <c r="E33" s="94" t="s">
        <v>113</v>
      </c>
      <c r="F33" s="16"/>
      <c r="G33" s="16"/>
      <c r="H33" s="16"/>
      <c r="I33" s="16"/>
      <c r="J33" s="16"/>
      <c r="K33" s="16"/>
      <c r="M33" s="179"/>
      <c r="O33" s="16"/>
      <c r="P33" s="16"/>
      <c r="Q33" s="16"/>
      <c r="R33" s="16"/>
      <c r="S33" s="16"/>
      <c r="T33" s="16"/>
      <c r="U33" s="16"/>
      <c r="V33" s="16"/>
    </row>
    <row r="34" spans="2:22" ht="14.4" customHeight="1">
      <c r="B34" s="69"/>
      <c r="C34" s="13"/>
      <c r="D34" s="16"/>
      <c r="E34" s="16"/>
      <c r="F34" s="16"/>
      <c r="G34" s="16"/>
      <c r="H34" s="16"/>
      <c r="I34" s="16"/>
      <c r="J34" s="16"/>
      <c r="K34" s="16"/>
      <c r="M34" s="179"/>
      <c r="O34" s="16"/>
      <c r="P34" s="16"/>
      <c r="Q34" s="16"/>
      <c r="R34" s="16"/>
      <c r="S34" s="16"/>
      <c r="T34" s="16"/>
      <c r="U34" s="16"/>
      <c r="V34" s="16"/>
    </row>
    <row r="35" spans="2:22" ht="14.4" customHeight="1">
      <c r="C35" s="13"/>
      <c r="D35" s="16"/>
      <c r="E35" s="16"/>
      <c r="F35" s="16"/>
      <c r="G35" s="16"/>
      <c r="H35" s="16"/>
      <c r="I35" s="16"/>
      <c r="J35" s="16"/>
      <c r="K35" s="16"/>
      <c r="M35" s="179"/>
      <c r="O35" s="16"/>
      <c r="P35" s="16"/>
      <c r="Q35" s="16"/>
      <c r="R35" s="16"/>
      <c r="S35" s="16"/>
      <c r="T35" s="16"/>
      <c r="U35" s="16"/>
      <c r="V35" s="16"/>
    </row>
    <row r="36" spans="2:22" ht="14.4" customHeight="1">
      <c r="B36" s="179" t="s">
        <v>47</v>
      </c>
      <c r="C36" s="13"/>
      <c r="D36" s="16"/>
      <c r="E36" s="17" t="s">
        <v>49</v>
      </c>
      <c r="F36" s="16"/>
      <c r="G36" s="16"/>
      <c r="H36" s="16"/>
      <c r="I36" s="16"/>
      <c r="J36" s="16"/>
      <c r="K36" s="16"/>
      <c r="M36" s="179"/>
      <c r="O36" s="16"/>
      <c r="P36" s="16"/>
      <c r="Q36" s="16"/>
      <c r="R36" s="16"/>
      <c r="S36" s="16"/>
      <c r="T36" s="16"/>
      <c r="U36" s="16"/>
      <c r="V36" s="16"/>
    </row>
    <row r="37" spans="2:22" ht="14.4" customHeight="1">
      <c r="B37" s="179"/>
      <c r="C37" s="13"/>
      <c r="D37" s="16"/>
      <c r="E37" s="18" t="str">
        <f ca="1">_xll.qlCoCoFloatingRateBond(E36,,"EUR",F24/G30,F30:F30,OFFSET(Cashflows!I3,,,COUNT(Cashflows!I3:I100)-1,1),F45,I21,0,F27,G27,OFFSET(Cashflows!A3,,,COUNT(Cashflows!J3:J41)-1,1),OFFSET(Cashflows!B3,,,COUNT(Cashflows!J3:J41)-1,1),"act/365 (fixed)",E30,I24,H24,G24,J24,100)</f>
        <v>DE000A19W2L5#0000</v>
      </c>
      <c r="F37" s="16"/>
      <c r="G37" s="16"/>
      <c r="H37" s="16"/>
      <c r="I37" s="16"/>
      <c r="J37" s="16"/>
      <c r="K37" s="16"/>
      <c r="M37" s="179"/>
      <c r="O37" s="16"/>
      <c r="P37" s="16"/>
      <c r="Q37" s="16"/>
      <c r="R37" s="16"/>
      <c r="S37" s="16"/>
      <c r="T37" s="16"/>
      <c r="U37" s="16"/>
      <c r="V37" s="16"/>
    </row>
    <row r="38" spans="2:22" ht="14.4" customHeight="1">
      <c r="B38" s="179"/>
      <c r="C38" s="13"/>
      <c r="D38" s="16"/>
      <c r="E38" s="16"/>
      <c r="F38" s="16"/>
      <c r="G38" s="16"/>
      <c r="H38" s="16"/>
      <c r="I38" s="16"/>
      <c r="J38" s="16"/>
      <c r="K38" s="16"/>
      <c r="M38" s="179"/>
      <c r="O38" s="16"/>
      <c r="P38" s="16"/>
      <c r="Q38" s="16"/>
      <c r="R38" s="16"/>
      <c r="S38" s="16"/>
      <c r="T38" s="16"/>
      <c r="U38" s="16"/>
      <c r="V38" s="16"/>
    </row>
    <row r="39" spans="2:22">
      <c r="O39" s="13"/>
      <c r="P39" s="13"/>
      <c r="Q39" s="13"/>
      <c r="R39" s="13"/>
      <c r="S39" s="13"/>
      <c r="T39" s="13"/>
      <c r="U39" s="13"/>
      <c r="V39" s="13"/>
    </row>
    <row r="40" spans="2:22" ht="14.4" customHeight="1">
      <c r="B40" s="179" t="s">
        <v>25</v>
      </c>
      <c r="C40" s="13"/>
      <c r="D40" s="16"/>
      <c r="E40" s="16"/>
      <c r="F40" s="16"/>
      <c r="G40" s="16"/>
      <c r="H40" s="16"/>
      <c r="I40" s="16"/>
      <c r="J40" s="16"/>
      <c r="K40" s="16"/>
      <c r="M40" s="179" t="s">
        <v>33</v>
      </c>
      <c r="O40" s="16"/>
      <c r="P40" s="16"/>
      <c r="Q40" s="16"/>
      <c r="R40" s="16"/>
      <c r="S40" s="16"/>
      <c r="T40" s="16"/>
      <c r="U40" s="16"/>
      <c r="V40" s="16"/>
    </row>
    <row r="41" spans="2:22">
      <c r="B41" s="179"/>
      <c r="C41" s="13"/>
      <c r="D41" s="16"/>
      <c r="E41" s="17" t="s">
        <v>62</v>
      </c>
      <c r="F41" s="17" t="s">
        <v>27</v>
      </c>
      <c r="G41" s="29" t="s">
        <v>28</v>
      </c>
      <c r="H41" s="29" t="s">
        <v>29</v>
      </c>
      <c r="I41" s="29" t="s">
        <v>31</v>
      </c>
      <c r="J41" s="87"/>
      <c r="K41" s="16"/>
      <c r="M41" s="179"/>
      <c r="O41" s="16"/>
      <c r="P41" s="16"/>
      <c r="Q41" s="16"/>
      <c r="R41" s="16"/>
      <c r="S41" s="16"/>
      <c r="T41" s="16"/>
      <c r="U41" s="16"/>
      <c r="V41" s="16"/>
    </row>
    <row r="42" spans="2:22">
      <c r="B42" s="179"/>
      <c r="C42" s="13"/>
      <c r="D42" s="16"/>
      <c r="E42" s="50">
        <v>1</v>
      </c>
      <c r="F42" s="36">
        <v>0</v>
      </c>
      <c r="G42" s="18">
        <v>43888</v>
      </c>
      <c r="H42" s="19">
        <v>0</v>
      </c>
      <c r="I42" s="37">
        <v>0.32050000000000001</v>
      </c>
      <c r="J42" s="88"/>
      <c r="K42" s="16"/>
      <c r="M42" s="179"/>
      <c r="O42" s="16"/>
      <c r="P42" s="16"/>
      <c r="Q42" s="16"/>
      <c r="R42" s="16"/>
      <c r="S42" s="16"/>
      <c r="T42" s="16"/>
      <c r="U42" s="16"/>
      <c r="V42" s="16"/>
    </row>
    <row r="43" spans="2:22" ht="14.4" customHeight="1">
      <c r="B43" s="179"/>
      <c r="C43" s="13"/>
      <c r="D43" s="16"/>
      <c r="E43" s="16"/>
      <c r="F43" s="16"/>
      <c r="G43" s="16"/>
      <c r="H43" s="16"/>
      <c r="I43" s="16"/>
      <c r="J43" s="16"/>
      <c r="K43" s="16"/>
      <c r="M43" s="179"/>
      <c r="O43" s="16"/>
      <c r="P43" s="16"/>
      <c r="Q43" s="16"/>
      <c r="R43" s="16"/>
      <c r="S43" s="16"/>
      <c r="T43" s="16"/>
      <c r="U43" s="16"/>
      <c r="V43" s="16"/>
    </row>
    <row r="44" spans="2:22" ht="14.4" customHeight="1">
      <c r="B44" s="179"/>
      <c r="C44" s="13"/>
      <c r="D44" s="16"/>
      <c r="E44" s="17" t="s">
        <v>179</v>
      </c>
      <c r="F44" s="17" t="s">
        <v>30</v>
      </c>
      <c r="G44" s="16"/>
      <c r="H44" s="16"/>
      <c r="I44" s="16"/>
      <c r="J44" s="16"/>
      <c r="K44" s="16"/>
      <c r="M44" s="179"/>
      <c r="O44" s="16"/>
      <c r="P44" s="16"/>
      <c r="Q44" s="16"/>
      <c r="R44" s="16"/>
      <c r="S44" s="16"/>
      <c r="T44" s="16"/>
      <c r="U44" s="16"/>
      <c r="V44" s="16"/>
    </row>
    <row r="45" spans="2:22" ht="14.4" customHeight="1">
      <c r="B45" s="179"/>
      <c r="C45" s="13"/>
      <c r="D45" s="16"/>
      <c r="E45" s="38">
        <f>_xll.qlYieldTSZeroRate(InterestRateCurve!B76,H21,G51,"simple","annual")</f>
        <v>1.0173114765943547E-2</v>
      </c>
      <c r="F45" s="38">
        <v>0.04</v>
      </c>
      <c r="G45" s="16"/>
      <c r="H45" s="16"/>
      <c r="I45" s="16"/>
      <c r="J45" s="16"/>
      <c r="K45" s="16"/>
      <c r="M45" s="179"/>
      <c r="O45" s="16"/>
      <c r="P45" s="16"/>
      <c r="Q45" s="16"/>
      <c r="R45" s="16"/>
      <c r="S45" s="16"/>
      <c r="T45" s="42"/>
      <c r="U45" s="16"/>
      <c r="V45" s="16"/>
    </row>
    <row r="46" spans="2:22" ht="14.4" customHeight="1">
      <c r="B46" s="179"/>
      <c r="C46" s="13"/>
      <c r="D46" s="16"/>
      <c r="E46" s="16"/>
      <c r="F46" s="16"/>
      <c r="G46" s="16"/>
      <c r="H46" s="16"/>
      <c r="I46" s="16"/>
      <c r="J46" s="16"/>
      <c r="K46" s="16"/>
      <c r="M46" s="179"/>
      <c r="O46" s="16"/>
      <c r="P46" s="16"/>
      <c r="Q46" s="16"/>
      <c r="R46" s="16"/>
      <c r="S46" s="16"/>
      <c r="T46" s="42"/>
      <c r="U46" s="16"/>
      <c r="V46" s="16"/>
    </row>
    <row r="47" spans="2:22" ht="14.4" customHeight="1">
      <c r="B47" s="179"/>
      <c r="C47" s="13"/>
      <c r="D47" s="16"/>
      <c r="E47" s="17" t="s">
        <v>32</v>
      </c>
      <c r="F47" s="16"/>
      <c r="G47" s="16"/>
      <c r="H47" s="16"/>
      <c r="I47" s="16"/>
      <c r="J47" s="16"/>
      <c r="K47" s="16"/>
      <c r="M47" s="179"/>
      <c r="O47" s="16"/>
      <c r="P47" s="16"/>
      <c r="Q47" s="16"/>
      <c r="R47" s="16"/>
      <c r="S47" s="16"/>
      <c r="T47" s="16"/>
      <c r="U47" s="16"/>
      <c r="V47" s="16"/>
    </row>
    <row r="48" spans="2:22" ht="14.4" customHeight="1">
      <c r="B48" s="179"/>
      <c r="C48" s="13"/>
      <c r="D48" s="16"/>
      <c r="E48" s="20" t="str">
        <f>B2</f>
        <v>TARGET</v>
      </c>
      <c r="F48" s="16"/>
      <c r="G48" s="16"/>
      <c r="H48" s="16"/>
      <c r="I48" s="16"/>
      <c r="J48" s="16"/>
      <c r="K48" s="16"/>
      <c r="M48" s="179"/>
      <c r="O48" s="16"/>
      <c r="P48" s="16"/>
      <c r="Q48" s="16"/>
      <c r="R48" s="16"/>
      <c r="S48" s="16"/>
      <c r="T48" s="16"/>
      <c r="U48" s="16"/>
      <c r="V48" s="16"/>
    </row>
    <row r="49" spans="2:22" ht="14.4" customHeight="1">
      <c r="C49" s="13"/>
      <c r="D49" s="16"/>
      <c r="E49" s="16"/>
      <c r="F49" s="16"/>
      <c r="G49" s="16"/>
      <c r="H49" s="16"/>
      <c r="I49" s="16"/>
      <c r="J49" s="16"/>
      <c r="K49" s="16"/>
      <c r="M49" s="179"/>
      <c r="O49" s="16"/>
      <c r="P49" s="16"/>
      <c r="Q49" s="16"/>
      <c r="R49" s="16"/>
      <c r="S49" s="16"/>
      <c r="T49" s="16"/>
      <c r="U49" s="16"/>
      <c r="V49" s="16"/>
    </row>
    <row r="50" spans="2:22" ht="14.4" customHeight="1">
      <c r="B50" s="179" t="s">
        <v>47</v>
      </c>
      <c r="C50" s="13"/>
      <c r="D50" s="16"/>
      <c r="E50" s="17" t="s">
        <v>41</v>
      </c>
      <c r="F50" s="17" t="s">
        <v>42</v>
      </c>
      <c r="G50" s="17" t="s">
        <v>14</v>
      </c>
      <c r="H50" s="16"/>
      <c r="I50" s="16"/>
      <c r="J50" s="16"/>
      <c r="K50" s="16"/>
      <c r="M50" s="179"/>
      <c r="O50" s="16"/>
      <c r="P50" s="16"/>
      <c r="Q50" s="16"/>
      <c r="R50" s="16"/>
      <c r="S50" s="16"/>
      <c r="T50" s="16"/>
      <c r="U50" s="16"/>
      <c r="V50" s="16"/>
    </row>
    <row r="51" spans="2:22" ht="14.4" customHeight="1">
      <c r="B51" s="179"/>
      <c r="C51" s="13"/>
      <c r="D51" s="16"/>
      <c r="E51" s="19" t="str">
        <f>_xll.qlRelinkableHandleYieldTermStructure(E36&amp;E50,_xll.qlFlatForward(,0,E48,F42,G51,"Continuous","Annual",,Trigger),,Trigger)</f>
        <v>DE000A19W2L5Dividendenrenditenkurve#0005</v>
      </c>
      <c r="F51" s="19" t="str">
        <f>_xll.qlBlackConstantVol(E36&amp;F50,E21,E48,I42,G51,,Trigger)</f>
        <v>DE000A19W2L5Volatilitätsfläche#0002</v>
      </c>
      <c r="G51" s="19" t="s">
        <v>56</v>
      </c>
      <c r="H51" s="16"/>
      <c r="I51" s="16"/>
      <c r="J51" s="16"/>
      <c r="K51" s="16"/>
      <c r="M51" s="179"/>
      <c r="O51" s="16"/>
      <c r="P51" s="32" t="s">
        <v>43</v>
      </c>
      <c r="Q51" s="21" t="s">
        <v>45</v>
      </c>
      <c r="R51" s="21" t="s">
        <v>46</v>
      </c>
      <c r="S51" s="16"/>
      <c r="T51" s="16"/>
      <c r="U51" s="16"/>
      <c r="V51" s="16"/>
    </row>
    <row r="52" spans="2:22" ht="14.4" customHeight="1">
      <c r="B52" s="179"/>
      <c r="C52" s="13"/>
      <c r="D52" s="16"/>
      <c r="E52" s="16"/>
      <c r="F52" s="16"/>
      <c r="G52" s="16"/>
      <c r="H52" s="16"/>
      <c r="I52" s="16"/>
      <c r="J52" s="16"/>
      <c r="K52" s="16"/>
      <c r="M52" s="179"/>
      <c r="O52" s="16"/>
      <c r="P52" s="33" t="str">
        <f>_xll.qlGeneralizedBlackScholesProcess(E36&amp;P51,F51,E42,G51,E21,E45,F42,,Trigger)</f>
        <v>DE000A19W2L5Black-Scholes-Merton-Prozess#0002</v>
      </c>
      <c r="Q52" s="22" t="str">
        <f>_xll.qlBinomialCoCoEngine(E36&amp;Q51,P52,R21,Q21,J24,Trigger)</f>
        <v>DE000A19W2L5pricing engine#0002</v>
      </c>
      <c r="R52" s="22" t="b">
        <f ca="1">_xll.qlInstrumentSetPricingEngine(E37,Q52,Trigger)</f>
        <v>1</v>
      </c>
      <c r="S52" s="16"/>
      <c r="T52" s="16"/>
      <c r="U52" s="16"/>
      <c r="V52" s="16"/>
    </row>
    <row r="53" spans="2:22" ht="14.4" customHeight="1">
      <c r="B53" s="179"/>
      <c r="C53" s="13"/>
      <c r="D53" s="16"/>
      <c r="E53" s="17" t="s">
        <v>38</v>
      </c>
      <c r="F53" s="16"/>
      <c r="G53" s="16"/>
      <c r="H53" s="16"/>
      <c r="I53" s="16"/>
      <c r="J53" s="16"/>
      <c r="K53" s="16"/>
      <c r="M53" s="179"/>
      <c r="O53" s="16"/>
      <c r="P53" s="16"/>
      <c r="Q53" s="16"/>
      <c r="R53" s="16"/>
      <c r="S53" s="16"/>
      <c r="T53" s="16"/>
      <c r="U53" s="16"/>
      <c r="V53" s="16"/>
    </row>
    <row r="54" spans="2:22" ht="14.4" customHeight="1">
      <c r="B54" s="179"/>
      <c r="C54" s="13"/>
      <c r="D54" s="16"/>
      <c r="E54" s="20" t="str">
        <f>_xll.qlRelinkableHandleYieldTermStructure(E36&amp;E53,_xll.qlFlatForward(,0,E48,E45,G51,"Continuous","Annual",,Trigger),,Trigger)</f>
        <v>DE000A19W2L5Diskontkurve#0005</v>
      </c>
      <c r="F54" s="16"/>
      <c r="G54" s="16"/>
      <c r="H54" s="16"/>
      <c r="I54" s="16"/>
      <c r="J54" s="16"/>
      <c r="K54" s="16"/>
      <c r="M54" s="179"/>
      <c r="O54" s="16"/>
      <c r="P54" s="16"/>
      <c r="Q54" s="16"/>
      <c r="R54" s="16"/>
      <c r="S54" s="16"/>
      <c r="T54" s="16"/>
      <c r="U54" s="16"/>
      <c r="V54" s="16"/>
    </row>
    <row r="55" spans="2:22" ht="14.4" customHeight="1">
      <c r="B55" s="179"/>
      <c r="C55" s="13"/>
      <c r="D55" s="16"/>
      <c r="E55" s="16"/>
      <c r="F55" s="16"/>
      <c r="G55" s="16"/>
      <c r="H55" s="16"/>
      <c r="I55" s="16"/>
      <c r="J55" s="16"/>
      <c r="K55" s="16"/>
      <c r="M55" s="179"/>
      <c r="O55" s="16"/>
      <c r="P55" s="16"/>
      <c r="Q55" s="16"/>
      <c r="R55" s="16"/>
      <c r="S55" s="16"/>
      <c r="T55" s="16"/>
      <c r="U55" s="16"/>
      <c r="V55" s="16"/>
    </row>
    <row r="56" spans="2:22">
      <c r="B56" s="13"/>
      <c r="C56" s="13"/>
      <c r="D56" s="13"/>
      <c r="E56" s="13"/>
      <c r="F56" s="13"/>
      <c r="G56" s="13"/>
      <c r="H56" s="13"/>
      <c r="I56" s="13"/>
      <c r="J56" s="13"/>
      <c r="K56" s="13"/>
      <c r="M56" s="13"/>
    </row>
    <row r="57" spans="2:22" ht="14.4" customHeight="1">
      <c r="B57" s="180" t="s">
        <v>51</v>
      </c>
      <c r="D57" s="92" t="str">
        <f ca="1">_xll.ohRangeRetrieveError(Q59)</f>
        <v/>
      </c>
      <c r="E57" s="92"/>
      <c r="F57" s="92"/>
      <c r="G57" s="92"/>
      <c r="H57" s="92"/>
      <c r="I57" s="92"/>
      <c r="J57" s="92"/>
      <c r="K57" s="92"/>
      <c r="M57" s="179" t="s">
        <v>15</v>
      </c>
      <c r="O57" s="16"/>
      <c r="P57" s="16"/>
      <c r="Q57" s="16"/>
      <c r="R57" s="16"/>
      <c r="S57" s="16"/>
      <c r="T57" s="16"/>
      <c r="U57" s="16"/>
      <c r="V57" s="16"/>
    </row>
    <row r="58" spans="2:22" ht="14.4" customHeight="1">
      <c r="B58" s="180"/>
      <c r="D58" s="93" t="str">
        <f ca="1">_xll.ohRangeRetrieveError(E30)</f>
        <v/>
      </c>
      <c r="E58" s="92"/>
      <c r="F58" s="92"/>
      <c r="G58" s="92"/>
      <c r="H58" s="92"/>
      <c r="I58" s="92"/>
      <c r="J58" s="92"/>
      <c r="K58" s="92"/>
      <c r="M58" s="179"/>
      <c r="O58" s="16"/>
      <c r="P58" s="16"/>
      <c r="Q58" s="23" t="s">
        <v>16</v>
      </c>
      <c r="R58" s="25" t="s">
        <v>53</v>
      </c>
      <c r="S58" s="23" t="s">
        <v>57</v>
      </c>
      <c r="T58" s="16"/>
      <c r="U58" s="16"/>
      <c r="V58" s="16"/>
    </row>
    <row r="59" spans="2:22" ht="14.4" customHeight="1">
      <c r="B59" s="180"/>
      <c r="D59" s="176" t="str">
        <f ca="1">_xll.ohRangeRetrieveError(E37)</f>
        <v/>
      </c>
      <c r="E59" s="176"/>
      <c r="F59" s="176"/>
      <c r="G59" s="176"/>
      <c r="H59" s="176"/>
      <c r="I59" s="176"/>
      <c r="J59" s="176"/>
      <c r="K59" s="176"/>
      <c r="M59" s="179"/>
      <c r="O59" s="16"/>
      <c r="P59" s="23" t="str">
        <f>O17</f>
        <v>TF-Modell</v>
      </c>
      <c r="Q59" s="65">
        <f ca="1">_xll.qlInstrumentNPV(E37,R52)</f>
        <v>97.176994827582348</v>
      </c>
      <c r="R59" s="26">
        <f ca="1">(Q59/$Q$60)-1</f>
        <v>-2.8230051724176475E-2</v>
      </c>
      <c r="S59" s="24">
        <f>F24*E42/G30</f>
        <v>1</v>
      </c>
      <c r="T59" s="16"/>
      <c r="U59" s="16"/>
      <c r="V59" s="16"/>
    </row>
    <row r="60" spans="2:22" ht="14.4" customHeight="1">
      <c r="B60" s="180"/>
      <c r="D60" s="92"/>
      <c r="E60" s="92"/>
      <c r="F60" s="92"/>
      <c r="G60" s="92"/>
      <c r="H60" s="92"/>
      <c r="I60" s="92"/>
      <c r="J60" s="92"/>
      <c r="K60" s="92"/>
      <c r="M60" s="179"/>
      <c r="O60" s="16"/>
      <c r="P60" s="23" t="s">
        <v>103</v>
      </c>
      <c r="Q60" s="65">
        <v>100</v>
      </c>
      <c r="R60" s="16"/>
      <c r="S60" s="16"/>
      <c r="T60" s="16"/>
      <c r="U60" s="16"/>
      <c r="V60" s="16"/>
    </row>
    <row r="61" spans="2:22" ht="14.4" customHeight="1">
      <c r="B61" s="180"/>
      <c r="D61" s="92"/>
      <c r="E61" s="92"/>
      <c r="F61" s="92"/>
      <c r="G61" s="92"/>
      <c r="H61" s="92"/>
      <c r="I61" s="92"/>
      <c r="J61" s="92"/>
      <c r="K61" s="92"/>
      <c r="M61" s="179"/>
      <c r="O61" s="16"/>
      <c r="P61" s="16"/>
      <c r="Q61" s="16"/>
      <c r="R61" s="16"/>
      <c r="S61" s="16"/>
      <c r="T61" s="16"/>
      <c r="U61" s="16"/>
      <c r="V61" s="16"/>
    </row>
    <row r="62" spans="2:22" ht="14.4" customHeight="1">
      <c r="B62" s="180"/>
      <c r="D62" s="92"/>
      <c r="E62" s="92"/>
      <c r="F62" s="92"/>
      <c r="G62" s="92"/>
      <c r="H62" s="92"/>
      <c r="I62" s="92"/>
      <c r="J62" s="92"/>
      <c r="K62" s="92"/>
      <c r="M62" s="179"/>
      <c r="O62" s="16"/>
      <c r="P62" s="16"/>
      <c r="Q62" s="16"/>
      <c r="R62" s="16"/>
      <c r="S62" s="16"/>
      <c r="T62" s="16"/>
      <c r="U62" s="16"/>
      <c r="V62" s="16"/>
    </row>
    <row r="63" spans="2:22" ht="14.4" customHeight="1">
      <c r="B63" s="48"/>
      <c r="M63" s="47"/>
      <c r="O63" s="16"/>
      <c r="P63" s="16"/>
      <c r="Q63" s="16" t="str">
        <f ca="1">_xll.ohRangeRetrieveError(Q59)</f>
        <v/>
      </c>
      <c r="R63" s="16"/>
      <c r="S63" s="16"/>
      <c r="T63" s="16"/>
      <c r="U63" s="16"/>
      <c r="V63" s="16"/>
    </row>
    <row r="68" spans="5:19">
      <c r="S68" s="49"/>
    </row>
    <row r="79" spans="5:19">
      <c r="E79" s="43"/>
      <c r="F79" s="44"/>
      <c r="G79" s="13"/>
    </row>
    <row r="80" spans="5:19">
      <c r="E80" s="43"/>
      <c r="F80" s="44"/>
      <c r="G80" s="13"/>
    </row>
    <row r="81" spans="5:7">
      <c r="E81" s="43"/>
      <c r="F81" s="44"/>
      <c r="G81" s="13"/>
    </row>
    <row r="82" spans="5:7">
      <c r="E82" s="43"/>
      <c r="F82" s="44"/>
      <c r="G82" s="13"/>
    </row>
    <row r="83" spans="5:7">
      <c r="E83" s="43"/>
      <c r="F83" s="44"/>
      <c r="G83" s="13"/>
    </row>
    <row r="84" spans="5:7">
      <c r="E84" s="43"/>
      <c r="F84" s="44"/>
      <c r="G84" s="13"/>
    </row>
    <row r="85" spans="5:7">
      <c r="E85" s="43"/>
      <c r="F85" s="44"/>
      <c r="G85" s="13"/>
    </row>
    <row r="86" spans="5:7">
      <c r="E86" s="43"/>
      <c r="F86" s="44"/>
      <c r="G86" s="13"/>
    </row>
    <row r="87" spans="5:7">
      <c r="E87" s="43"/>
      <c r="F87" s="44"/>
      <c r="G87" s="13"/>
    </row>
    <row r="98" spans="5:6">
      <c r="E98" s="45"/>
      <c r="F98" s="46"/>
    </row>
    <row r="99" spans="5:6">
      <c r="E99" s="45"/>
      <c r="F99" s="46"/>
    </row>
    <row r="100" spans="5:6">
      <c r="E100" s="45"/>
      <c r="F100" s="46"/>
    </row>
    <row r="101" spans="5:6">
      <c r="E101" s="45"/>
      <c r="F101" s="46"/>
    </row>
    <row r="102" spans="5:6">
      <c r="E102" s="45"/>
      <c r="F102" s="46"/>
    </row>
    <row r="103" spans="5:6">
      <c r="E103" s="45"/>
      <c r="F103" s="46"/>
    </row>
    <row r="104" spans="5:6">
      <c r="E104" s="45"/>
      <c r="F104" s="46"/>
    </row>
  </sheetData>
  <mergeCells count="12">
    <mergeCell ref="D59:K59"/>
    <mergeCell ref="B15:BH15"/>
    <mergeCell ref="D17:I17"/>
    <mergeCell ref="O17:S17"/>
    <mergeCell ref="B19:B30"/>
    <mergeCell ref="M19:M38"/>
    <mergeCell ref="B36:B38"/>
    <mergeCell ref="B40:B48"/>
    <mergeCell ref="M40:M55"/>
    <mergeCell ref="B50:B55"/>
    <mergeCell ref="B57:B62"/>
    <mergeCell ref="M57:M62"/>
  </mergeCells>
  <conditionalFormatting sqref="P43:R43 P47:R50 P53:R5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4:R4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4:P4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2:R4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1:R4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1">
    <dataValidation type="list" allowBlank="1" showInputMessage="1" showErrorMessage="1" sqref="J27 H27">
      <formula1>listFrequencies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AC100"/>
  <sheetViews>
    <sheetView tabSelected="1" workbookViewId="0">
      <selection activeCell="J13" sqref="J13"/>
    </sheetView>
  </sheetViews>
  <sheetFormatPr defaultRowHeight="14.5" outlineLevelCol="1"/>
  <cols>
    <col min="1" max="2" width="8.7265625" style="70"/>
    <col min="3" max="3" width="15.6328125" style="71" hidden="1" customWidth="1" outlineLevel="1"/>
    <col min="4" max="4" width="7.36328125" style="71" hidden="1" customWidth="1" outlineLevel="1"/>
    <col min="5" max="5" width="6.90625" style="71" hidden="1" customWidth="1" outlineLevel="1"/>
    <col min="6" max="6" width="17.54296875" style="71" hidden="1" customWidth="1" outlineLevel="1"/>
    <col min="7" max="7" width="31.26953125" style="71" hidden="1" customWidth="1" outlineLevel="1"/>
    <col min="8" max="8" width="9.81640625" style="70" customWidth="1" collapsed="1"/>
    <col min="9" max="9" width="27.26953125" style="70" customWidth="1"/>
    <col min="10" max="10" width="15.81640625" style="71" bestFit="1" customWidth="1"/>
    <col min="11" max="12" width="7.90625" style="76" bestFit="1" customWidth="1"/>
    <col min="13" max="13" width="15.81640625" style="71" bestFit="1" customWidth="1"/>
    <col min="14" max="14" width="15.08984375" style="71" bestFit="1" customWidth="1"/>
    <col min="15" max="15" width="11.453125" style="70" bestFit="1" customWidth="1"/>
    <col min="16" max="16" width="13.1796875" style="70" bestFit="1" customWidth="1"/>
    <col min="17" max="17" width="10.08984375" style="70" bestFit="1" customWidth="1"/>
    <col min="18" max="18" width="10.81640625" style="71" bestFit="1" customWidth="1"/>
    <col min="19" max="19" width="16.08984375" style="70" bestFit="1" customWidth="1"/>
    <col min="20" max="20" width="12.81640625" style="76" bestFit="1" customWidth="1"/>
    <col min="21" max="21" width="12.1796875" style="79" bestFit="1" customWidth="1"/>
    <col min="22" max="22" width="7" style="79" bestFit="1" customWidth="1"/>
    <col min="23" max="23" width="7.36328125" style="79" bestFit="1" customWidth="1"/>
    <col min="24" max="24" width="11.90625" style="79" bestFit="1" customWidth="1"/>
    <col min="25" max="25" width="12.54296875" style="79" bestFit="1" customWidth="1"/>
    <col min="26" max="26" width="7" style="79" bestFit="1" customWidth="1"/>
    <col min="27" max="27" width="7" style="70" bestFit="1" customWidth="1"/>
    <col min="28" max="28" width="15.36328125" style="70" bestFit="1" customWidth="1"/>
    <col min="29" max="29" width="15.08984375" style="70" bestFit="1" customWidth="1"/>
    <col min="30" max="16384" width="8.7265625" style="70"/>
  </cols>
  <sheetData>
    <row r="1" spans="1:29" ht="15" thickBot="1">
      <c r="C1" s="86" t="str">
        <f>_xll.qlSchedule("ScheduleFix",XXX!I21,XXX!J21,"1Y",XXX!E48,"unadjusted","unadjusted","backward",FALSE,,,,Trigger)</f>
        <v>ScheduleFix#0002</v>
      </c>
      <c r="D1" s="86"/>
      <c r="E1" s="86"/>
      <c r="F1" s="86" t="str">
        <f>_xll.qlSchedule("ScheduleFloat",XXX!J21,XXX!H21,_xll.qlPeriodFromFrequency(XXX!H27,Trigger),XXX!E48,"unadjusted","unadjusted","backward",FALSE,,,,Trigger)</f>
        <v>ScheduleFloat#0002</v>
      </c>
      <c r="G1" s="86" t="str">
        <f t="array" aca="1" ref="G1" ca="1">_xll.qlScheduleFromDateVector(XXX!E36&amp;XXX!E29,OFFSET(Cashflows!G3,,,COUNT(Cashflows!G3:G41),1))</f>
        <v>DE000A19W2L5Kupontermine#0002</v>
      </c>
      <c r="J1" s="71" t="str">
        <f ca="1">_xll.ohRangeRetrieveError(G1)</f>
        <v/>
      </c>
    </row>
    <row r="2" spans="1:29" ht="15" thickBot="1">
      <c r="A2" s="17" t="s">
        <v>104</v>
      </c>
      <c r="B2" s="17" t="s">
        <v>105</v>
      </c>
      <c r="C2" s="89" t="s">
        <v>107</v>
      </c>
      <c r="D2" s="89" t="s">
        <v>111</v>
      </c>
      <c r="E2" s="89" t="s">
        <v>112</v>
      </c>
      <c r="F2" s="89" t="s">
        <v>108</v>
      </c>
      <c r="G2" s="89" t="s">
        <v>110</v>
      </c>
      <c r="H2" s="82" t="s">
        <v>183</v>
      </c>
      <c r="I2" s="82" t="s">
        <v>184</v>
      </c>
      <c r="J2" s="72" t="str">
        <f t="array" aca="1" ref="J2:AC100" ca="1">_xll.qlBondFlowAnalysis(XXX!E37,XXX!I21,Übersicht!C27)</f>
        <v>Payment Date</v>
      </c>
      <c r="K2" s="74" t="str">
        <f ca="1"/>
        <v>Amount</v>
      </c>
      <c r="L2" s="74" t="str">
        <f ca="1"/>
        <v>Nominal</v>
      </c>
      <c r="M2" s="72" t="str">
        <f ca="1"/>
        <v>Accrual Start Date</v>
      </c>
      <c r="N2" s="72" t="str">
        <f ca="1"/>
        <v>Accrual End Date</v>
      </c>
      <c r="O2" s="51" t="str">
        <f ca="1"/>
        <v>Accrual Days</v>
      </c>
      <c r="P2" s="51" t="str">
        <f ca="1"/>
        <v>Index</v>
      </c>
      <c r="Q2" s="51" t="str">
        <f ca="1"/>
        <v>Fixing Days</v>
      </c>
      <c r="R2" s="72" t="str">
        <f ca="1"/>
        <v>Fixing Dates</v>
      </c>
      <c r="S2" s="51" t="str">
        <f ca="1"/>
        <v>Day Counter</v>
      </c>
      <c r="T2" s="74" t="str">
        <f ca="1"/>
        <v>Accrual Period</v>
      </c>
      <c r="U2" s="77" t="str">
        <f ca="1"/>
        <v>Effective Rate</v>
      </c>
      <c r="V2" s="77" t="str">
        <f ca="1"/>
        <v>Floor</v>
      </c>
      <c r="W2" s="77" t="str">
        <f ca="1"/>
        <v>Gearing</v>
      </c>
      <c r="X2" s="77" t="str">
        <f ca="1"/>
        <v>Index Fixing</v>
      </c>
      <c r="Y2" s="77" t="str">
        <f ca="1"/>
        <v>Conv. Adj.</v>
      </c>
      <c r="Z2" s="77" t="str">
        <f ca="1"/>
        <v>Spread</v>
      </c>
      <c r="AA2" s="51" t="str">
        <f ca="1"/>
        <v>Cap</v>
      </c>
      <c r="AB2" s="51" t="str">
        <f ca="1"/>
        <v>Call Digital Payoff</v>
      </c>
      <c r="AC2" s="51" t="str">
        <f ca="1"/>
        <v>Put Digital Payoff</v>
      </c>
    </row>
    <row r="3" spans="1:29" ht="15" thickBot="1">
      <c r="A3" s="81">
        <v>0</v>
      </c>
      <c r="B3" s="81">
        <v>0.04</v>
      </c>
      <c r="C3" s="86">
        <f t="array" ref="C3:C41">_xll.qlScheduleDates(C1)</f>
        <v>43164</v>
      </c>
      <c r="D3" s="91">
        <f>IF(ISERROR(C3),D2+1,0)</f>
        <v>0</v>
      </c>
      <c r="E3" s="90">
        <v>0</v>
      </c>
      <c r="F3" s="86">
        <f t="array" ref="F3:F41">_xll.qlScheduleDates(F1)</f>
        <v>44990</v>
      </c>
      <c r="G3" s="86">
        <f>IF(ISERROR(C3),INDEX($F$3:$F$41,MATCH(D3,$E$3:$E$41,0),1),C3)</f>
        <v>43164</v>
      </c>
      <c r="H3" s="174">
        <v>100</v>
      </c>
      <c r="I3" s="83" t="str">
        <f>_xll.qlCallability("Kuendigungstermin"&amp;Cashflows!G3,H3,"Clean","Call",G3,,Trigger)</f>
        <v>Kuendigungstermin43164#0002</v>
      </c>
      <c r="J3" s="73">
        <f ca="1"/>
        <v>43529</v>
      </c>
      <c r="K3" s="75">
        <f ca="1"/>
        <v>4.0000000000000036</v>
      </c>
      <c r="L3" s="75">
        <f ca="1"/>
        <v>100</v>
      </c>
      <c r="M3" s="73">
        <f ca="1"/>
        <v>43164</v>
      </c>
      <c r="N3" s="73">
        <f ca="1"/>
        <v>43529</v>
      </c>
      <c r="O3" s="52">
        <f ca="1"/>
        <v>365</v>
      </c>
      <c r="P3" s="52" t="str">
        <f ca="1"/>
        <v>#N/A</v>
      </c>
      <c r="Q3" s="52" t="str">
        <f ca="1"/>
        <v>#N/A</v>
      </c>
      <c r="R3" s="73" t="str">
        <f ca="1"/>
        <v>#N/A</v>
      </c>
      <c r="S3" s="52" t="str">
        <f ca="1"/>
        <v>Actual/365 (Fixed)</v>
      </c>
      <c r="T3" s="75">
        <f ca="1"/>
        <v>1</v>
      </c>
      <c r="U3" s="78">
        <f ca="1"/>
        <v>0.04</v>
      </c>
      <c r="V3" s="78" t="str">
        <f ca="1"/>
        <v>#N/A</v>
      </c>
      <c r="W3" s="78" t="str">
        <f ca="1"/>
        <v>#N/A</v>
      </c>
      <c r="X3" s="78" t="str">
        <f ca="1"/>
        <v>#N/A</v>
      </c>
      <c r="Y3" s="78" t="str">
        <f ca="1"/>
        <v>#N/A</v>
      </c>
      <c r="Z3" s="78" t="str">
        <f ca="1"/>
        <v>#N/A</v>
      </c>
      <c r="AA3" s="52" t="str">
        <f ca="1"/>
        <v>#N/A</v>
      </c>
      <c r="AB3" s="52" t="str">
        <f ca="1"/>
        <v>#N/A</v>
      </c>
      <c r="AC3" s="52" t="str">
        <f ca="1"/>
        <v>#N/A</v>
      </c>
    </row>
    <row r="4" spans="1:29" ht="15" thickBot="1">
      <c r="A4" s="81">
        <v>0</v>
      </c>
      <c r="B4" s="81">
        <v>0.04</v>
      </c>
      <c r="C4" s="86">
        <v>43529</v>
      </c>
      <c r="D4" s="91">
        <f>IF(ISERROR(C4),D3+1,0)</f>
        <v>0</v>
      </c>
      <c r="E4" s="90">
        <v>1</v>
      </c>
      <c r="F4" s="86">
        <v>45082</v>
      </c>
      <c r="G4" s="86">
        <f>IF(ISERROR(C4),INDEX($F$3:$F$41,MATCH(D4,$E$3:$E$41,0),1),C4)</f>
        <v>43529</v>
      </c>
      <c r="H4" s="174">
        <v>100</v>
      </c>
      <c r="I4" s="83" t="str">
        <f>_xll.qlCallability("Kuendigungstermin"&amp;Cashflows!G4,H4,"Clean","Call",G4,,Trigger)</f>
        <v>Kuendigungstermin43529#0002</v>
      </c>
      <c r="J4" s="73">
        <f ca="1"/>
        <v>43895</v>
      </c>
      <c r="K4" s="75">
        <f ca="1"/>
        <v>4.010958904109585</v>
      </c>
      <c r="L4" s="75">
        <f ca="1"/>
        <v>100</v>
      </c>
      <c r="M4" s="73">
        <f ca="1"/>
        <v>43529</v>
      </c>
      <c r="N4" s="73">
        <f ca="1"/>
        <v>43895</v>
      </c>
      <c r="O4" s="52">
        <f ca="1"/>
        <v>366</v>
      </c>
      <c r="P4" s="52" t="str">
        <f ca="1"/>
        <v>#N/A</v>
      </c>
      <c r="Q4" s="52" t="str">
        <f ca="1"/>
        <v>#N/A</v>
      </c>
      <c r="R4" s="73" t="str">
        <f ca="1"/>
        <v>#N/A</v>
      </c>
      <c r="S4" s="52" t="str">
        <f ca="1"/>
        <v>Actual/365 (Fixed)</v>
      </c>
      <c r="T4" s="75">
        <f ca="1"/>
        <v>1.0027397260273974</v>
      </c>
      <c r="U4" s="78">
        <f ca="1"/>
        <v>0.04</v>
      </c>
      <c r="V4" s="78" t="str">
        <f ca="1"/>
        <v>#N/A</v>
      </c>
      <c r="W4" s="78" t="str">
        <f ca="1"/>
        <v>#N/A</v>
      </c>
      <c r="X4" s="78" t="str">
        <f ca="1"/>
        <v>#N/A</v>
      </c>
      <c r="Y4" s="78" t="str">
        <f ca="1"/>
        <v>#N/A</v>
      </c>
      <c r="Z4" s="78" t="str">
        <f ca="1"/>
        <v>#N/A</v>
      </c>
      <c r="AA4" s="52" t="str">
        <f ca="1"/>
        <v>#N/A</v>
      </c>
      <c r="AB4" s="52" t="str">
        <f ca="1"/>
        <v>#N/A</v>
      </c>
      <c r="AC4" s="52" t="str">
        <f ca="1"/>
        <v>#N/A</v>
      </c>
    </row>
    <row r="5" spans="1:29" ht="15" thickBot="1">
      <c r="A5" s="81">
        <v>0</v>
      </c>
      <c r="B5" s="81">
        <v>0.04</v>
      </c>
      <c r="C5" s="86">
        <v>43895</v>
      </c>
      <c r="D5" s="91">
        <f>IF(ISERROR(C5),D4+1,0)</f>
        <v>0</v>
      </c>
      <c r="E5" s="90">
        <v>2</v>
      </c>
      <c r="F5" s="86">
        <v>45174</v>
      </c>
      <c r="G5" s="86">
        <f>IF(ISERROR(C5),INDEX($F$3:$F$41,MATCH(D5,$E$3:$E$41,0),1),C5)</f>
        <v>43895</v>
      </c>
      <c r="H5" s="174">
        <v>100</v>
      </c>
      <c r="I5" s="83" t="str">
        <f>_xll.qlCallability("Kuendigungstermin"&amp;Cashflows!G5,H5,"Clean","Call",G5,,Trigger)</f>
        <v>Kuendigungstermin43895#0002</v>
      </c>
      <c r="J5" s="73">
        <f ca="1"/>
        <v>44260</v>
      </c>
      <c r="K5" s="75">
        <f ca="1"/>
        <v>4.0000000000000036</v>
      </c>
      <c r="L5" s="75">
        <f ca="1"/>
        <v>100</v>
      </c>
      <c r="M5" s="73">
        <f ca="1"/>
        <v>43895</v>
      </c>
      <c r="N5" s="73">
        <f ca="1"/>
        <v>44260</v>
      </c>
      <c r="O5" s="52">
        <f ca="1"/>
        <v>365</v>
      </c>
      <c r="P5" s="52" t="str">
        <f ca="1"/>
        <v>#N/A</v>
      </c>
      <c r="Q5" s="52" t="str">
        <f ca="1"/>
        <v>#N/A</v>
      </c>
      <c r="R5" s="73" t="str">
        <f ca="1"/>
        <v>#N/A</v>
      </c>
      <c r="S5" s="52" t="str">
        <f ca="1"/>
        <v>Actual/365 (Fixed)</v>
      </c>
      <c r="T5" s="75">
        <f ca="1"/>
        <v>1</v>
      </c>
      <c r="U5" s="78">
        <f ca="1"/>
        <v>0.04</v>
      </c>
      <c r="V5" s="78" t="str">
        <f ca="1"/>
        <v>#N/A</v>
      </c>
      <c r="W5" s="78" t="str">
        <f ca="1"/>
        <v>#N/A</v>
      </c>
      <c r="X5" s="78" t="str">
        <f ca="1"/>
        <v>#N/A</v>
      </c>
      <c r="Y5" s="78" t="str">
        <f ca="1"/>
        <v>#N/A</v>
      </c>
      <c r="Z5" s="78" t="str">
        <f ca="1"/>
        <v>#N/A</v>
      </c>
      <c r="AA5" s="52" t="str">
        <f ca="1"/>
        <v>#N/A</v>
      </c>
      <c r="AB5" s="52" t="str">
        <f ca="1"/>
        <v>#N/A</v>
      </c>
      <c r="AC5" s="52" t="str">
        <f ca="1"/>
        <v>#N/A</v>
      </c>
    </row>
    <row r="6" spans="1:29" ht="15" thickBot="1">
      <c r="A6" s="81">
        <v>0</v>
      </c>
      <c r="B6" s="81">
        <v>0.04</v>
      </c>
      <c r="C6" s="86">
        <v>44260</v>
      </c>
      <c r="D6" s="91">
        <f>IF(ISERROR(C6),D5+1,0)</f>
        <v>0</v>
      </c>
      <c r="E6" s="90">
        <v>3</v>
      </c>
      <c r="F6" s="86">
        <v>45265</v>
      </c>
      <c r="G6" s="86">
        <f>IF(ISERROR(C6),INDEX($F$3:$F$41,MATCH(D6,$E$3:$E$41,0),1),C6)</f>
        <v>44260</v>
      </c>
      <c r="H6" s="174">
        <v>100</v>
      </c>
      <c r="I6" s="83" t="str">
        <f>_xll.qlCallability("Kuendigungstermin"&amp;Cashflows!G6,H6,"Clean","Call",G6,,Trigger)</f>
        <v>Kuendigungstermin44260#0002</v>
      </c>
      <c r="J6" s="73">
        <f ca="1"/>
        <v>44625</v>
      </c>
      <c r="K6" s="75">
        <f ca="1"/>
        <v>4.0000000000000036</v>
      </c>
      <c r="L6" s="75">
        <f ca="1"/>
        <v>100</v>
      </c>
      <c r="M6" s="73">
        <f ca="1"/>
        <v>44260</v>
      </c>
      <c r="N6" s="73">
        <f ca="1"/>
        <v>44625</v>
      </c>
      <c r="O6" s="52">
        <f ca="1"/>
        <v>365</v>
      </c>
      <c r="P6" s="52" t="str">
        <f ca="1"/>
        <v>#N/A</v>
      </c>
      <c r="Q6" s="52" t="str">
        <f ca="1"/>
        <v>#N/A</v>
      </c>
      <c r="R6" s="73" t="str">
        <f ca="1"/>
        <v>#N/A</v>
      </c>
      <c r="S6" s="52" t="str">
        <f ca="1"/>
        <v>Actual/365 (Fixed)</v>
      </c>
      <c r="T6" s="75">
        <f ca="1"/>
        <v>1</v>
      </c>
      <c r="U6" s="78">
        <f ca="1"/>
        <v>0.04</v>
      </c>
      <c r="V6" s="78" t="str">
        <f ca="1"/>
        <v>#N/A</v>
      </c>
      <c r="W6" s="78" t="str">
        <f ca="1"/>
        <v>#N/A</v>
      </c>
      <c r="X6" s="78" t="str">
        <f ca="1"/>
        <v>#N/A</v>
      </c>
      <c r="Y6" s="78" t="str">
        <f ca="1"/>
        <v>#N/A</v>
      </c>
      <c r="Z6" s="78" t="str">
        <f ca="1"/>
        <v>#N/A</v>
      </c>
      <c r="AA6" s="52" t="str">
        <f ca="1"/>
        <v>#N/A</v>
      </c>
      <c r="AB6" s="52" t="str">
        <f ca="1"/>
        <v>#N/A</v>
      </c>
      <c r="AC6" s="52" t="str">
        <f ca="1"/>
        <v>#N/A</v>
      </c>
    </row>
    <row r="7" spans="1:29" ht="15" thickBot="1">
      <c r="A7" s="81">
        <v>0</v>
      </c>
      <c r="B7" s="81">
        <v>0.04</v>
      </c>
      <c r="C7" s="86">
        <v>44625</v>
      </c>
      <c r="D7" s="91">
        <f>IF(ISERROR(C7),D6+1,0)</f>
        <v>0</v>
      </c>
      <c r="E7" s="90">
        <v>4</v>
      </c>
      <c r="F7" s="86">
        <v>45356</v>
      </c>
      <c r="G7" s="86">
        <f>IF(ISERROR(C7),INDEX($F$3:$F$41,MATCH(D7,$E$3:$E$41,0),1),C7)</f>
        <v>44625</v>
      </c>
      <c r="H7" s="174">
        <v>100</v>
      </c>
      <c r="I7" s="83" t="str">
        <f>_xll.qlCallability("Kuendigungstermin"&amp;Cashflows!G7,H7,"Clean","Call",G7,,Trigger)</f>
        <v>Kuendigungstermin44625#0002</v>
      </c>
      <c r="J7" s="73">
        <f ca="1"/>
        <v>44990</v>
      </c>
      <c r="K7" s="75">
        <f ca="1"/>
        <v>4.0000000000000036</v>
      </c>
      <c r="L7" s="75">
        <f ca="1"/>
        <v>100</v>
      </c>
      <c r="M7" s="73">
        <f ca="1"/>
        <v>44625</v>
      </c>
      <c r="N7" s="73">
        <f ca="1"/>
        <v>44990</v>
      </c>
      <c r="O7" s="52">
        <f ca="1"/>
        <v>365</v>
      </c>
      <c r="P7" s="52" t="str">
        <f ca="1"/>
        <v>#N/A</v>
      </c>
      <c r="Q7" s="52" t="str">
        <f ca="1"/>
        <v>#N/A</v>
      </c>
      <c r="R7" s="73" t="str">
        <f ca="1"/>
        <v>#N/A</v>
      </c>
      <c r="S7" s="52" t="str">
        <f ca="1"/>
        <v>Actual/365 (Fixed)</v>
      </c>
      <c r="T7" s="75">
        <f ca="1"/>
        <v>1</v>
      </c>
      <c r="U7" s="78">
        <f ca="1"/>
        <v>0.04</v>
      </c>
      <c r="V7" s="78" t="str">
        <f ca="1"/>
        <v>#N/A</v>
      </c>
      <c r="W7" s="78" t="str">
        <f ca="1"/>
        <v>#N/A</v>
      </c>
      <c r="X7" s="78" t="str">
        <f ca="1"/>
        <v>#N/A</v>
      </c>
      <c r="Y7" s="78" t="str">
        <f ca="1"/>
        <v>#N/A</v>
      </c>
      <c r="Z7" s="78" t="str">
        <f ca="1"/>
        <v>#N/A</v>
      </c>
      <c r="AA7" s="52" t="str">
        <f ca="1"/>
        <v>#N/A</v>
      </c>
      <c r="AB7" s="52" t="str">
        <f ca="1"/>
        <v>#N/A</v>
      </c>
      <c r="AC7" s="52" t="str">
        <f ca="1"/>
        <v>#N/A</v>
      </c>
    </row>
    <row r="8" spans="1:29" ht="15" thickBot="1">
      <c r="A8" s="81">
        <v>1</v>
      </c>
      <c r="B8" s="81">
        <v>3.5000000000000003E-2</v>
      </c>
      <c r="C8" s="86">
        <v>44990</v>
      </c>
      <c r="D8" s="91">
        <f>IF(ISERROR(C8),D7+1,0)</f>
        <v>0</v>
      </c>
      <c r="E8" s="90">
        <v>5</v>
      </c>
      <c r="F8" s="86">
        <v>45448</v>
      </c>
      <c r="G8" s="86">
        <f>IF(ISERROR(C8),INDEX($F$3:$F$41,MATCH(D8,$E$3:$E$41,0),1),C8)</f>
        <v>44990</v>
      </c>
      <c r="H8" s="174">
        <v>1</v>
      </c>
      <c r="I8" s="83" t="str">
        <f>_xll.qlCallability("Kuendigungstermin"&amp;Cashflows!G8,H8,"Clean","Call",G8,,Trigger)</f>
        <v>Kuendigungstermin44990#0002</v>
      </c>
      <c r="J8" s="73">
        <f ca="1"/>
        <v>45082</v>
      </c>
      <c r="K8" s="75">
        <f ca="1"/>
        <v>1.0082191780821814</v>
      </c>
      <c r="L8" s="75">
        <f ca="1"/>
        <v>100</v>
      </c>
      <c r="M8" s="73">
        <f ca="1"/>
        <v>44990</v>
      </c>
      <c r="N8" s="73">
        <f ca="1"/>
        <v>45082</v>
      </c>
      <c r="O8" s="52">
        <f ca="1"/>
        <v>92</v>
      </c>
      <c r="P8" s="52" t="str">
        <f ca="1"/>
        <v>#N/A</v>
      </c>
      <c r="Q8" s="52" t="str">
        <f ca="1"/>
        <v>#N/A</v>
      </c>
      <c r="R8" s="73" t="str">
        <f ca="1"/>
        <v>#N/A</v>
      </c>
      <c r="S8" s="52" t="str">
        <f ca="1"/>
        <v>Actual/365 (Fixed)</v>
      </c>
      <c r="T8" s="75">
        <f ca="1"/>
        <v>0.25205479452054796</v>
      </c>
      <c r="U8" s="78">
        <f ca="1"/>
        <v>0.04</v>
      </c>
      <c r="V8" s="78" t="str">
        <f ca="1"/>
        <v>#N/A</v>
      </c>
      <c r="W8" s="78" t="str">
        <f ca="1"/>
        <v>#N/A</v>
      </c>
      <c r="X8" s="78" t="str">
        <f ca="1"/>
        <v>#N/A</v>
      </c>
      <c r="Y8" s="78" t="str">
        <f ca="1"/>
        <v>#N/A</v>
      </c>
      <c r="Z8" s="78" t="str">
        <f ca="1"/>
        <v>#N/A</v>
      </c>
      <c r="AA8" s="52" t="str">
        <f ca="1"/>
        <v>#N/A</v>
      </c>
      <c r="AB8" s="52" t="str">
        <f ca="1"/>
        <v>#N/A</v>
      </c>
      <c r="AC8" s="52" t="str">
        <f ca="1"/>
        <v>#N/A</v>
      </c>
    </row>
    <row r="9" spans="1:29" ht="15" thickBot="1">
      <c r="A9" s="81">
        <v>1</v>
      </c>
      <c r="B9" s="81">
        <v>3.5000000000000003E-2</v>
      </c>
      <c r="C9" s="86" t="e">
        <v>#N/A</v>
      </c>
      <c r="D9" s="91">
        <f>IF(ISERROR(C9),D8+1,0)</f>
        <v>1</v>
      </c>
      <c r="E9" s="90">
        <v>6</v>
      </c>
      <c r="F9" s="86">
        <v>45540</v>
      </c>
      <c r="G9" s="86">
        <f>IF(ISERROR(C9),INDEX($F$3:$F$41,MATCH(D9,$E$3:$E$41,0),1),C9)</f>
        <v>45082</v>
      </c>
      <c r="H9" s="174">
        <v>1</v>
      </c>
      <c r="I9" s="83" t="str">
        <f>_xll.qlCallability("Kuendigungstermin"&amp;Cashflows!G9,H9,"Clean","Call",G9,,Trigger)</f>
        <v>Kuendigungstermin45082#0002</v>
      </c>
      <c r="J9" s="73">
        <f ca="1"/>
        <v>45174</v>
      </c>
      <c r="K9" s="75">
        <f ca="1"/>
        <v>1.0082191780821814</v>
      </c>
      <c r="L9" s="75">
        <f ca="1"/>
        <v>100</v>
      </c>
      <c r="M9" s="73">
        <f ca="1"/>
        <v>45082</v>
      </c>
      <c r="N9" s="73">
        <f ca="1"/>
        <v>45174</v>
      </c>
      <c r="O9" s="52">
        <f ca="1"/>
        <v>92</v>
      </c>
      <c r="P9" s="52" t="str">
        <f ca="1"/>
        <v>#N/A</v>
      </c>
      <c r="Q9" s="52" t="str">
        <f ca="1"/>
        <v>#N/A</v>
      </c>
      <c r="R9" s="73" t="str">
        <f ca="1"/>
        <v>#N/A</v>
      </c>
      <c r="S9" s="52" t="str">
        <f ca="1"/>
        <v>Actual/365 (Fixed)</v>
      </c>
      <c r="T9" s="75">
        <f ca="1"/>
        <v>0.25205479452054796</v>
      </c>
      <c r="U9" s="78">
        <f ca="1"/>
        <v>0.04</v>
      </c>
      <c r="V9" s="78" t="str">
        <f ca="1"/>
        <v>#N/A</v>
      </c>
      <c r="W9" s="78" t="str">
        <f ca="1"/>
        <v>#N/A</v>
      </c>
      <c r="X9" s="78" t="str">
        <f ca="1"/>
        <v>#N/A</v>
      </c>
      <c r="Y9" s="78" t="str">
        <f ca="1"/>
        <v>#N/A</v>
      </c>
      <c r="Z9" s="78" t="str">
        <f ca="1"/>
        <v>#N/A</v>
      </c>
      <c r="AA9" s="52" t="str">
        <f ca="1"/>
        <v>#N/A</v>
      </c>
      <c r="AB9" s="52" t="str">
        <f ca="1"/>
        <v>#N/A</v>
      </c>
      <c r="AC9" s="52" t="str">
        <f ca="1"/>
        <v>#N/A</v>
      </c>
    </row>
    <row r="10" spans="1:29" ht="15" thickBot="1">
      <c r="A10" s="81">
        <v>1</v>
      </c>
      <c r="B10" s="81">
        <v>3.5000000000000003E-2</v>
      </c>
      <c r="C10" s="86" t="e">
        <v>#N/A</v>
      </c>
      <c r="D10" s="91">
        <f>IF(ISERROR(C10),D9+1,0)</f>
        <v>2</v>
      </c>
      <c r="E10" s="90">
        <v>7</v>
      </c>
      <c r="F10" s="86">
        <v>45631</v>
      </c>
      <c r="G10" s="86">
        <f>IF(ISERROR(C10),INDEX($F$3:$F$41,MATCH(D10,$E$3:$E$41,0),1),C10)</f>
        <v>45174</v>
      </c>
      <c r="H10" s="174">
        <v>1</v>
      </c>
      <c r="I10" s="83" t="str">
        <f>_xll.qlCallability("Kuendigungstermin"&amp;Cashflows!G10,H10,"Clean","Call",G10,,Trigger)</f>
        <v>Kuendigungstermin45174#0002</v>
      </c>
      <c r="J10" s="73">
        <f ca="1"/>
        <v>45265</v>
      </c>
      <c r="K10" s="75">
        <f ca="1"/>
        <v>0.99726027397259998</v>
      </c>
      <c r="L10" s="75">
        <f ca="1"/>
        <v>100</v>
      </c>
      <c r="M10" s="73">
        <f ca="1"/>
        <v>45174</v>
      </c>
      <c r="N10" s="73">
        <f ca="1"/>
        <v>45265</v>
      </c>
      <c r="O10" s="52">
        <f ca="1"/>
        <v>91</v>
      </c>
      <c r="P10" s="52" t="str">
        <f ca="1"/>
        <v>#N/A</v>
      </c>
      <c r="Q10" s="52" t="str">
        <f ca="1"/>
        <v>#N/A</v>
      </c>
      <c r="R10" s="73" t="str">
        <f ca="1"/>
        <v>#N/A</v>
      </c>
      <c r="S10" s="52" t="str">
        <f ca="1"/>
        <v>Actual/365 (Fixed)</v>
      </c>
      <c r="T10" s="75">
        <f ca="1"/>
        <v>0.24931506849315069</v>
      </c>
      <c r="U10" s="78">
        <f ca="1"/>
        <v>0.04</v>
      </c>
      <c r="V10" s="78" t="str">
        <f ca="1"/>
        <v>#N/A</v>
      </c>
      <c r="W10" s="78" t="str">
        <f ca="1"/>
        <v>#N/A</v>
      </c>
      <c r="X10" s="78" t="str">
        <f ca="1"/>
        <v>#N/A</v>
      </c>
      <c r="Y10" s="78" t="str">
        <f ca="1"/>
        <v>#N/A</v>
      </c>
      <c r="Z10" s="78" t="str">
        <f ca="1"/>
        <v>#N/A</v>
      </c>
      <c r="AA10" s="52" t="str">
        <f ca="1"/>
        <v>#N/A</v>
      </c>
      <c r="AB10" s="52" t="str">
        <f ca="1"/>
        <v>#N/A</v>
      </c>
      <c r="AC10" s="52" t="str">
        <f ca="1"/>
        <v>#N/A</v>
      </c>
    </row>
    <row r="11" spans="1:29" ht="15" thickBot="1">
      <c r="A11" s="81">
        <v>1</v>
      </c>
      <c r="B11" s="81">
        <v>3.5000000000000003E-2</v>
      </c>
      <c r="C11" s="86" t="e">
        <v>#N/A</v>
      </c>
      <c r="D11" s="91">
        <f>IF(ISERROR(C11),D10+1,0)</f>
        <v>3</v>
      </c>
      <c r="E11" s="90">
        <v>8</v>
      </c>
      <c r="F11" s="86">
        <v>45721</v>
      </c>
      <c r="G11" s="86">
        <f>IF(ISERROR(C11),INDEX($F$3:$F$41,MATCH(D11,$E$3:$E$41,0),1),C11)</f>
        <v>45265</v>
      </c>
      <c r="H11" s="174">
        <v>1</v>
      </c>
      <c r="I11" s="83" t="str">
        <f>_xll.qlCallability("Kuendigungstermin"&amp;Cashflows!G11,H11,"Clean","Call",G11,,Trigger)</f>
        <v>Kuendigungstermin45265#0002</v>
      </c>
      <c r="J11" s="73">
        <f ca="1"/>
        <v>45356</v>
      </c>
      <c r="K11" s="75">
        <f ca="1"/>
        <v>0.99726027397259998</v>
      </c>
      <c r="L11" s="75">
        <f ca="1"/>
        <v>100</v>
      </c>
      <c r="M11" s="73">
        <f ca="1"/>
        <v>45265</v>
      </c>
      <c r="N11" s="73">
        <f ca="1"/>
        <v>45356</v>
      </c>
      <c r="O11" s="52">
        <f ca="1"/>
        <v>91</v>
      </c>
      <c r="P11" s="52" t="str">
        <f ca="1"/>
        <v>#N/A</v>
      </c>
      <c r="Q11" s="52" t="str">
        <f ca="1"/>
        <v>#N/A</v>
      </c>
      <c r="R11" s="73" t="str">
        <f ca="1"/>
        <v>#N/A</v>
      </c>
      <c r="S11" s="52" t="str">
        <f ca="1"/>
        <v>Actual/365 (Fixed)</v>
      </c>
      <c r="T11" s="75">
        <f ca="1"/>
        <v>0.24931506849315069</v>
      </c>
      <c r="U11" s="78">
        <f ca="1"/>
        <v>0.04</v>
      </c>
      <c r="V11" s="78" t="str">
        <f ca="1"/>
        <v>#N/A</v>
      </c>
      <c r="W11" s="78" t="str">
        <f ca="1"/>
        <v>#N/A</v>
      </c>
      <c r="X11" s="78" t="str">
        <f ca="1"/>
        <v>#N/A</v>
      </c>
      <c r="Y11" s="78" t="str">
        <f ca="1"/>
        <v>#N/A</v>
      </c>
      <c r="Z11" s="78" t="str">
        <f ca="1"/>
        <v>#N/A</v>
      </c>
      <c r="AA11" s="52" t="str">
        <f ca="1"/>
        <v>#N/A</v>
      </c>
      <c r="AB11" s="52" t="str">
        <f ca="1"/>
        <v>#N/A</v>
      </c>
      <c r="AC11" s="52" t="str">
        <f ca="1"/>
        <v>#N/A</v>
      </c>
    </row>
    <row r="12" spans="1:29" ht="15" thickBot="1">
      <c r="A12" s="81">
        <v>1</v>
      </c>
      <c r="B12" s="81">
        <v>3.5000000000000003E-2</v>
      </c>
      <c r="C12" s="86" t="e">
        <v>#N/A</v>
      </c>
      <c r="D12" s="91">
        <f>IF(ISERROR(C12),D11+1,0)</f>
        <v>4</v>
      </c>
      <c r="E12" s="90">
        <v>9</v>
      </c>
      <c r="F12" s="86" t="e">
        <v>#N/A</v>
      </c>
      <c r="G12" s="86">
        <f>IF(ISERROR(C12),INDEX($F$3:$F$41,MATCH(D12,$E$3:$E$41,0),1),C12)</f>
        <v>45356</v>
      </c>
      <c r="H12" s="174">
        <v>1</v>
      </c>
      <c r="I12" s="83" t="str">
        <f>_xll.qlCallability("Kuendigungstermin"&amp;Cashflows!G12,H12,"Clean","Call",G12,,Trigger)</f>
        <v>Kuendigungstermin45356#0002</v>
      </c>
      <c r="J12" s="73">
        <f ca="1"/>
        <v>45448</v>
      </c>
      <c r="K12" s="75">
        <f ca="1"/>
        <v>1.0082191780821814</v>
      </c>
      <c r="L12" s="75">
        <f ca="1"/>
        <v>100</v>
      </c>
      <c r="M12" s="73">
        <f ca="1"/>
        <v>45356</v>
      </c>
      <c r="N12" s="73">
        <f ca="1"/>
        <v>45448</v>
      </c>
      <c r="O12" s="52">
        <f ca="1"/>
        <v>92</v>
      </c>
      <c r="P12" s="52" t="str">
        <f ca="1"/>
        <v>#N/A</v>
      </c>
      <c r="Q12" s="52" t="str">
        <f ca="1"/>
        <v>#N/A</v>
      </c>
      <c r="R12" s="73" t="str">
        <f ca="1"/>
        <v>#N/A</v>
      </c>
      <c r="S12" s="52" t="str">
        <f ca="1"/>
        <v>Actual/365 (Fixed)</v>
      </c>
      <c r="T12" s="75">
        <f ca="1"/>
        <v>0.25205479452054796</v>
      </c>
      <c r="U12" s="78">
        <f ca="1"/>
        <v>0.04</v>
      </c>
      <c r="V12" s="78" t="str">
        <f ca="1"/>
        <v>#N/A</v>
      </c>
      <c r="W12" s="78" t="str">
        <f ca="1"/>
        <v>#N/A</v>
      </c>
      <c r="X12" s="78" t="str">
        <f ca="1"/>
        <v>#N/A</v>
      </c>
      <c r="Y12" s="78" t="str">
        <f ca="1"/>
        <v>#N/A</v>
      </c>
      <c r="Z12" s="78" t="str">
        <f ca="1"/>
        <v>#N/A</v>
      </c>
      <c r="AA12" s="52" t="str">
        <f ca="1"/>
        <v>#N/A</v>
      </c>
      <c r="AB12" s="52" t="str">
        <f ca="1"/>
        <v>#N/A</v>
      </c>
      <c r="AC12" s="52" t="str">
        <f ca="1"/>
        <v>#N/A</v>
      </c>
    </row>
    <row r="13" spans="1:29" ht="15" thickBot="1">
      <c r="A13" s="81">
        <v>1</v>
      </c>
      <c r="B13" s="81">
        <v>3.5000000000000003E-2</v>
      </c>
      <c r="C13" s="86" t="e">
        <v>#N/A</v>
      </c>
      <c r="D13" s="91">
        <f>IF(ISERROR(C13),D12+1,0)</f>
        <v>5</v>
      </c>
      <c r="E13" s="90">
        <v>10</v>
      </c>
      <c r="F13" s="86" t="e">
        <v>#N/A</v>
      </c>
      <c r="G13" s="86">
        <f>IF(ISERROR(C13),INDEX($F$3:$F$41,MATCH(D13,$E$3:$E$41,0),1),C13)</f>
        <v>45448</v>
      </c>
      <c r="H13" s="174">
        <v>1</v>
      </c>
      <c r="I13" s="83" t="str">
        <f>_xll.qlCallability("Kuendigungstermin"&amp;Cashflows!G13,H13,"Clean","Call",G13,,Trigger)</f>
        <v>Kuendigungstermin45448#0002</v>
      </c>
      <c r="J13" s="73">
        <f ca="1"/>
        <v>45540</v>
      </c>
      <c r="K13" s="75">
        <f ca="1"/>
        <v>1.0082191780821814</v>
      </c>
      <c r="L13" s="75">
        <f ca="1"/>
        <v>100</v>
      </c>
      <c r="M13" s="73">
        <f ca="1"/>
        <v>45448</v>
      </c>
      <c r="N13" s="73">
        <f ca="1"/>
        <v>45540</v>
      </c>
      <c r="O13" s="52">
        <f ca="1"/>
        <v>92</v>
      </c>
      <c r="P13" s="52" t="str">
        <f ca="1"/>
        <v>#N/A</v>
      </c>
      <c r="Q13" s="52" t="str">
        <f ca="1"/>
        <v>#N/A</v>
      </c>
      <c r="R13" s="73" t="str">
        <f ca="1"/>
        <v>#N/A</v>
      </c>
      <c r="S13" s="52" t="str">
        <f ca="1"/>
        <v>Actual/365 (Fixed)</v>
      </c>
      <c r="T13" s="75">
        <f ca="1"/>
        <v>0.25205479452054796</v>
      </c>
      <c r="U13" s="78">
        <f ca="1"/>
        <v>0.04</v>
      </c>
      <c r="V13" s="78" t="str">
        <f ca="1"/>
        <v>#N/A</v>
      </c>
      <c r="W13" s="78" t="str">
        <f ca="1"/>
        <v>#N/A</v>
      </c>
      <c r="X13" s="78" t="str">
        <f ca="1"/>
        <v>#N/A</v>
      </c>
      <c r="Y13" s="78" t="str">
        <f ca="1"/>
        <v>#N/A</v>
      </c>
      <c r="Z13" s="78" t="str">
        <f ca="1"/>
        <v>#N/A</v>
      </c>
      <c r="AA13" s="52" t="str">
        <f ca="1"/>
        <v>#N/A</v>
      </c>
      <c r="AB13" s="52" t="str">
        <f ca="1"/>
        <v>#N/A</v>
      </c>
      <c r="AC13" s="52" t="str">
        <f ca="1"/>
        <v>#N/A</v>
      </c>
    </row>
    <row r="14" spans="1:29" ht="15" thickBot="1">
      <c r="A14" s="81">
        <v>1</v>
      </c>
      <c r="B14" s="81">
        <v>3.5000000000000003E-2</v>
      </c>
      <c r="C14" s="86" t="e">
        <v>#N/A</v>
      </c>
      <c r="D14" s="91">
        <f>IF(ISERROR(C14),D13+1,0)</f>
        <v>6</v>
      </c>
      <c r="E14" s="90">
        <v>11</v>
      </c>
      <c r="F14" s="86" t="e">
        <v>#N/A</v>
      </c>
      <c r="G14" s="86">
        <f>IF(ISERROR(C14),INDEX($F$3:$F$41,MATCH(D14,$E$3:$E$41,0),1),C14)</f>
        <v>45540</v>
      </c>
      <c r="H14" s="174">
        <v>1</v>
      </c>
      <c r="I14" s="83" t="str">
        <f>_xll.qlCallability("Kuendigungstermin"&amp;Cashflows!G14,H14,"Clean","Call",G14,,Trigger)</f>
        <v>Kuendigungstermin45540#0002</v>
      </c>
      <c r="J14" s="73">
        <f ca="1"/>
        <v>45631</v>
      </c>
      <c r="K14" s="75">
        <f ca="1"/>
        <v>0.99726027397259998</v>
      </c>
      <c r="L14" s="75">
        <f ca="1"/>
        <v>100</v>
      </c>
      <c r="M14" s="73">
        <f ca="1"/>
        <v>45540</v>
      </c>
      <c r="N14" s="73">
        <f ca="1"/>
        <v>45631</v>
      </c>
      <c r="O14" s="52">
        <f ca="1"/>
        <v>91</v>
      </c>
      <c r="P14" s="52" t="str">
        <f ca="1"/>
        <v>#N/A</v>
      </c>
      <c r="Q14" s="52" t="str">
        <f ca="1"/>
        <v>#N/A</v>
      </c>
      <c r="R14" s="73" t="str">
        <f ca="1"/>
        <v>#N/A</v>
      </c>
      <c r="S14" s="52" t="str">
        <f ca="1"/>
        <v>Actual/365 (Fixed)</v>
      </c>
      <c r="T14" s="75">
        <f ca="1"/>
        <v>0.24931506849315069</v>
      </c>
      <c r="U14" s="78">
        <f ca="1"/>
        <v>0.04</v>
      </c>
      <c r="V14" s="78" t="str">
        <f ca="1"/>
        <v>#N/A</v>
      </c>
      <c r="W14" s="78" t="str">
        <f ca="1"/>
        <v>#N/A</v>
      </c>
      <c r="X14" s="78" t="str">
        <f ca="1"/>
        <v>#N/A</v>
      </c>
      <c r="Y14" s="78" t="str">
        <f ca="1"/>
        <v>#N/A</v>
      </c>
      <c r="Z14" s="78" t="str">
        <f ca="1"/>
        <v>#N/A</v>
      </c>
      <c r="AA14" s="52" t="str">
        <f ca="1"/>
        <v>#N/A</v>
      </c>
      <c r="AB14" s="52" t="str">
        <f ca="1"/>
        <v>#N/A</v>
      </c>
      <c r="AC14" s="52" t="str">
        <f ca="1"/>
        <v>#N/A</v>
      </c>
    </row>
    <row r="15" spans="1:29" ht="15" thickBot="1">
      <c r="A15" s="81">
        <v>1</v>
      </c>
      <c r="B15" s="81">
        <v>3.5000000000000003E-2</v>
      </c>
      <c r="C15" s="86" t="e">
        <v>#N/A</v>
      </c>
      <c r="D15" s="91">
        <f>IF(ISERROR(C15),D14+1,0)</f>
        <v>7</v>
      </c>
      <c r="E15" s="90">
        <v>12</v>
      </c>
      <c r="F15" s="86" t="e">
        <v>#N/A</v>
      </c>
      <c r="G15" s="86">
        <f>IF(ISERROR(C15),INDEX($F$3:$F$41,MATCH(D15,$E$3:$E$41,0),1),C15)</f>
        <v>45631</v>
      </c>
      <c r="H15" s="174">
        <v>1</v>
      </c>
      <c r="I15" s="83" t="str">
        <f>_xll.qlCallability("Kuendigungstermin"&amp;Cashflows!G15,H15,"Clean","Call",G15,,Trigger)</f>
        <v>Kuendigungstermin45631#0002</v>
      </c>
      <c r="J15" s="73">
        <f ca="1"/>
        <v>45721</v>
      </c>
      <c r="K15" s="75">
        <f ca="1"/>
        <v>0.98630136986301853</v>
      </c>
      <c r="L15" s="75">
        <f ca="1"/>
        <v>100</v>
      </c>
      <c r="M15" s="73">
        <f ca="1"/>
        <v>45631</v>
      </c>
      <c r="N15" s="73">
        <f ca="1"/>
        <v>45721</v>
      </c>
      <c r="O15" s="52">
        <f ca="1"/>
        <v>90</v>
      </c>
      <c r="P15" s="52" t="str">
        <f ca="1"/>
        <v>#N/A</v>
      </c>
      <c r="Q15" s="52" t="str">
        <f ca="1"/>
        <v>#N/A</v>
      </c>
      <c r="R15" s="73" t="str">
        <f ca="1"/>
        <v>#N/A</v>
      </c>
      <c r="S15" s="52" t="str">
        <f ca="1"/>
        <v>Actual/365 (Fixed)</v>
      </c>
      <c r="T15" s="75">
        <f ca="1"/>
        <v>0.24657534246575341</v>
      </c>
      <c r="U15" s="78">
        <f ca="1"/>
        <v>0.04</v>
      </c>
      <c r="V15" s="78" t="str">
        <f ca="1"/>
        <v>#N/A</v>
      </c>
      <c r="W15" s="78" t="str">
        <f ca="1"/>
        <v>#N/A</v>
      </c>
      <c r="X15" s="78" t="str">
        <f ca="1"/>
        <v>#N/A</v>
      </c>
      <c r="Y15" s="78" t="str">
        <f ca="1"/>
        <v>#N/A</v>
      </c>
      <c r="Z15" s="78" t="str">
        <f ca="1"/>
        <v>#N/A</v>
      </c>
      <c r="AA15" s="52" t="str">
        <f ca="1"/>
        <v>#N/A</v>
      </c>
      <c r="AB15" s="52" t="str">
        <f ca="1"/>
        <v>#N/A</v>
      </c>
      <c r="AC15" s="52" t="str">
        <f ca="1"/>
        <v>#N/A</v>
      </c>
    </row>
    <row r="16" spans="1:29" ht="15" thickBot="1">
      <c r="A16" s="81">
        <v>1</v>
      </c>
      <c r="B16" s="81">
        <v>3.5000000000000003E-2</v>
      </c>
      <c r="C16" s="86" t="e">
        <v>#N/A</v>
      </c>
      <c r="D16" s="91">
        <f>IF(ISERROR(C16),D15+1,0)</f>
        <v>8</v>
      </c>
      <c r="E16" s="90">
        <v>13</v>
      </c>
      <c r="F16" s="86" t="e">
        <v>#N/A</v>
      </c>
      <c r="G16" s="86">
        <f>IF(ISERROR(C16),INDEX($F$3:$F$41,MATCH(D16,$E$3:$E$41,0),1),C16)</f>
        <v>45721</v>
      </c>
      <c r="H16" s="174">
        <v>1</v>
      </c>
      <c r="I16" s="83" t="str">
        <f>_xll.qlCallability("Kuendigungstermin"&amp;Cashflows!G16,H16,"Clean","Call",G16,,Trigger)</f>
        <v>Kuendigungstermin45721#0002</v>
      </c>
      <c r="J16" s="73">
        <f ca="1"/>
        <v>45721</v>
      </c>
      <c r="K16" s="75">
        <f ca="1"/>
        <v>100</v>
      </c>
      <c r="L16" s="75" t="str">
        <f ca="1"/>
        <v>#N/A</v>
      </c>
      <c r="M16" s="73" t="str">
        <f ca="1"/>
        <v>#N/A</v>
      </c>
      <c r="N16" s="73" t="str">
        <f ca="1"/>
        <v>#N/A</v>
      </c>
      <c r="O16" s="52" t="str">
        <f ca="1"/>
        <v>#N/A</v>
      </c>
      <c r="P16" s="52" t="str">
        <f ca="1"/>
        <v>#N/A</v>
      </c>
      <c r="Q16" s="52" t="str">
        <f ca="1"/>
        <v>#N/A</v>
      </c>
      <c r="R16" s="73" t="str">
        <f ca="1"/>
        <v>#N/A</v>
      </c>
      <c r="S16" s="52" t="str">
        <f ca="1"/>
        <v>#N/A</v>
      </c>
      <c r="T16" s="75" t="str">
        <f ca="1"/>
        <v>#N/A</v>
      </c>
      <c r="U16" s="78" t="str">
        <f ca="1"/>
        <v>#N/A</v>
      </c>
      <c r="V16" s="78" t="str">
        <f ca="1"/>
        <v>#N/A</v>
      </c>
      <c r="W16" s="78" t="str">
        <f ca="1"/>
        <v>#N/A</v>
      </c>
      <c r="X16" s="78" t="str">
        <f ca="1"/>
        <v>#N/A</v>
      </c>
      <c r="Y16" s="78" t="str">
        <f ca="1"/>
        <v>#N/A</v>
      </c>
      <c r="Z16" s="78" t="str">
        <f ca="1"/>
        <v>#N/A</v>
      </c>
      <c r="AA16" s="52" t="str">
        <f ca="1"/>
        <v>#N/A</v>
      </c>
      <c r="AB16" s="52" t="str">
        <f ca="1"/>
        <v>#N/A</v>
      </c>
      <c r="AC16" s="52" t="str">
        <f ca="1"/>
        <v>#N/A</v>
      </c>
    </row>
    <row r="17" spans="1:29" ht="15" thickBot="1">
      <c r="A17" s="81">
        <v>1</v>
      </c>
      <c r="B17" s="81">
        <v>3.5000000000000003E-2</v>
      </c>
      <c r="C17" s="86" t="e">
        <v>#N/A</v>
      </c>
      <c r="D17" s="91">
        <f>IF(ISERROR(C17),D16+1,0)</f>
        <v>9</v>
      </c>
      <c r="E17" s="90">
        <v>14</v>
      </c>
      <c r="F17" s="86" t="e">
        <v>#N/A</v>
      </c>
      <c r="G17" s="86" t="e">
        <f>IF(ISERROR(C17),INDEX($F$3:$F$41,MATCH(D17,$E$3:$E$41,0),1),C17)</f>
        <v>#N/A</v>
      </c>
      <c r="H17" s="174">
        <v>1</v>
      </c>
      <c r="I17" s="83" t="e">
        <f>_xll.qlCallability("Kuendigungstermin"&amp;Cashflows!G17,H17,"Clean","Call",G17,,Trigger)</f>
        <v>#VALUE!</v>
      </c>
      <c r="J17" s="73" t="e">
        <f ca="1"/>
        <v>#N/A</v>
      </c>
      <c r="K17" s="75" t="e">
        <f ca="1"/>
        <v>#N/A</v>
      </c>
      <c r="L17" s="75" t="e">
        <f ca="1"/>
        <v>#N/A</v>
      </c>
      <c r="M17" s="73" t="e">
        <f ca="1"/>
        <v>#N/A</v>
      </c>
      <c r="N17" s="73" t="e">
        <f ca="1"/>
        <v>#N/A</v>
      </c>
      <c r="O17" s="52" t="e">
        <f ca="1"/>
        <v>#N/A</v>
      </c>
      <c r="P17" s="52" t="e">
        <f ca="1"/>
        <v>#N/A</v>
      </c>
      <c r="Q17" s="52" t="e">
        <f ca="1"/>
        <v>#N/A</v>
      </c>
      <c r="R17" s="73" t="e">
        <f ca="1"/>
        <v>#N/A</v>
      </c>
      <c r="S17" s="52" t="e">
        <f ca="1"/>
        <v>#N/A</v>
      </c>
      <c r="T17" s="75" t="e">
        <f ca="1"/>
        <v>#N/A</v>
      </c>
      <c r="U17" s="78" t="e">
        <f ca="1"/>
        <v>#N/A</v>
      </c>
      <c r="V17" s="78" t="e">
        <f ca="1"/>
        <v>#N/A</v>
      </c>
      <c r="W17" s="78" t="e">
        <f ca="1"/>
        <v>#N/A</v>
      </c>
      <c r="X17" s="78" t="e">
        <f ca="1"/>
        <v>#N/A</v>
      </c>
      <c r="Y17" s="78" t="e">
        <f ca="1"/>
        <v>#N/A</v>
      </c>
      <c r="Z17" s="78" t="e">
        <f ca="1"/>
        <v>#N/A</v>
      </c>
      <c r="AA17" s="52" t="e">
        <f ca="1"/>
        <v>#N/A</v>
      </c>
      <c r="AB17" s="52" t="e">
        <f ca="1"/>
        <v>#N/A</v>
      </c>
      <c r="AC17" s="52" t="e">
        <f ca="1"/>
        <v>#N/A</v>
      </c>
    </row>
    <row r="18" spans="1:29" ht="15" thickBot="1">
      <c r="A18" s="81">
        <v>1</v>
      </c>
      <c r="B18" s="81">
        <v>3.5000000000000003E-2</v>
      </c>
      <c r="C18" s="86" t="e">
        <v>#N/A</v>
      </c>
      <c r="D18" s="91">
        <f>IF(ISERROR(C18),D17+1,0)</f>
        <v>10</v>
      </c>
      <c r="E18" s="90">
        <v>15</v>
      </c>
      <c r="F18" s="86" t="e">
        <v>#N/A</v>
      </c>
      <c r="G18" s="86" t="e">
        <f>IF(ISERROR(C18),INDEX($F$3:$F$41,MATCH(D18,$E$3:$E$41,0),1),C18)</f>
        <v>#N/A</v>
      </c>
      <c r="H18" s="174">
        <v>1</v>
      </c>
      <c r="I18" s="83" t="e">
        <f>_xll.qlCallability("Kuendigungstermin"&amp;Cashflows!G18,H18,"Clean","Call",G18,,Trigger)</f>
        <v>#VALUE!</v>
      </c>
      <c r="J18" s="73" t="e">
        <f ca="1"/>
        <v>#N/A</v>
      </c>
      <c r="K18" s="75" t="e">
        <f ca="1"/>
        <v>#N/A</v>
      </c>
      <c r="L18" s="75" t="e">
        <f ca="1"/>
        <v>#N/A</v>
      </c>
      <c r="M18" s="73" t="e">
        <f ca="1"/>
        <v>#N/A</v>
      </c>
      <c r="N18" s="73" t="e">
        <f ca="1"/>
        <v>#N/A</v>
      </c>
      <c r="O18" s="52" t="e">
        <f ca="1"/>
        <v>#N/A</v>
      </c>
      <c r="P18" s="52" t="e">
        <f ca="1"/>
        <v>#N/A</v>
      </c>
      <c r="Q18" s="52" t="e">
        <f ca="1"/>
        <v>#N/A</v>
      </c>
      <c r="R18" s="73" t="e">
        <f ca="1"/>
        <v>#N/A</v>
      </c>
      <c r="S18" s="52" t="e">
        <f ca="1"/>
        <v>#N/A</v>
      </c>
      <c r="T18" s="75" t="e">
        <f ca="1"/>
        <v>#N/A</v>
      </c>
      <c r="U18" s="78" t="e">
        <f ca="1"/>
        <v>#N/A</v>
      </c>
      <c r="V18" s="78" t="e">
        <f ca="1"/>
        <v>#N/A</v>
      </c>
      <c r="W18" s="78" t="e">
        <f ca="1"/>
        <v>#N/A</v>
      </c>
      <c r="X18" s="78" t="e">
        <f ca="1"/>
        <v>#N/A</v>
      </c>
      <c r="Y18" s="78" t="e">
        <f ca="1"/>
        <v>#N/A</v>
      </c>
      <c r="Z18" s="78" t="e">
        <f ca="1"/>
        <v>#N/A</v>
      </c>
      <c r="AA18" s="52" t="e">
        <f ca="1"/>
        <v>#N/A</v>
      </c>
      <c r="AB18" s="52" t="e">
        <f ca="1"/>
        <v>#N/A</v>
      </c>
      <c r="AC18" s="52" t="e">
        <f ca="1"/>
        <v>#N/A</v>
      </c>
    </row>
    <row r="19" spans="1:29" ht="15" thickBot="1">
      <c r="A19" s="81">
        <v>1</v>
      </c>
      <c r="B19" s="81">
        <v>3.5000000000000003E-2</v>
      </c>
      <c r="C19" s="86" t="e">
        <v>#N/A</v>
      </c>
      <c r="D19" s="91">
        <f>IF(ISERROR(C19),D18+1,0)</f>
        <v>11</v>
      </c>
      <c r="E19" s="90">
        <v>16</v>
      </c>
      <c r="F19" s="86" t="e">
        <v>#N/A</v>
      </c>
      <c r="G19" s="86" t="e">
        <f>IF(ISERROR(C19),INDEX($F$3:$F$41,MATCH(D19,$E$3:$E$41,0),1),C19)</f>
        <v>#N/A</v>
      </c>
      <c r="H19" s="174">
        <v>1</v>
      </c>
      <c r="I19" s="83" t="e">
        <f>_xll.qlCallability("Kuendigungstermin"&amp;Cashflows!G19,H19,"Clean","Call",G19,,Trigger)</f>
        <v>#VALUE!</v>
      </c>
      <c r="J19" s="73" t="e">
        <f ca="1"/>
        <v>#N/A</v>
      </c>
      <c r="K19" s="75" t="e">
        <f ca="1"/>
        <v>#N/A</v>
      </c>
      <c r="L19" s="75" t="e">
        <f ca="1"/>
        <v>#N/A</v>
      </c>
      <c r="M19" s="73" t="e">
        <f ca="1"/>
        <v>#N/A</v>
      </c>
      <c r="N19" s="73" t="e">
        <f ca="1"/>
        <v>#N/A</v>
      </c>
      <c r="O19" s="52" t="e">
        <f ca="1"/>
        <v>#N/A</v>
      </c>
      <c r="P19" s="52" t="e">
        <f ca="1"/>
        <v>#N/A</v>
      </c>
      <c r="Q19" s="52" t="e">
        <f ca="1"/>
        <v>#N/A</v>
      </c>
      <c r="R19" s="73" t="e">
        <f ca="1"/>
        <v>#N/A</v>
      </c>
      <c r="S19" s="52" t="e">
        <f ca="1"/>
        <v>#N/A</v>
      </c>
      <c r="T19" s="75" t="e">
        <f ca="1"/>
        <v>#N/A</v>
      </c>
      <c r="U19" s="78" t="e">
        <f ca="1"/>
        <v>#N/A</v>
      </c>
      <c r="V19" s="78" t="e">
        <f ca="1"/>
        <v>#N/A</v>
      </c>
      <c r="W19" s="78" t="e">
        <f ca="1"/>
        <v>#N/A</v>
      </c>
      <c r="X19" s="78" t="e">
        <f ca="1"/>
        <v>#N/A</v>
      </c>
      <c r="Y19" s="78" t="e">
        <f ca="1"/>
        <v>#N/A</v>
      </c>
      <c r="Z19" s="78" t="e">
        <f ca="1"/>
        <v>#N/A</v>
      </c>
      <c r="AA19" s="52" t="e">
        <f ca="1"/>
        <v>#N/A</v>
      </c>
      <c r="AB19" s="52" t="e">
        <f ca="1"/>
        <v>#N/A</v>
      </c>
      <c r="AC19" s="52" t="e">
        <f ca="1"/>
        <v>#N/A</v>
      </c>
    </row>
    <row r="20" spans="1:29" ht="15" thickBot="1">
      <c r="A20" s="81">
        <v>1</v>
      </c>
      <c r="B20" s="81">
        <v>3.5000000000000003E-2</v>
      </c>
      <c r="C20" s="86" t="e">
        <v>#N/A</v>
      </c>
      <c r="D20" s="91">
        <f>IF(ISERROR(C20),D19+1,0)</f>
        <v>12</v>
      </c>
      <c r="E20" s="90">
        <v>17</v>
      </c>
      <c r="F20" s="86" t="e">
        <v>#N/A</v>
      </c>
      <c r="G20" s="86" t="e">
        <f>IF(ISERROR(C20),INDEX($F$3:$F$41,MATCH(D20,$E$3:$E$41,0),1),C20)</f>
        <v>#N/A</v>
      </c>
      <c r="H20" s="174">
        <v>1</v>
      </c>
      <c r="I20" s="83" t="e">
        <f>_xll.qlCallability("Kuendigungstermin"&amp;Cashflows!G20,H20,"Clean","Call",G20,,Trigger)</f>
        <v>#VALUE!</v>
      </c>
      <c r="J20" s="73" t="e">
        <f ca="1"/>
        <v>#N/A</v>
      </c>
      <c r="K20" s="75" t="e">
        <f ca="1"/>
        <v>#N/A</v>
      </c>
      <c r="L20" s="75" t="e">
        <f ca="1"/>
        <v>#N/A</v>
      </c>
      <c r="M20" s="73" t="e">
        <f ca="1"/>
        <v>#N/A</v>
      </c>
      <c r="N20" s="73" t="e">
        <f ca="1"/>
        <v>#N/A</v>
      </c>
      <c r="O20" s="52" t="e">
        <f ca="1"/>
        <v>#N/A</v>
      </c>
      <c r="P20" s="52" t="e">
        <f ca="1"/>
        <v>#N/A</v>
      </c>
      <c r="Q20" s="52" t="e">
        <f ca="1"/>
        <v>#N/A</v>
      </c>
      <c r="R20" s="73" t="e">
        <f ca="1"/>
        <v>#N/A</v>
      </c>
      <c r="S20" s="52" t="e">
        <f ca="1"/>
        <v>#N/A</v>
      </c>
      <c r="T20" s="75" t="e">
        <f ca="1"/>
        <v>#N/A</v>
      </c>
      <c r="U20" s="78" t="e">
        <f ca="1"/>
        <v>#N/A</v>
      </c>
      <c r="V20" s="78" t="e">
        <f ca="1"/>
        <v>#N/A</v>
      </c>
      <c r="W20" s="78" t="e">
        <f ca="1"/>
        <v>#N/A</v>
      </c>
      <c r="X20" s="78" t="e">
        <f ca="1"/>
        <v>#N/A</v>
      </c>
      <c r="Y20" s="78" t="e">
        <f ca="1"/>
        <v>#N/A</v>
      </c>
      <c r="Z20" s="78" t="e">
        <f ca="1"/>
        <v>#N/A</v>
      </c>
      <c r="AA20" s="52" t="e">
        <f ca="1"/>
        <v>#N/A</v>
      </c>
      <c r="AB20" s="52" t="e">
        <f ca="1"/>
        <v>#N/A</v>
      </c>
      <c r="AC20" s="52" t="e">
        <f ca="1"/>
        <v>#N/A</v>
      </c>
    </row>
    <row r="21" spans="1:29" ht="15" thickBot="1">
      <c r="A21" s="81">
        <v>1</v>
      </c>
      <c r="B21" s="81">
        <v>3.5000000000000003E-2</v>
      </c>
      <c r="C21" s="86" t="e">
        <v>#N/A</v>
      </c>
      <c r="D21" s="91">
        <f>IF(ISERROR(C21),D20+1,0)</f>
        <v>13</v>
      </c>
      <c r="E21" s="90">
        <v>18</v>
      </c>
      <c r="F21" s="86" t="e">
        <v>#N/A</v>
      </c>
      <c r="G21" s="86" t="e">
        <f>IF(ISERROR(C21),INDEX($F$3:$F$41,MATCH(D21,$E$3:$E$41,0),1),C21)</f>
        <v>#N/A</v>
      </c>
      <c r="H21" s="174">
        <v>1</v>
      </c>
      <c r="I21" s="83" t="e">
        <f>_xll.qlCallability("Kuendigungstermin"&amp;Cashflows!G21,H21,"Clean","Call",G21,,Trigger)</f>
        <v>#VALUE!</v>
      </c>
      <c r="J21" s="73" t="e">
        <f ca="1"/>
        <v>#N/A</v>
      </c>
      <c r="K21" s="75" t="e">
        <f ca="1"/>
        <v>#N/A</v>
      </c>
      <c r="L21" s="75" t="e">
        <f ca="1"/>
        <v>#N/A</v>
      </c>
      <c r="M21" s="73" t="e">
        <f ca="1"/>
        <v>#N/A</v>
      </c>
      <c r="N21" s="73" t="e">
        <f ca="1"/>
        <v>#N/A</v>
      </c>
      <c r="O21" s="52" t="e">
        <f ca="1"/>
        <v>#N/A</v>
      </c>
      <c r="P21" s="52" t="e">
        <f ca="1"/>
        <v>#N/A</v>
      </c>
      <c r="Q21" s="52" t="e">
        <f ca="1"/>
        <v>#N/A</v>
      </c>
      <c r="R21" s="73" t="e">
        <f ca="1"/>
        <v>#N/A</v>
      </c>
      <c r="S21" s="52" t="e">
        <f ca="1"/>
        <v>#N/A</v>
      </c>
      <c r="T21" s="75" t="e">
        <f ca="1"/>
        <v>#N/A</v>
      </c>
      <c r="U21" s="78" t="e">
        <f ca="1"/>
        <v>#N/A</v>
      </c>
      <c r="V21" s="78" t="e">
        <f ca="1"/>
        <v>#N/A</v>
      </c>
      <c r="W21" s="78" t="e">
        <f ca="1"/>
        <v>#N/A</v>
      </c>
      <c r="X21" s="78" t="e">
        <f ca="1"/>
        <v>#N/A</v>
      </c>
      <c r="Y21" s="78" t="e">
        <f ca="1"/>
        <v>#N/A</v>
      </c>
      <c r="Z21" s="78" t="e">
        <f ca="1"/>
        <v>#N/A</v>
      </c>
      <c r="AA21" s="52" t="e">
        <f ca="1"/>
        <v>#N/A</v>
      </c>
      <c r="AB21" s="52" t="e">
        <f ca="1"/>
        <v>#N/A</v>
      </c>
      <c r="AC21" s="52" t="e">
        <f ca="1"/>
        <v>#N/A</v>
      </c>
    </row>
    <row r="22" spans="1:29" ht="15" thickBot="1">
      <c r="A22" s="81">
        <v>1</v>
      </c>
      <c r="B22" s="81">
        <v>3.5000000000000003E-2</v>
      </c>
      <c r="C22" s="86" t="e">
        <v>#N/A</v>
      </c>
      <c r="D22" s="91">
        <f>IF(ISERROR(C22),D21+1,0)</f>
        <v>14</v>
      </c>
      <c r="E22" s="90">
        <v>19</v>
      </c>
      <c r="F22" s="86" t="e">
        <v>#N/A</v>
      </c>
      <c r="G22" s="86" t="e">
        <f>IF(ISERROR(C22),INDEX($F$3:$F$41,MATCH(D22,$E$3:$E$41,0),1),C22)</f>
        <v>#N/A</v>
      </c>
      <c r="H22" s="174">
        <v>1</v>
      </c>
      <c r="I22" s="83" t="e">
        <f>_xll.qlCallability("Kuendigungstermin"&amp;Cashflows!G22,H22,"Clean","Call",G22,,Trigger)</f>
        <v>#VALUE!</v>
      </c>
      <c r="J22" s="73" t="e">
        <f ca="1"/>
        <v>#N/A</v>
      </c>
      <c r="K22" s="75" t="e">
        <f ca="1"/>
        <v>#N/A</v>
      </c>
      <c r="L22" s="75" t="e">
        <f ca="1"/>
        <v>#N/A</v>
      </c>
      <c r="M22" s="73" t="e">
        <f ca="1"/>
        <v>#N/A</v>
      </c>
      <c r="N22" s="73" t="e">
        <f ca="1"/>
        <v>#N/A</v>
      </c>
      <c r="O22" s="52" t="e">
        <f ca="1"/>
        <v>#N/A</v>
      </c>
      <c r="P22" s="52" t="e">
        <f ca="1"/>
        <v>#N/A</v>
      </c>
      <c r="Q22" s="52" t="e">
        <f ca="1"/>
        <v>#N/A</v>
      </c>
      <c r="R22" s="73" t="e">
        <f ca="1"/>
        <v>#N/A</v>
      </c>
      <c r="S22" s="52" t="e">
        <f ca="1"/>
        <v>#N/A</v>
      </c>
      <c r="T22" s="75" t="e">
        <f ca="1"/>
        <v>#N/A</v>
      </c>
      <c r="U22" s="78" t="e">
        <f ca="1"/>
        <v>#N/A</v>
      </c>
      <c r="V22" s="78" t="e">
        <f ca="1"/>
        <v>#N/A</v>
      </c>
      <c r="W22" s="78" t="e">
        <f ca="1"/>
        <v>#N/A</v>
      </c>
      <c r="X22" s="78" t="e">
        <f ca="1"/>
        <v>#N/A</v>
      </c>
      <c r="Y22" s="78" t="e">
        <f ca="1"/>
        <v>#N/A</v>
      </c>
      <c r="Z22" s="78" t="e">
        <f ca="1"/>
        <v>#N/A</v>
      </c>
      <c r="AA22" s="52" t="e">
        <f ca="1"/>
        <v>#N/A</v>
      </c>
      <c r="AB22" s="52" t="e">
        <f ca="1"/>
        <v>#N/A</v>
      </c>
      <c r="AC22" s="52" t="e">
        <f ca="1"/>
        <v>#N/A</v>
      </c>
    </row>
    <row r="23" spans="1:29" ht="15" thickBot="1">
      <c r="A23" s="81">
        <v>1</v>
      </c>
      <c r="B23" s="81">
        <v>3.5000000000000003E-2</v>
      </c>
      <c r="C23" s="86" t="e">
        <v>#N/A</v>
      </c>
      <c r="D23" s="91">
        <f>IF(ISERROR(C23),D22+1,0)</f>
        <v>15</v>
      </c>
      <c r="E23" s="90">
        <v>20</v>
      </c>
      <c r="F23" s="86" t="e">
        <v>#N/A</v>
      </c>
      <c r="G23" s="86" t="e">
        <f>IF(ISERROR(C23),INDEX($F$3:$F$41,MATCH(D23,$E$3:$E$41,0),1),C23)</f>
        <v>#N/A</v>
      </c>
      <c r="H23" s="174">
        <v>1</v>
      </c>
      <c r="I23" s="83" t="e">
        <f>_xll.qlCallability("Kuendigungstermin"&amp;Cashflows!G23,H23,"Clean","Call",G23,,Trigger)</f>
        <v>#VALUE!</v>
      </c>
      <c r="J23" s="73" t="e">
        <f ca="1"/>
        <v>#N/A</v>
      </c>
      <c r="K23" s="75" t="e">
        <f ca="1"/>
        <v>#N/A</v>
      </c>
      <c r="L23" s="75" t="e">
        <f ca="1"/>
        <v>#N/A</v>
      </c>
      <c r="M23" s="73" t="e">
        <f ca="1"/>
        <v>#N/A</v>
      </c>
      <c r="N23" s="73" t="e">
        <f ca="1"/>
        <v>#N/A</v>
      </c>
      <c r="O23" s="52" t="e">
        <f ca="1"/>
        <v>#N/A</v>
      </c>
      <c r="P23" s="52" t="e">
        <f ca="1"/>
        <v>#N/A</v>
      </c>
      <c r="Q23" s="52" t="e">
        <f ca="1"/>
        <v>#N/A</v>
      </c>
      <c r="R23" s="73" t="e">
        <f ca="1"/>
        <v>#N/A</v>
      </c>
      <c r="S23" s="52" t="e">
        <f ca="1"/>
        <v>#N/A</v>
      </c>
      <c r="T23" s="75" t="e">
        <f ca="1"/>
        <v>#N/A</v>
      </c>
      <c r="U23" s="78" t="e">
        <f ca="1"/>
        <v>#N/A</v>
      </c>
      <c r="V23" s="78" t="e">
        <f ca="1"/>
        <v>#N/A</v>
      </c>
      <c r="W23" s="78" t="e">
        <f ca="1"/>
        <v>#N/A</v>
      </c>
      <c r="X23" s="78" t="e">
        <f ca="1"/>
        <v>#N/A</v>
      </c>
      <c r="Y23" s="78" t="e">
        <f ca="1"/>
        <v>#N/A</v>
      </c>
      <c r="Z23" s="78" t="e">
        <f ca="1"/>
        <v>#N/A</v>
      </c>
      <c r="AA23" s="52" t="e">
        <f ca="1"/>
        <v>#N/A</v>
      </c>
      <c r="AB23" s="52" t="e">
        <f ca="1"/>
        <v>#N/A</v>
      </c>
      <c r="AC23" s="52" t="e">
        <f ca="1"/>
        <v>#N/A</v>
      </c>
    </row>
    <row r="24" spans="1:29" ht="15" thickBot="1">
      <c r="A24" s="81">
        <v>1</v>
      </c>
      <c r="B24" s="81">
        <v>3.5000000000000003E-2</v>
      </c>
      <c r="C24" s="86" t="e">
        <v>#N/A</v>
      </c>
      <c r="D24" s="91">
        <f>IF(ISERROR(C24),D23+1,0)</f>
        <v>16</v>
      </c>
      <c r="E24" s="90">
        <v>21</v>
      </c>
      <c r="F24" s="86" t="e">
        <v>#N/A</v>
      </c>
      <c r="G24" s="86" t="e">
        <f>IF(ISERROR(C24),INDEX($F$3:$F$41,MATCH(D24,$E$3:$E$41,0),1),C24)</f>
        <v>#N/A</v>
      </c>
      <c r="H24" s="174">
        <v>1</v>
      </c>
      <c r="I24" s="83" t="e">
        <f>_xll.qlCallability("Kuendigungstermin"&amp;Cashflows!G24,H24,"Clean","Call",G24,,Trigger)</f>
        <v>#VALUE!</v>
      </c>
      <c r="J24" s="73" t="e">
        <f ca="1"/>
        <v>#N/A</v>
      </c>
      <c r="K24" s="75" t="e">
        <f ca="1"/>
        <v>#N/A</v>
      </c>
      <c r="L24" s="75" t="e">
        <f ca="1"/>
        <v>#N/A</v>
      </c>
      <c r="M24" s="73" t="e">
        <f ca="1"/>
        <v>#N/A</v>
      </c>
      <c r="N24" s="73" t="e">
        <f ca="1"/>
        <v>#N/A</v>
      </c>
      <c r="O24" s="52" t="e">
        <f ca="1"/>
        <v>#N/A</v>
      </c>
      <c r="P24" s="52" t="e">
        <f ca="1"/>
        <v>#N/A</v>
      </c>
      <c r="Q24" s="52" t="e">
        <f ca="1"/>
        <v>#N/A</v>
      </c>
      <c r="R24" s="73" t="e">
        <f ca="1"/>
        <v>#N/A</v>
      </c>
      <c r="S24" s="52" t="e">
        <f ca="1"/>
        <v>#N/A</v>
      </c>
      <c r="T24" s="75" t="e">
        <f ca="1"/>
        <v>#N/A</v>
      </c>
      <c r="U24" s="78" t="e">
        <f ca="1"/>
        <v>#N/A</v>
      </c>
      <c r="V24" s="78" t="e">
        <f ca="1"/>
        <v>#N/A</v>
      </c>
      <c r="W24" s="78" t="e">
        <f ca="1"/>
        <v>#N/A</v>
      </c>
      <c r="X24" s="78" t="e">
        <f ca="1"/>
        <v>#N/A</v>
      </c>
      <c r="Y24" s="78" t="e">
        <f ca="1"/>
        <v>#N/A</v>
      </c>
      <c r="Z24" s="78" t="e">
        <f ca="1"/>
        <v>#N/A</v>
      </c>
      <c r="AA24" s="52" t="e">
        <f ca="1"/>
        <v>#N/A</v>
      </c>
      <c r="AB24" s="52" t="e">
        <f ca="1"/>
        <v>#N/A</v>
      </c>
      <c r="AC24" s="52" t="e">
        <f ca="1"/>
        <v>#N/A</v>
      </c>
    </row>
    <row r="25" spans="1:29" ht="15" thickBot="1">
      <c r="A25" s="81">
        <v>1</v>
      </c>
      <c r="B25" s="81">
        <v>3.5000000000000003E-2</v>
      </c>
      <c r="C25" s="86" t="e">
        <v>#N/A</v>
      </c>
      <c r="D25" s="91">
        <f>IF(ISERROR(C25),D24+1,0)</f>
        <v>17</v>
      </c>
      <c r="E25" s="90">
        <v>22</v>
      </c>
      <c r="F25" s="86" t="e">
        <v>#N/A</v>
      </c>
      <c r="G25" s="86" t="e">
        <f>IF(ISERROR(C25),INDEX($F$3:$F$41,MATCH(D25,$E$3:$E$41,0),1),C25)</f>
        <v>#N/A</v>
      </c>
      <c r="H25" s="174">
        <v>1</v>
      </c>
      <c r="I25" s="83" t="e">
        <f>_xll.qlCallability("Kuendigungstermin"&amp;Cashflows!G25,H25,"Clean","Call",G25,,Trigger)</f>
        <v>#VALUE!</v>
      </c>
      <c r="J25" s="73" t="e">
        <f ca="1"/>
        <v>#N/A</v>
      </c>
      <c r="K25" s="75" t="e">
        <f ca="1"/>
        <v>#N/A</v>
      </c>
      <c r="L25" s="75" t="e">
        <f ca="1"/>
        <v>#N/A</v>
      </c>
      <c r="M25" s="73" t="e">
        <f ca="1"/>
        <v>#N/A</v>
      </c>
      <c r="N25" s="73" t="e">
        <f ca="1"/>
        <v>#N/A</v>
      </c>
      <c r="O25" s="52" t="e">
        <f ca="1"/>
        <v>#N/A</v>
      </c>
      <c r="P25" s="52" t="e">
        <f ca="1"/>
        <v>#N/A</v>
      </c>
      <c r="Q25" s="52" t="e">
        <f ca="1"/>
        <v>#N/A</v>
      </c>
      <c r="R25" s="73" t="e">
        <f ca="1"/>
        <v>#N/A</v>
      </c>
      <c r="S25" s="52" t="e">
        <f ca="1"/>
        <v>#N/A</v>
      </c>
      <c r="T25" s="75" t="e">
        <f ca="1"/>
        <v>#N/A</v>
      </c>
      <c r="U25" s="78" t="e">
        <f ca="1"/>
        <v>#N/A</v>
      </c>
      <c r="V25" s="78" t="e">
        <f ca="1"/>
        <v>#N/A</v>
      </c>
      <c r="W25" s="78" t="e">
        <f ca="1"/>
        <v>#N/A</v>
      </c>
      <c r="X25" s="78" t="e">
        <f ca="1"/>
        <v>#N/A</v>
      </c>
      <c r="Y25" s="78" t="e">
        <f ca="1"/>
        <v>#N/A</v>
      </c>
      <c r="Z25" s="78" t="e">
        <f ca="1"/>
        <v>#N/A</v>
      </c>
      <c r="AA25" s="52" t="e">
        <f ca="1"/>
        <v>#N/A</v>
      </c>
      <c r="AB25" s="52" t="e">
        <f ca="1"/>
        <v>#N/A</v>
      </c>
      <c r="AC25" s="52" t="e">
        <f ca="1"/>
        <v>#N/A</v>
      </c>
    </row>
    <row r="26" spans="1:29" ht="15" thickBot="1">
      <c r="A26" s="81">
        <v>1</v>
      </c>
      <c r="B26" s="81">
        <v>3.5000000000000003E-2</v>
      </c>
      <c r="C26" s="86" t="e">
        <v>#N/A</v>
      </c>
      <c r="D26" s="91">
        <f>IF(ISERROR(C26),D25+1,0)</f>
        <v>18</v>
      </c>
      <c r="E26" s="90">
        <v>23</v>
      </c>
      <c r="F26" s="86" t="e">
        <v>#N/A</v>
      </c>
      <c r="G26" s="86" t="e">
        <f>IF(ISERROR(C26),INDEX($F$3:$F$41,MATCH(D26,$E$3:$E$41,0),1),C26)</f>
        <v>#N/A</v>
      </c>
      <c r="H26" s="174">
        <v>1</v>
      </c>
      <c r="I26" s="83" t="e">
        <f>_xll.qlCallability("Kuendigungstermin"&amp;Cashflows!G26,H26,"Clean","Call",G26,,Trigger)</f>
        <v>#VALUE!</v>
      </c>
      <c r="J26" s="73" t="e">
        <f ca="1"/>
        <v>#N/A</v>
      </c>
      <c r="K26" s="75" t="e">
        <f ca="1"/>
        <v>#N/A</v>
      </c>
      <c r="L26" s="75" t="e">
        <f ca="1"/>
        <v>#N/A</v>
      </c>
      <c r="M26" s="73" t="e">
        <f ca="1"/>
        <v>#N/A</v>
      </c>
      <c r="N26" s="73" t="e">
        <f ca="1"/>
        <v>#N/A</v>
      </c>
      <c r="O26" s="52" t="e">
        <f ca="1"/>
        <v>#N/A</v>
      </c>
      <c r="P26" s="52" t="e">
        <f ca="1"/>
        <v>#N/A</v>
      </c>
      <c r="Q26" s="52" t="e">
        <f ca="1"/>
        <v>#N/A</v>
      </c>
      <c r="R26" s="73" t="e">
        <f ca="1"/>
        <v>#N/A</v>
      </c>
      <c r="S26" s="52" t="e">
        <f ca="1"/>
        <v>#N/A</v>
      </c>
      <c r="T26" s="75" t="e">
        <f ca="1"/>
        <v>#N/A</v>
      </c>
      <c r="U26" s="78" t="e">
        <f ca="1"/>
        <v>#N/A</v>
      </c>
      <c r="V26" s="78" t="e">
        <f ca="1"/>
        <v>#N/A</v>
      </c>
      <c r="W26" s="78" t="e">
        <f ca="1"/>
        <v>#N/A</v>
      </c>
      <c r="X26" s="78" t="e">
        <f ca="1"/>
        <v>#N/A</v>
      </c>
      <c r="Y26" s="78" t="e">
        <f ca="1"/>
        <v>#N/A</v>
      </c>
      <c r="Z26" s="78" t="e">
        <f ca="1"/>
        <v>#N/A</v>
      </c>
      <c r="AA26" s="52" t="e">
        <f ca="1"/>
        <v>#N/A</v>
      </c>
      <c r="AB26" s="52" t="e">
        <f ca="1"/>
        <v>#N/A</v>
      </c>
      <c r="AC26" s="52" t="e">
        <f ca="1"/>
        <v>#N/A</v>
      </c>
    </row>
    <row r="27" spans="1:29" ht="15" thickBot="1">
      <c r="A27" s="81">
        <v>1</v>
      </c>
      <c r="B27" s="81">
        <v>3.5000000000000003E-2</v>
      </c>
      <c r="C27" s="86" t="e">
        <v>#N/A</v>
      </c>
      <c r="D27" s="91">
        <f>IF(ISERROR(C27),D26+1,0)</f>
        <v>19</v>
      </c>
      <c r="E27" s="90">
        <v>24</v>
      </c>
      <c r="F27" s="86" t="e">
        <v>#N/A</v>
      </c>
      <c r="G27" s="86" t="e">
        <f>IF(ISERROR(C27),INDEX($F$3:$F$41,MATCH(D27,$E$3:$E$41,0),1),C27)</f>
        <v>#N/A</v>
      </c>
      <c r="H27" s="174">
        <v>1</v>
      </c>
      <c r="I27" s="83" t="e">
        <f>_xll.qlCallability("Kuendigungstermin"&amp;Cashflows!G27,H27,"Clean","Call",G27,,Trigger)</f>
        <v>#VALUE!</v>
      </c>
      <c r="J27" s="73" t="e">
        <f ca="1"/>
        <v>#N/A</v>
      </c>
      <c r="K27" s="75" t="e">
        <f ca="1"/>
        <v>#N/A</v>
      </c>
      <c r="L27" s="75" t="e">
        <f ca="1"/>
        <v>#N/A</v>
      </c>
      <c r="M27" s="73" t="e">
        <f ca="1"/>
        <v>#N/A</v>
      </c>
      <c r="N27" s="73" t="e">
        <f ca="1"/>
        <v>#N/A</v>
      </c>
      <c r="O27" s="52" t="e">
        <f ca="1"/>
        <v>#N/A</v>
      </c>
      <c r="P27" s="52" t="e">
        <f ca="1"/>
        <v>#N/A</v>
      </c>
      <c r="Q27" s="52" t="e">
        <f ca="1"/>
        <v>#N/A</v>
      </c>
      <c r="R27" s="73" t="e">
        <f ca="1"/>
        <v>#N/A</v>
      </c>
      <c r="S27" s="52" t="e">
        <f ca="1"/>
        <v>#N/A</v>
      </c>
      <c r="T27" s="75" t="e">
        <f ca="1"/>
        <v>#N/A</v>
      </c>
      <c r="U27" s="78" t="e">
        <f ca="1"/>
        <v>#N/A</v>
      </c>
      <c r="V27" s="78" t="e">
        <f ca="1"/>
        <v>#N/A</v>
      </c>
      <c r="W27" s="78" t="e">
        <f ca="1"/>
        <v>#N/A</v>
      </c>
      <c r="X27" s="78" t="e">
        <f ca="1"/>
        <v>#N/A</v>
      </c>
      <c r="Y27" s="78" t="e">
        <f ca="1"/>
        <v>#N/A</v>
      </c>
      <c r="Z27" s="78" t="e">
        <f ca="1"/>
        <v>#N/A</v>
      </c>
      <c r="AA27" s="52" t="e">
        <f ca="1"/>
        <v>#N/A</v>
      </c>
      <c r="AB27" s="52" t="e">
        <f ca="1"/>
        <v>#N/A</v>
      </c>
      <c r="AC27" s="52" t="e">
        <f ca="1"/>
        <v>#N/A</v>
      </c>
    </row>
    <row r="28" spans="1:29" ht="15" thickBot="1">
      <c r="A28" s="81">
        <v>1</v>
      </c>
      <c r="B28" s="81">
        <v>3.5000000000000003E-2</v>
      </c>
      <c r="C28" s="86" t="e">
        <v>#N/A</v>
      </c>
      <c r="D28" s="91">
        <f>IF(ISERROR(C28),D27+1,0)</f>
        <v>20</v>
      </c>
      <c r="E28" s="90">
        <v>25</v>
      </c>
      <c r="F28" s="86" t="e">
        <v>#N/A</v>
      </c>
      <c r="G28" s="86" t="e">
        <f>IF(ISERROR(C28),INDEX($F$3:$F$41,MATCH(D28,$E$3:$E$41,0),1),C28)</f>
        <v>#N/A</v>
      </c>
      <c r="H28" s="174">
        <v>1</v>
      </c>
      <c r="I28" s="83" t="e">
        <f>_xll.qlCallability("Kuendigungstermin"&amp;Cashflows!G28,H28,"Clean","Call",G28,,Trigger)</f>
        <v>#VALUE!</v>
      </c>
      <c r="J28" s="73" t="e">
        <f ca="1"/>
        <v>#N/A</v>
      </c>
      <c r="K28" s="75" t="e">
        <f ca="1"/>
        <v>#N/A</v>
      </c>
      <c r="L28" s="75" t="e">
        <f ca="1"/>
        <v>#N/A</v>
      </c>
      <c r="M28" s="73" t="e">
        <f ca="1"/>
        <v>#N/A</v>
      </c>
      <c r="N28" s="73" t="e">
        <f ca="1"/>
        <v>#N/A</v>
      </c>
      <c r="O28" s="52" t="e">
        <f ca="1"/>
        <v>#N/A</v>
      </c>
      <c r="P28" s="52" t="e">
        <f ca="1"/>
        <v>#N/A</v>
      </c>
      <c r="Q28" s="52" t="e">
        <f ca="1"/>
        <v>#N/A</v>
      </c>
      <c r="R28" s="73" t="e">
        <f ca="1"/>
        <v>#N/A</v>
      </c>
      <c r="S28" s="52" t="e">
        <f ca="1"/>
        <v>#N/A</v>
      </c>
      <c r="T28" s="75" t="e">
        <f ca="1"/>
        <v>#N/A</v>
      </c>
      <c r="U28" s="78" t="e">
        <f ca="1"/>
        <v>#N/A</v>
      </c>
      <c r="V28" s="78" t="e">
        <f ca="1"/>
        <v>#N/A</v>
      </c>
      <c r="W28" s="78" t="e">
        <f ca="1"/>
        <v>#N/A</v>
      </c>
      <c r="X28" s="78" t="e">
        <f ca="1"/>
        <v>#N/A</v>
      </c>
      <c r="Y28" s="78" t="e">
        <f ca="1"/>
        <v>#N/A</v>
      </c>
      <c r="Z28" s="78" t="e">
        <f ca="1"/>
        <v>#N/A</v>
      </c>
      <c r="AA28" s="52" t="e">
        <f ca="1"/>
        <v>#N/A</v>
      </c>
      <c r="AB28" s="52" t="e">
        <f ca="1"/>
        <v>#N/A</v>
      </c>
      <c r="AC28" s="52" t="e">
        <f ca="1"/>
        <v>#N/A</v>
      </c>
    </row>
    <row r="29" spans="1:29" ht="15" thickBot="1">
      <c r="A29" s="81">
        <v>1</v>
      </c>
      <c r="B29" s="81">
        <v>3.5000000000000003E-2</v>
      </c>
      <c r="C29" s="86" t="e">
        <v>#N/A</v>
      </c>
      <c r="D29" s="91">
        <f>IF(ISERROR(C29),D28+1,0)</f>
        <v>21</v>
      </c>
      <c r="E29" s="90">
        <v>26</v>
      </c>
      <c r="F29" s="86" t="e">
        <v>#N/A</v>
      </c>
      <c r="G29" s="86" t="e">
        <f>IF(ISERROR(C29),INDEX($F$3:$F$41,MATCH(D29,$E$3:$E$41,0),1),C29)</f>
        <v>#N/A</v>
      </c>
      <c r="H29" s="174">
        <v>1</v>
      </c>
      <c r="I29" s="83" t="e">
        <f>_xll.qlCallability("Kuendigungstermin"&amp;Cashflows!G29,H29,"Clean","Call",G29,,Trigger)</f>
        <v>#VALUE!</v>
      </c>
      <c r="J29" s="73" t="e">
        <f ca="1"/>
        <v>#N/A</v>
      </c>
      <c r="K29" s="75" t="e">
        <f ca="1"/>
        <v>#N/A</v>
      </c>
      <c r="L29" s="75" t="e">
        <f ca="1"/>
        <v>#N/A</v>
      </c>
      <c r="M29" s="73" t="e">
        <f ca="1"/>
        <v>#N/A</v>
      </c>
      <c r="N29" s="73" t="e">
        <f ca="1"/>
        <v>#N/A</v>
      </c>
      <c r="O29" s="52" t="e">
        <f ca="1"/>
        <v>#N/A</v>
      </c>
      <c r="P29" s="52" t="e">
        <f ca="1"/>
        <v>#N/A</v>
      </c>
      <c r="Q29" s="52" t="e">
        <f ca="1"/>
        <v>#N/A</v>
      </c>
      <c r="R29" s="73" t="e">
        <f ca="1"/>
        <v>#N/A</v>
      </c>
      <c r="S29" s="52" t="e">
        <f ca="1"/>
        <v>#N/A</v>
      </c>
      <c r="T29" s="75" t="e">
        <f ca="1"/>
        <v>#N/A</v>
      </c>
      <c r="U29" s="78" t="e">
        <f ca="1"/>
        <v>#N/A</v>
      </c>
      <c r="V29" s="78" t="e">
        <f ca="1"/>
        <v>#N/A</v>
      </c>
      <c r="W29" s="78" t="e">
        <f ca="1"/>
        <v>#N/A</v>
      </c>
      <c r="X29" s="78" t="e">
        <f ca="1"/>
        <v>#N/A</v>
      </c>
      <c r="Y29" s="78" t="e">
        <f ca="1"/>
        <v>#N/A</v>
      </c>
      <c r="Z29" s="78" t="e">
        <f ca="1"/>
        <v>#N/A</v>
      </c>
      <c r="AA29" s="52" t="e">
        <f ca="1"/>
        <v>#N/A</v>
      </c>
      <c r="AB29" s="52" t="e">
        <f ca="1"/>
        <v>#N/A</v>
      </c>
      <c r="AC29" s="52" t="e">
        <f ca="1"/>
        <v>#N/A</v>
      </c>
    </row>
    <row r="30" spans="1:29" ht="15" thickBot="1">
      <c r="A30" s="81">
        <v>1</v>
      </c>
      <c r="B30" s="81">
        <v>3.5000000000000003E-2</v>
      </c>
      <c r="C30" s="86" t="e">
        <v>#N/A</v>
      </c>
      <c r="D30" s="91">
        <f>IF(ISERROR(C30),D29+1,0)</f>
        <v>22</v>
      </c>
      <c r="E30" s="90">
        <v>27</v>
      </c>
      <c r="F30" s="86" t="e">
        <v>#N/A</v>
      </c>
      <c r="G30" s="86" t="e">
        <f>IF(ISERROR(C30),INDEX($F$3:$F$41,MATCH(D30,$E$3:$E$41,0),1),C30)</f>
        <v>#N/A</v>
      </c>
      <c r="H30" s="174">
        <v>1</v>
      </c>
      <c r="I30" s="83" t="e">
        <f>_xll.qlCallability("Kuendigungstermin"&amp;Cashflows!G30,H30,"Clean","Call",G30,,Trigger)</f>
        <v>#VALUE!</v>
      </c>
      <c r="J30" s="73" t="e">
        <f ca="1"/>
        <v>#N/A</v>
      </c>
      <c r="K30" s="75" t="e">
        <f ca="1"/>
        <v>#N/A</v>
      </c>
      <c r="L30" s="75" t="e">
        <f ca="1"/>
        <v>#N/A</v>
      </c>
      <c r="M30" s="73" t="e">
        <f ca="1"/>
        <v>#N/A</v>
      </c>
      <c r="N30" s="73" t="e">
        <f ca="1"/>
        <v>#N/A</v>
      </c>
      <c r="O30" s="52" t="e">
        <f ca="1"/>
        <v>#N/A</v>
      </c>
      <c r="P30" s="52" t="e">
        <f ca="1"/>
        <v>#N/A</v>
      </c>
      <c r="Q30" s="52" t="e">
        <f ca="1"/>
        <v>#N/A</v>
      </c>
      <c r="R30" s="73" t="e">
        <f ca="1"/>
        <v>#N/A</v>
      </c>
      <c r="S30" s="52" t="e">
        <f ca="1"/>
        <v>#N/A</v>
      </c>
      <c r="T30" s="75" t="e">
        <f ca="1"/>
        <v>#N/A</v>
      </c>
      <c r="U30" s="78" t="e">
        <f ca="1"/>
        <v>#N/A</v>
      </c>
      <c r="V30" s="78" t="e">
        <f ca="1"/>
        <v>#N/A</v>
      </c>
      <c r="W30" s="78" t="e">
        <f ca="1"/>
        <v>#N/A</v>
      </c>
      <c r="X30" s="78" t="e">
        <f ca="1"/>
        <v>#N/A</v>
      </c>
      <c r="Y30" s="78" t="e">
        <f ca="1"/>
        <v>#N/A</v>
      </c>
      <c r="Z30" s="78" t="e">
        <f ca="1"/>
        <v>#N/A</v>
      </c>
      <c r="AA30" s="52" t="e">
        <f ca="1"/>
        <v>#N/A</v>
      </c>
      <c r="AB30" s="52" t="e">
        <f ca="1"/>
        <v>#N/A</v>
      </c>
      <c r="AC30" s="52" t="e">
        <f ca="1"/>
        <v>#N/A</v>
      </c>
    </row>
    <row r="31" spans="1:29" ht="15" thickBot="1">
      <c r="A31" s="81">
        <v>1</v>
      </c>
      <c r="B31" s="81">
        <v>3.5000000000000003E-2</v>
      </c>
      <c r="C31" s="86" t="e">
        <v>#N/A</v>
      </c>
      <c r="D31" s="91">
        <f>IF(ISERROR(C31),D30+1,0)</f>
        <v>23</v>
      </c>
      <c r="E31" s="90">
        <v>28</v>
      </c>
      <c r="F31" s="86" t="e">
        <v>#N/A</v>
      </c>
      <c r="G31" s="86" t="e">
        <f>IF(ISERROR(C31),INDEX($F$3:$F$41,MATCH(D31,$E$3:$E$41,0),1),C31)</f>
        <v>#N/A</v>
      </c>
      <c r="H31" s="174">
        <v>1</v>
      </c>
      <c r="I31" s="83" t="e">
        <f>_xll.qlCallability("Kuendigungstermin"&amp;Cashflows!G31,H31,"Clean","Call",G31,,Trigger)</f>
        <v>#VALUE!</v>
      </c>
      <c r="J31" s="73" t="e">
        <f ca="1"/>
        <v>#N/A</v>
      </c>
      <c r="K31" s="75" t="e">
        <f ca="1"/>
        <v>#N/A</v>
      </c>
      <c r="L31" s="75" t="e">
        <f ca="1"/>
        <v>#N/A</v>
      </c>
      <c r="M31" s="73" t="e">
        <f ca="1"/>
        <v>#N/A</v>
      </c>
      <c r="N31" s="73" t="e">
        <f ca="1"/>
        <v>#N/A</v>
      </c>
      <c r="O31" s="52" t="e">
        <f ca="1"/>
        <v>#N/A</v>
      </c>
      <c r="P31" s="52" t="e">
        <f ca="1"/>
        <v>#N/A</v>
      </c>
      <c r="Q31" s="52" t="e">
        <f ca="1"/>
        <v>#N/A</v>
      </c>
      <c r="R31" s="73" t="e">
        <f ca="1"/>
        <v>#N/A</v>
      </c>
      <c r="S31" s="52" t="e">
        <f ca="1"/>
        <v>#N/A</v>
      </c>
      <c r="T31" s="75" t="e">
        <f ca="1"/>
        <v>#N/A</v>
      </c>
      <c r="U31" s="78" t="e">
        <f ca="1"/>
        <v>#N/A</v>
      </c>
      <c r="V31" s="78" t="e">
        <f ca="1"/>
        <v>#N/A</v>
      </c>
      <c r="W31" s="78" t="e">
        <f ca="1"/>
        <v>#N/A</v>
      </c>
      <c r="X31" s="78" t="e">
        <f ca="1"/>
        <v>#N/A</v>
      </c>
      <c r="Y31" s="78" t="e">
        <f ca="1"/>
        <v>#N/A</v>
      </c>
      <c r="Z31" s="78" t="e">
        <f ca="1"/>
        <v>#N/A</v>
      </c>
      <c r="AA31" s="52" t="e">
        <f ca="1"/>
        <v>#N/A</v>
      </c>
      <c r="AB31" s="52" t="e">
        <f ca="1"/>
        <v>#N/A</v>
      </c>
      <c r="AC31" s="52" t="e">
        <f ca="1"/>
        <v>#N/A</v>
      </c>
    </row>
    <row r="32" spans="1:29" ht="15" thickBot="1">
      <c r="A32" s="81">
        <v>1</v>
      </c>
      <c r="B32" s="81">
        <v>3.5000000000000003E-2</v>
      </c>
      <c r="C32" s="86" t="e">
        <v>#N/A</v>
      </c>
      <c r="D32" s="91">
        <f>IF(ISERROR(C32),D31+1,0)</f>
        <v>24</v>
      </c>
      <c r="E32" s="90">
        <v>29</v>
      </c>
      <c r="F32" s="86" t="e">
        <v>#N/A</v>
      </c>
      <c r="G32" s="86" t="e">
        <f>IF(ISERROR(C32),INDEX($F$3:$F$41,MATCH(D32,$E$3:$E$41,0),1),C32)</f>
        <v>#N/A</v>
      </c>
      <c r="H32" s="174">
        <v>1</v>
      </c>
      <c r="I32" s="83" t="e">
        <f>_xll.qlCallability("Kuendigungstermin"&amp;Cashflows!G32,H32,"Clean","Call",G32,,Trigger)</f>
        <v>#VALUE!</v>
      </c>
      <c r="J32" s="73" t="e">
        <f ca="1"/>
        <v>#N/A</v>
      </c>
      <c r="K32" s="75" t="e">
        <f ca="1"/>
        <v>#N/A</v>
      </c>
      <c r="L32" s="75" t="e">
        <f ca="1"/>
        <v>#N/A</v>
      </c>
      <c r="M32" s="73" t="e">
        <f ca="1"/>
        <v>#N/A</v>
      </c>
      <c r="N32" s="73" t="e">
        <f ca="1"/>
        <v>#N/A</v>
      </c>
      <c r="O32" s="52" t="e">
        <f ca="1"/>
        <v>#N/A</v>
      </c>
      <c r="P32" s="52" t="e">
        <f ca="1"/>
        <v>#N/A</v>
      </c>
      <c r="Q32" s="52" t="e">
        <f ca="1"/>
        <v>#N/A</v>
      </c>
      <c r="R32" s="73" t="e">
        <f ca="1"/>
        <v>#N/A</v>
      </c>
      <c r="S32" s="52" t="e">
        <f ca="1"/>
        <v>#N/A</v>
      </c>
      <c r="T32" s="75" t="e">
        <f ca="1"/>
        <v>#N/A</v>
      </c>
      <c r="U32" s="78" t="e">
        <f ca="1"/>
        <v>#N/A</v>
      </c>
      <c r="V32" s="78" t="e">
        <f ca="1"/>
        <v>#N/A</v>
      </c>
      <c r="W32" s="78" t="e">
        <f ca="1"/>
        <v>#N/A</v>
      </c>
      <c r="X32" s="78" t="e">
        <f ca="1"/>
        <v>#N/A</v>
      </c>
      <c r="Y32" s="78" t="e">
        <f ca="1"/>
        <v>#N/A</v>
      </c>
      <c r="Z32" s="78" t="e">
        <f ca="1"/>
        <v>#N/A</v>
      </c>
      <c r="AA32" s="52" t="e">
        <f ca="1"/>
        <v>#N/A</v>
      </c>
      <c r="AB32" s="52" t="e">
        <f ca="1"/>
        <v>#N/A</v>
      </c>
      <c r="AC32" s="52" t="e">
        <f ca="1"/>
        <v>#N/A</v>
      </c>
    </row>
    <row r="33" spans="1:29" ht="15" thickBot="1">
      <c r="A33" s="81">
        <v>1</v>
      </c>
      <c r="B33" s="81">
        <v>3.5000000000000003E-2</v>
      </c>
      <c r="C33" s="86" t="e">
        <v>#N/A</v>
      </c>
      <c r="D33" s="91">
        <f>IF(ISERROR(C33),D32+1,0)</f>
        <v>25</v>
      </c>
      <c r="E33" s="90">
        <v>30</v>
      </c>
      <c r="F33" s="86" t="e">
        <v>#N/A</v>
      </c>
      <c r="G33" s="86" t="e">
        <f>IF(ISERROR(C33),INDEX($F$3:$F$41,MATCH(D33,$E$3:$E$41,0),1),C33)</f>
        <v>#N/A</v>
      </c>
      <c r="H33" s="174">
        <v>1</v>
      </c>
      <c r="I33" s="83" t="e">
        <f>_xll.qlCallability("Kuendigungstermin"&amp;Cashflows!G33,H33,"Clean","Call",G33,,Trigger)</f>
        <v>#VALUE!</v>
      </c>
      <c r="J33" s="73" t="e">
        <f ca="1"/>
        <v>#N/A</v>
      </c>
      <c r="K33" s="75" t="e">
        <f ca="1"/>
        <v>#N/A</v>
      </c>
      <c r="L33" s="75" t="e">
        <f ca="1"/>
        <v>#N/A</v>
      </c>
      <c r="M33" s="73" t="e">
        <f ca="1"/>
        <v>#N/A</v>
      </c>
      <c r="N33" s="73" t="e">
        <f ca="1"/>
        <v>#N/A</v>
      </c>
      <c r="O33" s="52" t="e">
        <f ca="1"/>
        <v>#N/A</v>
      </c>
      <c r="P33" s="52" t="e">
        <f ca="1"/>
        <v>#N/A</v>
      </c>
      <c r="Q33" s="52" t="e">
        <f ca="1"/>
        <v>#N/A</v>
      </c>
      <c r="R33" s="73" t="e">
        <f ca="1"/>
        <v>#N/A</v>
      </c>
      <c r="S33" s="52" t="e">
        <f ca="1"/>
        <v>#N/A</v>
      </c>
      <c r="T33" s="75" t="e">
        <f ca="1"/>
        <v>#N/A</v>
      </c>
      <c r="U33" s="78" t="e">
        <f ca="1"/>
        <v>#N/A</v>
      </c>
      <c r="V33" s="78" t="e">
        <f ca="1"/>
        <v>#N/A</v>
      </c>
      <c r="W33" s="78" t="e">
        <f ca="1"/>
        <v>#N/A</v>
      </c>
      <c r="X33" s="78" t="e">
        <f ca="1"/>
        <v>#N/A</v>
      </c>
      <c r="Y33" s="78" t="e">
        <f ca="1"/>
        <v>#N/A</v>
      </c>
      <c r="Z33" s="78" t="e">
        <f ca="1"/>
        <v>#N/A</v>
      </c>
      <c r="AA33" s="52" t="e">
        <f ca="1"/>
        <v>#N/A</v>
      </c>
      <c r="AB33" s="52" t="e">
        <f ca="1"/>
        <v>#N/A</v>
      </c>
      <c r="AC33" s="52" t="e">
        <f ca="1"/>
        <v>#N/A</v>
      </c>
    </row>
    <row r="34" spans="1:29" ht="15" thickBot="1">
      <c r="A34" s="81">
        <v>1</v>
      </c>
      <c r="B34" s="81">
        <v>3.5000000000000003E-2</v>
      </c>
      <c r="C34" s="86" t="e">
        <v>#N/A</v>
      </c>
      <c r="D34" s="91">
        <f>IF(ISERROR(C34),D33+1,0)</f>
        <v>26</v>
      </c>
      <c r="E34" s="90">
        <v>31</v>
      </c>
      <c r="F34" s="86" t="e">
        <v>#N/A</v>
      </c>
      <c r="G34" s="86" t="e">
        <f>IF(ISERROR(C34),INDEX($F$3:$F$41,MATCH(D34,$E$3:$E$41,0),1),C34)</f>
        <v>#N/A</v>
      </c>
      <c r="H34" s="174">
        <v>1</v>
      </c>
      <c r="I34" s="83" t="e">
        <f>_xll.qlCallability("Kuendigungstermin"&amp;Cashflows!G34,H34,"Clean","Call",G34,,Trigger)</f>
        <v>#VALUE!</v>
      </c>
      <c r="J34" s="73" t="e">
        <f ca="1"/>
        <v>#N/A</v>
      </c>
      <c r="K34" s="75" t="e">
        <f ca="1"/>
        <v>#N/A</v>
      </c>
      <c r="L34" s="75" t="e">
        <f ca="1"/>
        <v>#N/A</v>
      </c>
      <c r="M34" s="73" t="e">
        <f ca="1"/>
        <v>#N/A</v>
      </c>
      <c r="N34" s="73" t="e">
        <f ca="1"/>
        <v>#N/A</v>
      </c>
      <c r="O34" s="52" t="e">
        <f ca="1"/>
        <v>#N/A</v>
      </c>
      <c r="P34" s="52" t="e">
        <f ca="1"/>
        <v>#N/A</v>
      </c>
      <c r="Q34" s="52" t="e">
        <f ca="1"/>
        <v>#N/A</v>
      </c>
      <c r="R34" s="73" t="e">
        <f ca="1"/>
        <v>#N/A</v>
      </c>
      <c r="S34" s="52" t="e">
        <f ca="1"/>
        <v>#N/A</v>
      </c>
      <c r="T34" s="75" t="e">
        <f ca="1"/>
        <v>#N/A</v>
      </c>
      <c r="U34" s="78" t="e">
        <f ca="1"/>
        <v>#N/A</v>
      </c>
      <c r="V34" s="78" t="e">
        <f ca="1"/>
        <v>#N/A</v>
      </c>
      <c r="W34" s="78" t="e">
        <f ca="1"/>
        <v>#N/A</v>
      </c>
      <c r="X34" s="78" t="e">
        <f ca="1"/>
        <v>#N/A</v>
      </c>
      <c r="Y34" s="78" t="e">
        <f ca="1"/>
        <v>#N/A</v>
      </c>
      <c r="Z34" s="78" t="e">
        <f ca="1"/>
        <v>#N/A</v>
      </c>
      <c r="AA34" s="52" t="e">
        <f ca="1"/>
        <v>#N/A</v>
      </c>
      <c r="AB34" s="52" t="e">
        <f ca="1"/>
        <v>#N/A</v>
      </c>
      <c r="AC34" s="52" t="e">
        <f ca="1"/>
        <v>#N/A</v>
      </c>
    </row>
    <row r="35" spans="1:29" ht="15" thickBot="1">
      <c r="A35" s="81">
        <v>1</v>
      </c>
      <c r="B35" s="81">
        <v>3.5000000000000003E-2</v>
      </c>
      <c r="C35" s="86" t="e">
        <v>#N/A</v>
      </c>
      <c r="D35" s="91">
        <f>IF(ISERROR(C35),D34+1,0)</f>
        <v>27</v>
      </c>
      <c r="E35" s="90">
        <v>32</v>
      </c>
      <c r="F35" s="86" t="e">
        <v>#N/A</v>
      </c>
      <c r="G35" s="86" t="e">
        <f>IF(ISERROR(C35),INDEX($F$3:$F$41,MATCH(D35,$E$3:$E$41,0),1),C35)</f>
        <v>#N/A</v>
      </c>
      <c r="H35" s="174">
        <v>1</v>
      </c>
      <c r="I35" s="83" t="e">
        <f>_xll.qlCallability("Kuendigungstermin"&amp;Cashflows!G35,H35,"Clean","Call",G35,,Trigger)</f>
        <v>#VALUE!</v>
      </c>
      <c r="J35" s="73" t="e">
        <f ca="1"/>
        <v>#N/A</v>
      </c>
      <c r="K35" s="75" t="e">
        <f ca="1"/>
        <v>#N/A</v>
      </c>
      <c r="L35" s="75" t="e">
        <f ca="1"/>
        <v>#N/A</v>
      </c>
      <c r="M35" s="73" t="e">
        <f ca="1"/>
        <v>#N/A</v>
      </c>
      <c r="N35" s="73" t="e">
        <f ca="1"/>
        <v>#N/A</v>
      </c>
      <c r="O35" s="52" t="e">
        <f ca="1"/>
        <v>#N/A</v>
      </c>
      <c r="P35" s="52" t="e">
        <f ca="1"/>
        <v>#N/A</v>
      </c>
      <c r="Q35" s="52" t="e">
        <f ca="1"/>
        <v>#N/A</v>
      </c>
      <c r="R35" s="73" t="e">
        <f ca="1"/>
        <v>#N/A</v>
      </c>
      <c r="S35" s="52" t="e">
        <f ca="1"/>
        <v>#N/A</v>
      </c>
      <c r="T35" s="75" t="e">
        <f ca="1"/>
        <v>#N/A</v>
      </c>
      <c r="U35" s="78" t="e">
        <f ca="1"/>
        <v>#N/A</v>
      </c>
      <c r="V35" s="78" t="e">
        <f ca="1"/>
        <v>#N/A</v>
      </c>
      <c r="W35" s="78" t="e">
        <f ca="1"/>
        <v>#N/A</v>
      </c>
      <c r="X35" s="78" t="e">
        <f ca="1"/>
        <v>#N/A</v>
      </c>
      <c r="Y35" s="78" t="e">
        <f ca="1"/>
        <v>#N/A</v>
      </c>
      <c r="Z35" s="78" t="e">
        <f ca="1"/>
        <v>#N/A</v>
      </c>
      <c r="AA35" s="52" t="e">
        <f ca="1"/>
        <v>#N/A</v>
      </c>
      <c r="AB35" s="52" t="e">
        <f ca="1"/>
        <v>#N/A</v>
      </c>
      <c r="AC35" s="52" t="e">
        <f ca="1"/>
        <v>#N/A</v>
      </c>
    </row>
    <row r="36" spans="1:29" ht="15" thickBot="1">
      <c r="A36" s="81">
        <v>1</v>
      </c>
      <c r="B36" s="81">
        <v>3.5000000000000003E-2</v>
      </c>
      <c r="C36" s="86" t="e">
        <v>#N/A</v>
      </c>
      <c r="D36" s="91">
        <f>IF(ISERROR(C36),D35+1,0)</f>
        <v>28</v>
      </c>
      <c r="E36" s="90">
        <v>33</v>
      </c>
      <c r="F36" s="86" t="e">
        <v>#N/A</v>
      </c>
      <c r="G36" s="86" t="e">
        <f>IF(ISERROR(C36),INDEX($F$3:$F$41,MATCH(D36,$E$3:$E$41,0),1),C36)</f>
        <v>#N/A</v>
      </c>
      <c r="H36" s="174">
        <v>1</v>
      </c>
      <c r="I36" s="83" t="e">
        <f>_xll.qlCallability("Kuendigungstermin"&amp;Cashflows!G36,H36,"Clean","Call",G36,,Trigger)</f>
        <v>#VALUE!</v>
      </c>
      <c r="J36" s="73" t="e">
        <f ca="1"/>
        <v>#N/A</v>
      </c>
      <c r="K36" s="75" t="e">
        <f ca="1"/>
        <v>#N/A</v>
      </c>
      <c r="L36" s="75" t="e">
        <f ca="1"/>
        <v>#N/A</v>
      </c>
      <c r="M36" s="73" t="e">
        <f ca="1"/>
        <v>#N/A</v>
      </c>
      <c r="N36" s="73" t="e">
        <f ca="1"/>
        <v>#N/A</v>
      </c>
      <c r="O36" s="52" t="e">
        <f ca="1"/>
        <v>#N/A</v>
      </c>
      <c r="P36" s="52" t="e">
        <f ca="1"/>
        <v>#N/A</v>
      </c>
      <c r="Q36" s="52" t="e">
        <f ca="1"/>
        <v>#N/A</v>
      </c>
      <c r="R36" s="73" t="e">
        <f ca="1"/>
        <v>#N/A</v>
      </c>
      <c r="S36" s="52" t="e">
        <f ca="1"/>
        <v>#N/A</v>
      </c>
      <c r="T36" s="75" t="e">
        <f ca="1"/>
        <v>#N/A</v>
      </c>
      <c r="U36" s="78" t="e">
        <f ca="1"/>
        <v>#N/A</v>
      </c>
      <c r="V36" s="78" t="e">
        <f ca="1"/>
        <v>#N/A</v>
      </c>
      <c r="W36" s="78" t="e">
        <f ca="1"/>
        <v>#N/A</v>
      </c>
      <c r="X36" s="78" t="e">
        <f ca="1"/>
        <v>#N/A</v>
      </c>
      <c r="Y36" s="78" t="e">
        <f ca="1"/>
        <v>#N/A</v>
      </c>
      <c r="Z36" s="78" t="e">
        <f ca="1"/>
        <v>#N/A</v>
      </c>
      <c r="AA36" s="52" t="e">
        <f ca="1"/>
        <v>#N/A</v>
      </c>
      <c r="AB36" s="52" t="e">
        <f ca="1"/>
        <v>#N/A</v>
      </c>
      <c r="AC36" s="52" t="e">
        <f ca="1"/>
        <v>#N/A</v>
      </c>
    </row>
    <row r="37" spans="1:29" ht="15" thickBot="1">
      <c r="A37" s="81">
        <v>1</v>
      </c>
      <c r="B37" s="81">
        <v>3.5000000000000003E-2</v>
      </c>
      <c r="C37" s="86" t="e">
        <v>#N/A</v>
      </c>
      <c r="D37" s="91">
        <f>IF(ISERROR(C37),D36+1,0)</f>
        <v>29</v>
      </c>
      <c r="E37" s="90">
        <v>34</v>
      </c>
      <c r="F37" s="86" t="e">
        <v>#N/A</v>
      </c>
      <c r="G37" s="86" t="e">
        <f>IF(ISERROR(C37),INDEX($F$3:$F$41,MATCH(D37,$E$3:$E$41,0),1),C37)</f>
        <v>#N/A</v>
      </c>
      <c r="H37" s="174">
        <v>1</v>
      </c>
      <c r="I37" s="83" t="e">
        <f>_xll.qlCallability("Kuendigungstermin"&amp;Cashflows!G37,H37,"Clean","Call",G37,,Trigger)</f>
        <v>#VALUE!</v>
      </c>
      <c r="J37" s="73" t="e">
        <f ca="1"/>
        <v>#N/A</v>
      </c>
      <c r="K37" s="75" t="e">
        <f ca="1"/>
        <v>#N/A</v>
      </c>
      <c r="L37" s="75" t="e">
        <f ca="1"/>
        <v>#N/A</v>
      </c>
      <c r="M37" s="73" t="e">
        <f ca="1"/>
        <v>#N/A</v>
      </c>
      <c r="N37" s="73" t="e">
        <f ca="1"/>
        <v>#N/A</v>
      </c>
      <c r="O37" s="52" t="e">
        <f ca="1"/>
        <v>#N/A</v>
      </c>
      <c r="P37" s="52" t="e">
        <f ca="1"/>
        <v>#N/A</v>
      </c>
      <c r="Q37" s="52" t="e">
        <f ca="1"/>
        <v>#N/A</v>
      </c>
      <c r="R37" s="73" t="e">
        <f ca="1"/>
        <v>#N/A</v>
      </c>
      <c r="S37" s="52" t="e">
        <f ca="1"/>
        <v>#N/A</v>
      </c>
      <c r="T37" s="75" t="e">
        <f ca="1"/>
        <v>#N/A</v>
      </c>
      <c r="U37" s="78" t="e">
        <f ca="1"/>
        <v>#N/A</v>
      </c>
      <c r="V37" s="78" t="e">
        <f ca="1"/>
        <v>#N/A</v>
      </c>
      <c r="W37" s="78" t="e">
        <f ca="1"/>
        <v>#N/A</v>
      </c>
      <c r="X37" s="78" t="e">
        <f ca="1"/>
        <v>#N/A</v>
      </c>
      <c r="Y37" s="78" t="e">
        <f ca="1"/>
        <v>#N/A</v>
      </c>
      <c r="Z37" s="78" t="e">
        <f ca="1"/>
        <v>#N/A</v>
      </c>
      <c r="AA37" s="52" t="e">
        <f ca="1"/>
        <v>#N/A</v>
      </c>
      <c r="AB37" s="52" t="e">
        <f ca="1"/>
        <v>#N/A</v>
      </c>
      <c r="AC37" s="52" t="e">
        <f ca="1"/>
        <v>#N/A</v>
      </c>
    </row>
    <row r="38" spans="1:29" ht="15" thickBot="1">
      <c r="A38" s="81">
        <v>1</v>
      </c>
      <c r="B38" s="81">
        <v>3.5000000000000003E-2</v>
      </c>
      <c r="C38" s="86" t="e">
        <v>#N/A</v>
      </c>
      <c r="D38" s="91">
        <f>IF(ISERROR(C38),D37+1,0)</f>
        <v>30</v>
      </c>
      <c r="E38" s="90">
        <v>35</v>
      </c>
      <c r="F38" s="86" t="e">
        <v>#N/A</v>
      </c>
      <c r="G38" s="86" t="e">
        <f>IF(ISERROR(C38),INDEX($F$3:$F$41,MATCH(D38,$E$3:$E$41,0),1),C38)</f>
        <v>#N/A</v>
      </c>
      <c r="H38" s="174">
        <v>1</v>
      </c>
      <c r="I38" s="83" t="e">
        <f>_xll.qlCallability("Kuendigungstermin"&amp;Cashflows!G38,H38,"Clean","Call",G38,,Trigger)</f>
        <v>#VALUE!</v>
      </c>
      <c r="J38" s="73" t="e">
        <f ca="1"/>
        <v>#N/A</v>
      </c>
      <c r="K38" s="75" t="e">
        <f ca="1"/>
        <v>#N/A</v>
      </c>
      <c r="L38" s="75" t="e">
        <f ca="1"/>
        <v>#N/A</v>
      </c>
      <c r="M38" s="73" t="e">
        <f ca="1"/>
        <v>#N/A</v>
      </c>
      <c r="N38" s="73" t="e">
        <f ca="1"/>
        <v>#N/A</v>
      </c>
      <c r="O38" s="52" t="e">
        <f ca="1"/>
        <v>#N/A</v>
      </c>
      <c r="P38" s="52" t="e">
        <f ca="1"/>
        <v>#N/A</v>
      </c>
      <c r="Q38" s="52" t="e">
        <f ca="1"/>
        <v>#N/A</v>
      </c>
      <c r="R38" s="73" t="e">
        <f ca="1"/>
        <v>#N/A</v>
      </c>
      <c r="S38" s="52" t="e">
        <f ca="1"/>
        <v>#N/A</v>
      </c>
      <c r="T38" s="75" t="e">
        <f ca="1"/>
        <v>#N/A</v>
      </c>
      <c r="U38" s="78" t="e">
        <f ca="1"/>
        <v>#N/A</v>
      </c>
      <c r="V38" s="78" t="e">
        <f ca="1"/>
        <v>#N/A</v>
      </c>
      <c r="W38" s="78" t="e">
        <f ca="1"/>
        <v>#N/A</v>
      </c>
      <c r="X38" s="78" t="e">
        <f ca="1"/>
        <v>#N/A</v>
      </c>
      <c r="Y38" s="78" t="e">
        <f ca="1"/>
        <v>#N/A</v>
      </c>
      <c r="Z38" s="78" t="e">
        <f ca="1"/>
        <v>#N/A</v>
      </c>
      <c r="AA38" s="52" t="e">
        <f ca="1"/>
        <v>#N/A</v>
      </c>
      <c r="AB38" s="52" t="e">
        <f ca="1"/>
        <v>#N/A</v>
      </c>
      <c r="AC38" s="52" t="e">
        <f ca="1"/>
        <v>#N/A</v>
      </c>
    </row>
    <row r="39" spans="1:29" ht="15" thickBot="1">
      <c r="A39" s="81">
        <v>1</v>
      </c>
      <c r="B39" s="81">
        <v>3.5000000000000003E-2</v>
      </c>
      <c r="C39" s="86" t="e">
        <v>#N/A</v>
      </c>
      <c r="D39" s="91">
        <f>IF(ISERROR(C39),D38+1,0)</f>
        <v>31</v>
      </c>
      <c r="E39" s="90">
        <v>36</v>
      </c>
      <c r="F39" s="86" t="e">
        <v>#N/A</v>
      </c>
      <c r="G39" s="86" t="e">
        <f>IF(ISERROR(C39),INDEX($F$3:$F$41,MATCH(D39,$E$3:$E$41,0),1),C39)</f>
        <v>#N/A</v>
      </c>
      <c r="H39" s="174">
        <v>1</v>
      </c>
      <c r="I39" s="83" t="e">
        <f>_xll.qlCallability("Kuendigungstermin"&amp;Cashflows!G39,H39,"Clean","Call",G39,,Trigger)</f>
        <v>#VALUE!</v>
      </c>
      <c r="J39" s="73" t="e">
        <f ca="1"/>
        <v>#N/A</v>
      </c>
      <c r="K39" s="75" t="e">
        <f ca="1"/>
        <v>#N/A</v>
      </c>
      <c r="L39" s="75" t="e">
        <f ca="1"/>
        <v>#N/A</v>
      </c>
      <c r="M39" s="73" t="e">
        <f ca="1"/>
        <v>#N/A</v>
      </c>
      <c r="N39" s="73" t="e">
        <f ca="1"/>
        <v>#N/A</v>
      </c>
      <c r="O39" s="52" t="e">
        <f ca="1"/>
        <v>#N/A</v>
      </c>
      <c r="P39" s="52" t="e">
        <f ca="1"/>
        <v>#N/A</v>
      </c>
      <c r="Q39" s="52" t="e">
        <f ca="1"/>
        <v>#N/A</v>
      </c>
      <c r="R39" s="73" t="e">
        <f ca="1"/>
        <v>#N/A</v>
      </c>
      <c r="S39" s="52" t="e">
        <f ca="1"/>
        <v>#N/A</v>
      </c>
      <c r="T39" s="75" t="e">
        <f ca="1"/>
        <v>#N/A</v>
      </c>
      <c r="U39" s="78" t="e">
        <f ca="1"/>
        <v>#N/A</v>
      </c>
      <c r="V39" s="78" t="e">
        <f ca="1"/>
        <v>#N/A</v>
      </c>
      <c r="W39" s="78" t="e">
        <f ca="1"/>
        <v>#N/A</v>
      </c>
      <c r="X39" s="78" t="e">
        <f ca="1"/>
        <v>#N/A</v>
      </c>
      <c r="Y39" s="78" t="e">
        <f ca="1"/>
        <v>#N/A</v>
      </c>
      <c r="Z39" s="78" t="e">
        <f ca="1"/>
        <v>#N/A</v>
      </c>
      <c r="AA39" s="52" t="e">
        <f ca="1"/>
        <v>#N/A</v>
      </c>
      <c r="AB39" s="52" t="e">
        <f ca="1"/>
        <v>#N/A</v>
      </c>
      <c r="AC39" s="52" t="e">
        <f ca="1"/>
        <v>#N/A</v>
      </c>
    </row>
    <row r="40" spans="1:29" ht="15" thickBot="1">
      <c r="A40" s="81">
        <v>1</v>
      </c>
      <c r="B40" s="81">
        <v>3.5000000000000003E-2</v>
      </c>
      <c r="C40" s="86" t="e">
        <v>#N/A</v>
      </c>
      <c r="D40" s="91">
        <f>IF(ISERROR(C40),D39+1,0)</f>
        <v>32</v>
      </c>
      <c r="E40" s="90">
        <v>37</v>
      </c>
      <c r="F40" s="86" t="e">
        <v>#N/A</v>
      </c>
      <c r="G40" s="86" t="e">
        <f>IF(ISERROR(C40),INDEX($F$3:$F$41,MATCH(D40,$E$3:$E$41,0),1),C40)</f>
        <v>#N/A</v>
      </c>
      <c r="H40" s="174">
        <v>1</v>
      </c>
      <c r="I40" s="83" t="e">
        <f>_xll.qlCallability("Kuendigungstermin"&amp;Cashflows!G40,H40,"Clean","Call",G40,,Trigger)</f>
        <v>#VALUE!</v>
      </c>
      <c r="J40" s="73" t="e">
        <f ca="1"/>
        <v>#N/A</v>
      </c>
      <c r="K40" s="75" t="e">
        <f ca="1"/>
        <v>#N/A</v>
      </c>
      <c r="L40" s="75" t="e">
        <f ca="1"/>
        <v>#N/A</v>
      </c>
      <c r="M40" s="73" t="e">
        <f ca="1"/>
        <v>#N/A</v>
      </c>
      <c r="N40" s="73" t="e">
        <f ca="1"/>
        <v>#N/A</v>
      </c>
      <c r="O40" s="52" t="e">
        <f ca="1"/>
        <v>#N/A</v>
      </c>
      <c r="P40" s="52" t="e">
        <f ca="1"/>
        <v>#N/A</v>
      </c>
      <c r="Q40" s="52" t="e">
        <f ca="1"/>
        <v>#N/A</v>
      </c>
      <c r="R40" s="73" t="e">
        <f ca="1"/>
        <v>#N/A</v>
      </c>
      <c r="S40" s="52" t="e">
        <f ca="1"/>
        <v>#N/A</v>
      </c>
      <c r="T40" s="75" t="e">
        <f ca="1"/>
        <v>#N/A</v>
      </c>
      <c r="U40" s="78" t="e">
        <f ca="1"/>
        <v>#N/A</v>
      </c>
      <c r="V40" s="78" t="e">
        <f ca="1"/>
        <v>#N/A</v>
      </c>
      <c r="W40" s="78" t="e">
        <f ca="1"/>
        <v>#N/A</v>
      </c>
      <c r="X40" s="78" t="e">
        <f ca="1"/>
        <v>#N/A</v>
      </c>
      <c r="Y40" s="78" t="e">
        <f ca="1"/>
        <v>#N/A</v>
      </c>
      <c r="Z40" s="78" t="e">
        <f ca="1"/>
        <v>#N/A</v>
      </c>
      <c r="AA40" s="52" t="e">
        <f ca="1"/>
        <v>#N/A</v>
      </c>
      <c r="AB40" s="52" t="e">
        <f ca="1"/>
        <v>#N/A</v>
      </c>
      <c r="AC40" s="52" t="e">
        <f ca="1"/>
        <v>#N/A</v>
      </c>
    </row>
    <row r="41" spans="1:29" ht="15" thickBot="1">
      <c r="A41" s="81">
        <v>1</v>
      </c>
      <c r="B41" s="81">
        <v>3.5000000000000003E-2</v>
      </c>
      <c r="C41" s="86" t="e">
        <v>#N/A</v>
      </c>
      <c r="D41" s="91">
        <f>IF(ISERROR(C41),D40+1,0)</f>
        <v>33</v>
      </c>
      <c r="E41" s="90">
        <v>38</v>
      </c>
      <c r="F41" s="86" t="e">
        <v>#N/A</v>
      </c>
      <c r="G41" s="86" t="e">
        <f>IF(ISERROR(C41),INDEX($F$3:$F$41,MATCH(D41,$E$3:$E$41,0),1),C41)</f>
        <v>#N/A</v>
      </c>
      <c r="H41" s="174">
        <v>1</v>
      </c>
      <c r="I41" s="83" t="e">
        <f>_xll.qlCallability("Kuendigungstermin"&amp;Cashflows!G41,H41,"Clean","Call",G41,,Trigger)</f>
        <v>#VALUE!</v>
      </c>
      <c r="J41" s="73" t="e">
        <f ca="1"/>
        <v>#N/A</v>
      </c>
      <c r="K41" s="75" t="e">
        <f ca="1"/>
        <v>#N/A</v>
      </c>
      <c r="L41" s="75" t="e">
        <f ca="1"/>
        <v>#N/A</v>
      </c>
      <c r="M41" s="73" t="e">
        <f ca="1"/>
        <v>#N/A</v>
      </c>
      <c r="N41" s="73" t="e">
        <f ca="1"/>
        <v>#N/A</v>
      </c>
      <c r="O41" s="52" t="e">
        <f ca="1"/>
        <v>#N/A</v>
      </c>
      <c r="P41" s="52" t="e">
        <f ca="1"/>
        <v>#N/A</v>
      </c>
      <c r="Q41" s="52" t="e">
        <f ca="1"/>
        <v>#N/A</v>
      </c>
      <c r="R41" s="73" t="e">
        <f ca="1"/>
        <v>#N/A</v>
      </c>
      <c r="S41" s="52" t="e">
        <f ca="1"/>
        <v>#N/A</v>
      </c>
      <c r="T41" s="75" t="e">
        <f ca="1"/>
        <v>#N/A</v>
      </c>
      <c r="U41" s="78" t="e">
        <f ca="1"/>
        <v>#N/A</v>
      </c>
      <c r="V41" s="78" t="e">
        <f ca="1"/>
        <v>#N/A</v>
      </c>
      <c r="W41" s="78" t="e">
        <f ca="1"/>
        <v>#N/A</v>
      </c>
      <c r="X41" s="78" t="e">
        <f ca="1"/>
        <v>#N/A</v>
      </c>
      <c r="Y41" s="78" t="e">
        <f ca="1"/>
        <v>#N/A</v>
      </c>
      <c r="Z41" s="78" t="e">
        <f ca="1"/>
        <v>#N/A</v>
      </c>
      <c r="AA41" s="52" t="e">
        <f ca="1"/>
        <v>#N/A</v>
      </c>
      <c r="AB41" s="52" t="e">
        <f ca="1"/>
        <v>#N/A</v>
      </c>
      <c r="AC41" s="52" t="e">
        <f ca="1"/>
        <v>#N/A</v>
      </c>
    </row>
    <row r="42" spans="1:29" ht="15" thickBot="1">
      <c r="A42" s="81"/>
      <c r="B42" s="81"/>
      <c r="C42" s="86"/>
      <c r="D42" s="91"/>
      <c r="E42" s="90"/>
      <c r="F42" s="86"/>
      <c r="G42" s="86"/>
      <c r="H42" s="174">
        <v>1</v>
      </c>
      <c r="I42" s="83" t="str">
        <f>_xll.qlCallability("Kuendigungstermin"&amp;Cashflows!G42,H42,"Clean","Call",G42,,Trigger)</f>
        <v>Kuendigungstermin#0002</v>
      </c>
      <c r="J42" s="73" t="e">
        <f ca="1"/>
        <v>#N/A</v>
      </c>
      <c r="K42" s="75" t="e">
        <f ca="1"/>
        <v>#N/A</v>
      </c>
      <c r="L42" s="75" t="e">
        <f ca="1"/>
        <v>#N/A</v>
      </c>
      <c r="M42" s="73" t="e">
        <f ca="1"/>
        <v>#N/A</v>
      </c>
      <c r="N42" s="73" t="e">
        <f ca="1"/>
        <v>#N/A</v>
      </c>
      <c r="O42" s="52" t="e">
        <f ca="1"/>
        <v>#N/A</v>
      </c>
      <c r="P42" s="52" t="e">
        <f ca="1"/>
        <v>#N/A</v>
      </c>
      <c r="Q42" s="52" t="e">
        <f ca="1"/>
        <v>#N/A</v>
      </c>
      <c r="R42" s="73" t="e">
        <f ca="1"/>
        <v>#N/A</v>
      </c>
      <c r="S42" s="52" t="e">
        <f ca="1"/>
        <v>#N/A</v>
      </c>
      <c r="T42" s="75" t="e">
        <f ca="1"/>
        <v>#N/A</v>
      </c>
      <c r="U42" s="78" t="e">
        <f ca="1"/>
        <v>#N/A</v>
      </c>
      <c r="V42" s="78" t="e">
        <f ca="1"/>
        <v>#N/A</v>
      </c>
      <c r="W42" s="78" t="e">
        <f ca="1"/>
        <v>#N/A</v>
      </c>
      <c r="X42" s="78" t="e">
        <f ca="1"/>
        <v>#N/A</v>
      </c>
      <c r="Y42" s="78" t="e">
        <f ca="1"/>
        <v>#N/A</v>
      </c>
      <c r="Z42" s="78" t="e">
        <f ca="1"/>
        <v>#N/A</v>
      </c>
      <c r="AA42" s="52" t="e">
        <f ca="1"/>
        <v>#N/A</v>
      </c>
      <c r="AB42" s="52" t="e">
        <f ca="1"/>
        <v>#N/A</v>
      </c>
      <c r="AC42" s="52" t="e">
        <f ca="1"/>
        <v>#N/A</v>
      </c>
    </row>
    <row r="43" spans="1:29" ht="15" thickBot="1">
      <c r="A43" s="81"/>
      <c r="B43" s="81"/>
      <c r="C43" s="86"/>
      <c r="D43" s="91"/>
      <c r="E43" s="90"/>
      <c r="F43" s="86"/>
      <c r="G43" s="86"/>
      <c r="H43" s="174">
        <v>1</v>
      </c>
      <c r="I43" s="83" t="e">
        <f>_xll.qlCallability("Kuendigungstermin"&amp;Cashflows!G43,H43,"Clean","Call",G43,,Trigger)</f>
        <v>#NUM!</v>
      </c>
      <c r="J43" s="73" t="e">
        <f ca="1"/>
        <v>#N/A</v>
      </c>
      <c r="K43" s="75" t="e">
        <f ca="1"/>
        <v>#N/A</v>
      </c>
      <c r="L43" s="75" t="e">
        <f ca="1"/>
        <v>#N/A</v>
      </c>
      <c r="M43" s="73" t="e">
        <f ca="1"/>
        <v>#N/A</v>
      </c>
      <c r="N43" s="73" t="e">
        <f ca="1"/>
        <v>#N/A</v>
      </c>
      <c r="O43" s="52" t="e">
        <f ca="1"/>
        <v>#N/A</v>
      </c>
      <c r="P43" s="52" t="e">
        <f ca="1"/>
        <v>#N/A</v>
      </c>
      <c r="Q43" s="52" t="e">
        <f ca="1"/>
        <v>#N/A</v>
      </c>
      <c r="R43" s="73" t="e">
        <f ca="1"/>
        <v>#N/A</v>
      </c>
      <c r="S43" s="52" t="e">
        <f ca="1"/>
        <v>#N/A</v>
      </c>
      <c r="T43" s="75" t="e">
        <f ca="1"/>
        <v>#N/A</v>
      </c>
      <c r="U43" s="78" t="e">
        <f ca="1"/>
        <v>#N/A</v>
      </c>
      <c r="V43" s="78" t="e">
        <f ca="1"/>
        <v>#N/A</v>
      </c>
      <c r="W43" s="78" t="e">
        <f ca="1"/>
        <v>#N/A</v>
      </c>
      <c r="X43" s="78" t="e">
        <f ca="1"/>
        <v>#N/A</v>
      </c>
      <c r="Y43" s="78" t="e">
        <f ca="1"/>
        <v>#N/A</v>
      </c>
      <c r="Z43" s="78" t="e">
        <f ca="1"/>
        <v>#N/A</v>
      </c>
      <c r="AA43" s="52" t="e">
        <f ca="1"/>
        <v>#N/A</v>
      </c>
      <c r="AB43" s="52" t="e">
        <f ca="1"/>
        <v>#N/A</v>
      </c>
      <c r="AC43" s="52" t="e">
        <f ca="1"/>
        <v>#N/A</v>
      </c>
    </row>
    <row r="44" spans="1:29" ht="15" thickBot="1">
      <c r="A44" s="81"/>
      <c r="B44" s="81"/>
      <c r="C44" s="86"/>
      <c r="D44" s="91"/>
      <c r="E44" s="90"/>
      <c r="F44" s="86"/>
      <c r="G44" s="86"/>
      <c r="H44" s="174">
        <v>1</v>
      </c>
      <c r="I44" s="83" t="e">
        <f>_xll.qlCallability("Kuendigungstermin"&amp;Cashflows!G44,H44,"Clean","Call",G44,,Trigger)</f>
        <v>#NUM!</v>
      </c>
      <c r="J44" s="73" t="e">
        <f ca="1"/>
        <v>#N/A</v>
      </c>
      <c r="K44" s="75" t="e">
        <f ca="1"/>
        <v>#N/A</v>
      </c>
      <c r="L44" s="75" t="e">
        <f ca="1"/>
        <v>#N/A</v>
      </c>
      <c r="M44" s="73" t="e">
        <f ca="1"/>
        <v>#N/A</v>
      </c>
      <c r="N44" s="73" t="e">
        <f ca="1"/>
        <v>#N/A</v>
      </c>
      <c r="O44" s="52" t="e">
        <f ca="1"/>
        <v>#N/A</v>
      </c>
      <c r="P44" s="52" t="e">
        <f ca="1"/>
        <v>#N/A</v>
      </c>
      <c r="Q44" s="52" t="e">
        <f ca="1"/>
        <v>#N/A</v>
      </c>
      <c r="R44" s="73" t="e">
        <f ca="1"/>
        <v>#N/A</v>
      </c>
      <c r="S44" s="52" t="e">
        <f ca="1"/>
        <v>#N/A</v>
      </c>
      <c r="T44" s="75" t="e">
        <f ca="1"/>
        <v>#N/A</v>
      </c>
      <c r="U44" s="78" t="e">
        <f ca="1"/>
        <v>#N/A</v>
      </c>
      <c r="V44" s="78" t="e">
        <f ca="1"/>
        <v>#N/A</v>
      </c>
      <c r="W44" s="78" t="e">
        <f ca="1"/>
        <v>#N/A</v>
      </c>
      <c r="X44" s="78" t="e">
        <f ca="1"/>
        <v>#N/A</v>
      </c>
      <c r="Y44" s="78" t="e">
        <f ca="1"/>
        <v>#N/A</v>
      </c>
      <c r="Z44" s="78" t="e">
        <f ca="1"/>
        <v>#N/A</v>
      </c>
      <c r="AA44" s="52" t="e">
        <f ca="1"/>
        <v>#N/A</v>
      </c>
      <c r="AB44" s="52" t="e">
        <f ca="1"/>
        <v>#N/A</v>
      </c>
      <c r="AC44" s="52" t="e">
        <f ca="1"/>
        <v>#N/A</v>
      </c>
    </row>
    <row r="45" spans="1:29" ht="15" thickBot="1">
      <c r="A45" s="81"/>
      <c r="B45" s="81"/>
      <c r="C45" s="86"/>
      <c r="D45" s="91"/>
      <c r="E45" s="90"/>
      <c r="F45" s="86"/>
      <c r="G45" s="86"/>
      <c r="H45" s="174">
        <v>1</v>
      </c>
      <c r="I45" s="83" t="e">
        <f>_xll.qlCallability("Kuendigungstermin"&amp;Cashflows!G45,H45,"Clean","Call",G45,,Trigger)</f>
        <v>#NUM!</v>
      </c>
      <c r="J45" s="73" t="e">
        <f ca="1"/>
        <v>#N/A</v>
      </c>
      <c r="K45" s="75" t="e">
        <f ca="1"/>
        <v>#N/A</v>
      </c>
      <c r="L45" s="75" t="e">
        <f ca="1"/>
        <v>#N/A</v>
      </c>
      <c r="M45" s="73" t="e">
        <f ca="1"/>
        <v>#N/A</v>
      </c>
      <c r="N45" s="73" t="e">
        <f ca="1"/>
        <v>#N/A</v>
      </c>
      <c r="O45" s="52" t="e">
        <f ca="1"/>
        <v>#N/A</v>
      </c>
      <c r="P45" s="52" t="e">
        <f ca="1"/>
        <v>#N/A</v>
      </c>
      <c r="Q45" s="52" t="e">
        <f ca="1"/>
        <v>#N/A</v>
      </c>
      <c r="R45" s="73" t="e">
        <f ca="1"/>
        <v>#N/A</v>
      </c>
      <c r="S45" s="52" t="e">
        <f ca="1"/>
        <v>#N/A</v>
      </c>
      <c r="T45" s="75" t="e">
        <f ca="1"/>
        <v>#N/A</v>
      </c>
      <c r="U45" s="78" t="e">
        <f ca="1"/>
        <v>#N/A</v>
      </c>
      <c r="V45" s="78" t="e">
        <f ca="1"/>
        <v>#N/A</v>
      </c>
      <c r="W45" s="78" t="e">
        <f ca="1"/>
        <v>#N/A</v>
      </c>
      <c r="X45" s="78" t="e">
        <f ca="1"/>
        <v>#N/A</v>
      </c>
      <c r="Y45" s="78" t="e">
        <f ca="1"/>
        <v>#N/A</v>
      </c>
      <c r="Z45" s="78" t="e">
        <f ca="1"/>
        <v>#N/A</v>
      </c>
      <c r="AA45" s="52" t="e">
        <f ca="1"/>
        <v>#N/A</v>
      </c>
      <c r="AB45" s="52" t="e">
        <f ca="1"/>
        <v>#N/A</v>
      </c>
      <c r="AC45" s="52" t="e">
        <f ca="1"/>
        <v>#N/A</v>
      </c>
    </row>
    <row r="46" spans="1:29" ht="15" thickBot="1">
      <c r="A46" s="81"/>
      <c r="B46" s="81"/>
      <c r="C46" s="86"/>
      <c r="D46" s="91"/>
      <c r="E46" s="90"/>
      <c r="F46" s="86"/>
      <c r="G46" s="86"/>
      <c r="H46" s="174">
        <v>1</v>
      </c>
      <c r="I46" s="83" t="e">
        <f>_xll.qlCallability("Kuendigungstermin"&amp;Cashflows!G46,H46,"Clean","Call",G46,,Trigger)</f>
        <v>#NUM!</v>
      </c>
      <c r="J46" s="73" t="e">
        <f ca="1"/>
        <v>#N/A</v>
      </c>
      <c r="K46" s="75" t="e">
        <f ca="1"/>
        <v>#N/A</v>
      </c>
      <c r="L46" s="75" t="e">
        <f ca="1"/>
        <v>#N/A</v>
      </c>
      <c r="M46" s="73" t="e">
        <f ca="1"/>
        <v>#N/A</v>
      </c>
      <c r="N46" s="73" t="e">
        <f ca="1"/>
        <v>#N/A</v>
      </c>
      <c r="O46" s="52" t="e">
        <f ca="1"/>
        <v>#N/A</v>
      </c>
      <c r="P46" s="52" t="e">
        <f ca="1"/>
        <v>#N/A</v>
      </c>
      <c r="Q46" s="52" t="e">
        <f ca="1"/>
        <v>#N/A</v>
      </c>
      <c r="R46" s="73" t="e">
        <f ca="1"/>
        <v>#N/A</v>
      </c>
      <c r="S46" s="52" t="e">
        <f ca="1"/>
        <v>#N/A</v>
      </c>
      <c r="T46" s="75" t="e">
        <f ca="1"/>
        <v>#N/A</v>
      </c>
      <c r="U46" s="78" t="e">
        <f ca="1"/>
        <v>#N/A</v>
      </c>
      <c r="V46" s="78" t="e">
        <f ca="1"/>
        <v>#N/A</v>
      </c>
      <c r="W46" s="78" t="e">
        <f ca="1"/>
        <v>#N/A</v>
      </c>
      <c r="X46" s="78" t="e">
        <f ca="1"/>
        <v>#N/A</v>
      </c>
      <c r="Y46" s="78" t="e">
        <f ca="1"/>
        <v>#N/A</v>
      </c>
      <c r="Z46" s="78" t="e">
        <f ca="1"/>
        <v>#N/A</v>
      </c>
      <c r="AA46" s="52" t="e">
        <f ca="1"/>
        <v>#N/A</v>
      </c>
      <c r="AB46" s="52" t="e">
        <f ca="1"/>
        <v>#N/A</v>
      </c>
      <c r="AC46" s="52" t="e">
        <f ca="1"/>
        <v>#N/A</v>
      </c>
    </row>
    <row r="47" spans="1:29" ht="15" thickBot="1">
      <c r="A47" s="81"/>
      <c r="B47" s="81"/>
      <c r="C47" s="86"/>
      <c r="D47" s="91"/>
      <c r="E47" s="90"/>
      <c r="F47" s="86"/>
      <c r="G47" s="86"/>
      <c r="H47" s="174">
        <v>1</v>
      </c>
      <c r="I47" s="83" t="e">
        <f>_xll.qlCallability("Kuendigungstermin"&amp;Cashflows!G47,H47,"Clean","Call",G47,,Trigger)</f>
        <v>#NUM!</v>
      </c>
      <c r="J47" s="73" t="e">
        <f ca="1"/>
        <v>#N/A</v>
      </c>
      <c r="K47" s="75" t="e">
        <f ca="1"/>
        <v>#N/A</v>
      </c>
      <c r="L47" s="75" t="e">
        <f ca="1"/>
        <v>#N/A</v>
      </c>
      <c r="M47" s="73" t="e">
        <f ca="1"/>
        <v>#N/A</v>
      </c>
      <c r="N47" s="73" t="e">
        <f ca="1"/>
        <v>#N/A</v>
      </c>
      <c r="O47" s="52" t="e">
        <f ca="1"/>
        <v>#N/A</v>
      </c>
      <c r="P47" s="52" t="e">
        <f ca="1"/>
        <v>#N/A</v>
      </c>
      <c r="Q47" s="52" t="e">
        <f ca="1"/>
        <v>#N/A</v>
      </c>
      <c r="R47" s="73" t="e">
        <f ca="1"/>
        <v>#N/A</v>
      </c>
      <c r="S47" s="52" t="e">
        <f ca="1"/>
        <v>#N/A</v>
      </c>
      <c r="T47" s="75" t="e">
        <f ca="1"/>
        <v>#N/A</v>
      </c>
      <c r="U47" s="78" t="e">
        <f ca="1"/>
        <v>#N/A</v>
      </c>
      <c r="V47" s="78" t="e">
        <f ca="1"/>
        <v>#N/A</v>
      </c>
      <c r="W47" s="78" t="e">
        <f ca="1"/>
        <v>#N/A</v>
      </c>
      <c r="X47" s="78" t="e">
        <f ca="1"/>
        <v>#N/A</v>
      </c>
      <c r="Y47" s="78" t="e">
        <f ca="1"/>
        <v>#N/A</v>
      </c>
      <c r="Z47" s="78" t="e">
        <f ca="1"/>
        <v>#N/A</v>
      </c>
      <c r="AA47" s="52" t="e">
        <f ca="1"/>
        <v>#N/A</v>
      </c>
      <c r="AB47" s="52" t="e">
        <f ca="1"/>
        <v>#N/A</v>
      </c>
      <c r="AC47" s="52" t="e">
        <f ca="1"/>
        <v>#N/A</v>
      </c>
    </row>
    <row r="48" spans="1:29" ht="15" thickBot="1">
      <c r="A48" s="81"/>
      <c r="B48" s="81"/>
      <c r="C48" s="86"/>
      <c r="D48" s="91"/>
      <c r="E48" s="90"/>
      <c r="F48" s="86"/>
      <c r="G48" s="86"/>
      <c r="H48" s="174">
        <v>1</v>
      </c>
      <c r="I48" s="83" t="e">
        <f>_xll.qlCallability("Kuendigungstermin"&amp;Cashflows!G48,H48,"Clean","Call",G48,,Trigger)</f>
        <v>#NUM!</v>
      </c>
      <c r="J48" s="73" t="e">
        <f ca="1"/>
        <v>#N/A</v>
      </c>
      <c r="K48" s="75" t="e">
        <f ca="1"/>
        <v>#N/A</v>
      </c>
      <c r="L48" s="75" t="e">
        <f ca="1"/>
        <v>#N/A</v>
      </c>
      <c r="M48" s="73" t="e">
        <f ca="1"/>
        <v>#N/A</v>
      </c>
      <c r="N48" s="73" t="e">
        <f ca="1"/>
        <v>#N/A</v>
      </c>
      <c r="O48" s="52" t="e">
        <f ca="1"/>
        <v>#N/A</v>
      </c>
      <c r="P48" s="52" t="e">
        <f ca="1"/>
        <v>#N/A</v>
      </c>
      <c r="Q48" s="52" t="e">
        <f ca="1"/>
        <v>#N/A</v>
      </c>
      <c r="R48" s="73" t="e">
        <f ca="1"/>
        <v>#N/A</v>
      </c>
      <c r="S48" s="52" t="e">
        <f ca="1"/>
        <v>#N/A</v>
      </c>
      <c r="T48" s="75" t="e">
        <f ca="1"/>
        <v>#N/A</v>
      </c>
      <c r="U48" s="78" t="e">
        <f ca="1"/>
        <v>#N/A</v>
      </c>
      <c r="V48" s="78" t="e">
        <f ca="1"/>
        <v>#N/A</v>
      </c>
      <c r="W48" s="78" t="e">
        <f ca="1"/>
        <v>#N/A</v>
      </c>
      <c r="X48" s="78" t="e">
        <f ca="1"/>
        <v>#N/A</v>
      </c>
      <c r="Y48" s="78" t="e">
        <f ca="1"/>
        <v>#N/A</v>
      </c>
      <c r="Z48" s="78" t="e">
        <f ca="1"/>
        <v>#N/A</v>
      </c>
      <c r="AA48" s="52" t="e">
        <f ca="1"/>
        <v>#N/A</v>
      </c>
      <c r="AB48" s="52" t="e">
        <f ca="1"/>
        <v>#N/A</v>
      </c>
      <c r="AC48" s="52" t="e">
        <f ca="1"/>
        <v>#N/A</v>
      </c>
    </row>
    <row r="49" spans="1:29" ht="15" thickBot="1">
      <c r="A49" s="81"/>
      <c r="B49" s="81"/>
      <c r="C49" s="86"/>
      <c r="D49" s="91"/>
      <c r="E49" s="90"/>
      <c r="F49" s="86"/>
      <c r="G49" s="86"/>
      <c r="H49" s="174">
        <v>1</v>
      </c>
      <c r="I49" s="83" t="e">
        <f>_xll.qlCallability("Kuendigungstermin"&amp;Cashflows!G49,H49,"Clean","Call",G49,,Trigger)</f>
        <v>#NUM!</v>
      </c>
      <c r="J49" s="73" t="e">
        <f ca="1"/>
        <v>#N/A</v>
      </c>
      <c r="K49" s="75" t="e">
        <f ca="1"/>
        <v>#N/A</v>
      </c>
      <c r="L49" s="75" t="e">
        <f ca="1"/>
        <v>#N/A</v>
      </c>
      <c r="M49" s="73" t="e">
        <f ca="1"/>
        <v>#N/A</v>
      </c>
      <c r="N49" s="73" t="e">
        <f ca="1"/>
        <v>#N/A</v>
      </c>
      <c r="O49" s="52" t="e">
        <f ca="1"/>
        <v>#N/A</v>
      </c>
      <c r="P49" s="52" t="e">
        <f ca="1"/>
        <v>#N/A</v>
      </c>
      <c r="Q49" s="52" t="e">
        <f ca="1"/>
        <v>#N/A</v>
      </c>
      <c r="R49" s="73" t="e">
        <f ca="1"/>
        <v>#N/A</v>
      </c>
      <c r="S49" s="52" t="e">
        <f ca="1"/>
        <v>#N/A</v>
      </c>
      <c r="T49" s="75" t="e">
        <f ca="1"/>
        <v>#N/A</v>
      </c>
      <c r="U49" s="78" t="e">
        <f ca="1"/>
        <v>#N/A</v>
      </c>
      <c r="V49" s="78" t="e">
        <f ca="1"/>
        <v>#N/A</v>
      </c>
      <c r="W49" s="78" t="e">
        <f ca="1"/>
        <v>#N/A</v>
      </c>
      <c r="X49" s="78" t="e">
        <f ca="1"/>
        <v>#N/A</v>
      </c>
      <c r="Y49" s="78" t="e">
        <f ca="1"/>
        <v>#N/A</v>
      </c>
      <c r="Z49" s="78" t="e">
        <f ca="1"/>
        <v>#N/A</v>
      </c>
      <c r="AA49" s="52" t="e">
        <f ca="1"/>
        <v>#N/A</v>
      </c>
      <c r="AB49" s="52" t="e">
        <f ca="1"/>
        <v>#N/A</v>
      </c>
      <c r="AC49" s="52" t="e">
        <f ca="1"/>
        <v>#N/A</v>
      </c>
    </row>
    <row r="50" spans="1:29" ht="15" thickBot="1">
      <c r="A50" s="81"/>
      <c r="B50" s="81"/>
      <c r="C50" s="86"/>
      <c r="D50" s="91"/>
      <c r="E50" s="90"/>
      <c r="F50" s="86"/>
      <c r="G50" s="86"/>
      <c r="H50" s="174">
        <v>1</v>
      </c>
      <c r="I50" s="83" t="e">
        <f>_xll.qlCallability("Kuendigungstermin"&amp;Cashflows!G50,H50,"Clean","Call",G50,,Trigger)</f>
        <v>#NUM!</v>
      </c>
      <c r="J50" s="73" t="e">
        <f ca="1"/>
        <v>#N/A</v>
      </c>
      <c r="K50" s="75" t="e">
        <f ca="1"/>
        <v>#N/A</v>
      </c>
      <c r="L50" s="75" t="e">
        <f ca="1"/>
        <v>#N/A</v>
      </c>
      <c r="M50" s="73" t="e">
        <f ca="1"/>
        <v>#N/A</v>
      </c>
      <c r="N50" s="73" t="e">
        <f ca="1"/>
        <v>#N/A</v>
      </c>
      <c r="O50" s="52" t="e">
        <f ca="1"/>
        <v>#N/A</v>
      </c>
      <c r="P50" s="52" t="e">
        <f ca="1"/>
        <v>#N/A</v>
      </c>
      <c r="Q50" s="52" t="e">
        <f ca="1"/>
        <v>#N/A</v>
      </c>
      <c r="R50" s="73" t="e">
        <f ca="1"/>
        <v>#N/A</v>
      </c>
      <c r="S50" s="52" t="e">
        <f ca="1"/>
        <v>#N/A</v>
      </c>
      <c r="T50" s="75" t="e">
        <f ca="1"/>
        <v>#N/A</v>
      </c>
      <c r="U50" s="78" t="e">
        <f ca="1"/>
        <v>#N/A</v>
      </c>
      <c r="V50" s="78" t="e">
        <f ca="1"/>
        <v>#N/A</v>
      </c>
      <c r="W50" s="78" t="e">
        <f ca="1"/>
        <v>#N/A</v>
      </c>
      <c r="X50" s="78" t="e">
        <f ca="1"/>
        <v>#N/A</v>
      </c>
      <c r="Y50" s="78" t="e">
        <f ca="1"/>
        <v>#N/A</v>
      </c>
      <c r="Z50" s="78" t="e">
        <f ca="1"/>
        <v>#N/A</v>
      </c>
      <c r="AA50" s="52" t="e">
        <f ca="1"/>
        <v>#N/A</v>
      </c>
      <c r="AB50" s="52" t="e">
        <f ca="1"/>
        <v>#N/A</v>
      </c>
      <c r="AC50" s="52" t="e">
        <f ca="1"/>
        <v>#N/A</v>
      </c>
    </row>
    <row r="51" spans="1:29" ht="15" thickBot="1">
      <c r="A51" s="81"/>
      <c r="B51" s="81"/>
      <c r="C51" s="86"/>
      <c r="D51" s="91"/>
      <c r="E51" s="90"/>
      <c r="F51" s="86"/>
      <c r="G51" s="86"/>
      <c r="H51" s="174">
        <v>1</v>
      </c>
      <c r="I51" s="83" t="e">
        <f>_xll.qlCallability("Kuendigungstermin"&amp;Cashflows!G51,H51,"Clean","Call",G51,,Trigger)</f>
        <v>#NUM!</v>
      </c>
      <c r="J51" s="73" t="e">
        <f ca="1"/>
        <v>#N/A</v>
      </c>
      <c r="K51" s="75" t="e">
        <f ca="1"/>
        <v>#N/A</v>
      </c>
      <c r="L51" s="75" t="e">
        <f ca="1"/>
        <v>#N/A</v>
      </c>
      <c r="M51" s="73" t="e">
        <f ca="1"/>
        <v>#N/A</v>
      </c>
      <c r="N51" s="73" t="e">
        <f ca="1"/>
        <v>#N/A</v>
      </c>
      <c r="O51" s="52" t="e">
        <f ca="1"/>
        <v>#N/A</v>
      </c>
      <c r="P51" s="52" t="e">
        <f ca="1"/>
        <v>#N/A</v>
      </c>
      <c r="Q51" s="52" t="e">
        <f ca="1"/>
        <v>#N/A</v>
      </c>
      <c r="R51" s="73" t="e">
        <f ca="1"/>
        <v>#N/A</v>
      </c>
      <c r="S51" s="52" t="e">
        <f ca="1"/>
        <v>#N/A</v>
      </c>
      <c r="T51" s="75" t="e">
        <f ca="1"/>
        <v>#N/A</v>
      </c>
      <c r="U51" s="78" t="e">
        <f ca="1"/>
        <v>#N/A</v>
      </c>
      <c r="V51" s="78" t="e">
        <f ca="1"/>
        <v>#N/A</v>
      </c>
      <c r="W51" s="78" t="e">
        <f ca="1"/>
        <v>#N/A</v>
      </c>
      <c r="X51" s="78" t="e">
        <f ca="1"/>
        <v>#N/A</v>
      </c>
      <c r="Y51" s="78" t="e">
        <f ca="1"/>
        <v>#N/A</v>
      </c>
      <c r="Z51" s="78" t="e">
        <f ca="1"/>
        <v>#N/A</v>
      </c>
      <c r="AA51" s="52" t="e">
        <f ca="1"/>
        <v>#N/A</v>
      </c>
      <c r="AB51" s="52" t="e">
        <f ca="1"/>
        <v>#N/A</v>
      </c>
      <c r="AC51" s="52" t="e">
        <f ca="1"/>
        <v>#N/A</v>
      </c>
    </row>
    <row r="52" spans="1:29" ht="15" thickBot="1">
      <c r="A52" s="81"/>
      <c r="B52" s="81"/>
      <c r="C52" s="86"/>
      <c r="D52" s="91"/>
      <c r="E52" s="90"/>
      <c r="F52" s="86"/>
      <c r="G52" s="86"/>
      <c r="H52" s="174">
        <v>1</v>
      </c>
      <c r="I52" s="83" t="e">
        <f>_xll.qlCallability("Kuendigungstermin"&amp;Cashflows!G52,H52,"Clean","Call",G52,,Trigger)</f>
        <v>#NUM!</v>
      </c>
      <c r="J52" s="73" t="e">
        <f ca="1"/>
        <v>#N/A</v>
      </c>
      <c r="K52" s="75" t="e">
        <f ca="1"/>
        <v>#N/A</v>
      </c>
      <c r="L52" s="75" t="e">
        <f ca="1"/>
        <v>#N/A</v>
      </c>
      <c r="M52" s="73" t="e">
        <f ca="1"/>
        <v>#N/A</v>
      </c>
      <c r="N52" s="73" t="e">
        <f ca="1"/>
        <v>#N/A</v>
      </c>
      <c r="O52" s="52" t="e">
        <f ca="1"/>
        <v>#N/A</v>
      </c>
      <c r="P52" s="52" t="e">
        <f ca="1"/>
        <v>#N/A</v>
      </c>
      <c r="Q52" s="52" t="e">
        <f ca="1"/>
        <v>#N/A</v>
      </c>
      <c r="R52" s="73" t="e">
        <f ca="1"/>
        <v>#N/A</v>
      </c>
      <c r="S52" s="52" t="e">
        <f ca="1"/>
        <v>#N/A</v>
      </c>
      <c r="T52" s="75" t="e">
        <f ca="1"/>
        <v>#N/A</v>
      </c>
      <c r="U52" s="78" t="e">
        <f ca="1"/>
        <v>#N/A</v>
      </c>
      <c r="V52" s="78" t="e">
        <f ca="1"/>
        <v>#N/A</v>
      </c>
      <c r="W52" s="78" t="e">
        <f ca="1"/>
        <v>#N/A</v>
      </c>
      <c r="X52" s="78" t="e">
        <f ca="1"/>
        <v>#N/A</v>
      </c>
      <c r="Y52" s="78" t="e">
        <f ca="1"/>
        <v>#N/A</v>
      </c>
      <c r="Z52" s="78" t="e">
        <f ca="1"/>
        <v>#N/A</v>
      </c>
      <c r="AA52" s="52" t="e">
        <f ca="1"/>
        <v>#N/A</v>
      </c>
      <c r="AB52" s="52" t="e">
        <f ca="1"/>
        <v>#N/A</v>
      </c>
      <c r="AC52" s="52" t="e">
        <f ca="1"/>
        <v>#N/A</v>
      </c>
    </row>
    <row r="53" spans="1:29" ht="15" thickBot="1">
      <c r="A53" s="81"/>
      <c r="B53" s="81"/>
      <c r="C53" s="86"/>
      <c r="D53" s="91"/>
      <c r="E53" s="90"/>
      <c r="F53" s="86"/>
      <c r="G53" s="86"/>
      <c r="H53" s="174">
        <v>1</v>
      </c>
      <c r="I53" s="83" t="e">
        <f>_xll.qlCallability("Kuendigungstermin"&amp;Cashflows!G53,H53,"Clean","Call",G53,,Trigger)</f>
        <v>#NUM!</v>
      </c>
      <c r="J53" s="73" t="e">
        <f ca="1"/>
        <v>#N/A</v>
      </c>
      <c r="K53" s="75" t="e">
        <f ca="1"/>
        <v>#N/A</v>
      </c>
      <c r="L53" s="75" t="e">
        <f ca="1"/>
        <v>#N/A</v>
      </c>
      <c r="M53" s="73" t="e">
        <f ca="1"/>
        <v>#N/A</v>
      </c>
      <c r="N53" s="73" t="e">
        <f ca="1"/>
        <v>#N/A</v>
      </c>
      <c r="O53" s="52" t="e">
        <f ca="1"/>
        <v>#N/A</v>
      </c>
      <c r="P53" s="52" t="e">
        <f ca="1"/>
        <v>#N/A</v>
      </c>
      <c r="Q53" s="52" t="e">
        <f ca="1"/>
        <v>#N/A</v>
      </c>
      <c r="R53" s="73" t="e">
        <f ca="1"/>
        <v>#N/A</v>
      </c>
      <c r="S53" s="52" t="e">
        <f ca="1"/>
        <v>#N/A</v>
      </c>
      <c r="T53" s="75" t="e">
        <f ca="1"/>
        <v>#N/A</v>
      </c>
      <c r="U53" s="78" t="e">
        <f ca="1"/>
        <v>#N/A</v>
      </c>
      <c r="V53" s="78" t="e">
        <f ca="1"/>
        <v>#N/A</v>
      </c>
      <c r="W53" s="78" t="e">
        <f ca="1"/>
        <v>#N/A</v>
      </c>
      <c r="X53" s="78" t="e">
        <f ca="1"/>
        <v>#N/A</v>
      </c>
      <c r="Y53" s="78" t="e">
        <f ca="1"/>
        <v>#N/A</v>
      </c>
      <c r="Z53" s="78" t="e">
        <f ca="1"/>
        <v>#N/A</v>
      </c>
      <c r="AA53" s="52" t="e">
        <f ca="1"/>
        <v>#N/A</v>
      </c>
      <c r="AB53" s="52" t="e">
        <f ca="1"/>
        <v>#N/A</v>
      </c>
      <c r="AC53" s="52" t="e">
        <f ca="1"/>
        <v>#N/A</v>
      </c>
    </row>
    <row r="54" spans="1:29" ht="15" thickBot="1">
      <c r="A54" s="81"/>
      <c r="B54" s="81"/>
      <c r="C54" s="86"/>
      <c r="D54" s="91"/>
      <c r="E54" s="90"/>
      <c r="F54" s="86"/>
      <c r="G54" s="86"/>
      <c r="H54" s="174">
        <v>1</v>
      </c>
      <c r="I54" s="83" t="e">
        <f>_xll.qlCallability("Kuendigungstermin"&amp;Cashflows!G54,H54,"Clean","Call",G54,,Trigger)</f>
        <v>#NUM!</v>
      </c>
      <c r="J54" s="73" t="e">
        <f ca="1"/>
        <v>#N/A</v>
      </c>
      <c r="K54" s="75" t="e">
        <f ca="1"/>
        <v>#N/A</v>
      </c>
      <c r="L54" s="75" t="e">
        <f ca="1"/>
        <v>#N/A</v>
      </c>
      <c r="M54" s="73" t="e">
        <f ca="1"/>
        <v>#N/A</v>
      </c>
      <c r="N54" s="73" t="e">
        <f ca="1"/>
        <v>#N/A</v>
      </c>
      <c r="O54" s="52" t="e">
        <f ca="1"/>
        <v>#N/A</v>
      </c>
      <c r="P54" s="52" t="e">
        <f ca="1"/>
        <v>#N/A</v>
      </c>
      <c r="Q54" s="52" t="e">
        <f ca="1"/>
        <v>#N/A</v>
      </c>
      <c r="R54" s="73" t="e">
        <f ca="1"/>
        <v>#N/A</v>
      </c>
      <c r="S54" s="52" t="e">
        <f ca="1"/>
        <v>#N/A</v>
      </c>
      <c r="T54" s="75" t="e">
        <f ca="1"/>
        <v>#N/A</v>
      </c>
      <c r="U54" s="78" t="e">
        <f ca="1"/>
        <v>#N/A</v>
      </c>
      <c r="V54" s="78" t="e">
        <f ca="1"/>
        <v>#N/A</v>
      </c>
      <c r="W54" s="78" t="e">
        <f ca="1"/>
        <v>#N/A</v>
      </c>
      <c r="X54" s="78" t="e">
        <f ca="1"/>
        <v>#N/A</v>
      </c>
      <c r="Y54" s="78" t="e">
        <f ca="1"/>
        <v>#N/A</v>
      </c>
      <c r="Z54" s="78" t="e">
        <f ca="1"/>
        <v>#N/A</v>
      </c>
      <c r="AA54" s="52" t="e">
        <f ca="1"/>
        <v>#N/A</v>
      </c>
      <c r="AB54" s="52" t="e">
        <f ca="1"/>
        <v>#N/A</v>
      </c>
      <c r="AC54" s="52" t="e">
        <f ca="1"/>
        <v>#N/A</v>
      </c>
    </row>
    <row r="55" spans="1:29" ht="15" thickBot="1">
      <c r="A55" s="81"/>
      <c r="B55" s="81"/>
      <c r="C55" s="86"/>
      <c r="D55" s="91"/>
      <c r="E55" s="90"/>
      <c r="F55" s="86"/>
      <c r="G55" s="86"/>
      <c r="H55" s="174">
        <v>1</v>
      </c>
      <c r="I55" s="83" t="e">
        <f>_xll.qlCallability("Kuendigungstermin"&amp;Cashflows!G55,H55,"Clean","Call",G55,,Trigger)</f>
        <v>#NUM!</v>
      </c>
      <c r="J55" s="73" t="e">
        <f ca="1"/>
        <v>#N/A</v>
      </c>
      <c r="K55" s="75" t="e">
        <f ca="1"/>
        <v>#N/A</v>
      </c>
      <c r="L55" s="75" t="e">
        <f ca="1"/>
        <v>#N/A</v>
      </c>
      <c r="M55" s="73" t="e">
        <f ca="1"/>
        <v>#N/A</v>
      </c>
      <c r="N55" s="73" t="e">
        <f ca="1"/>
        <v>#N/A</v>
      </c>
      <c r="O55" s="52" t="e">
        <f ca="1"/>
        <v>#N/A</v>
      </c>
      <c r="P55" s="52" t="e">
        <f ca="1"/>
        <v>#N/A</v>
      </c>
      <c r="Q55" s="52" t="e">
        <f ca="1"/>
        <v>#N/A</v>
      </c>
      <c r="R55" s="73" t="e">
        <f ca="1"/>
        <v>#N/A</v>
      </c>
      <c r="S55" s="52" t="e">
        <f ca="1"/>
        <v>#N/A</v>
      </c>
      <c r="T55" s="75" t="e">
        <f ca="1"/>
        <v>#N/A</v>
      </c>
      <c r="U55" s="78" t="e">
        <f ca="1"/>
        <v>#N/A</v>
      </c>
      <c r="V55" s="78" t="e">
        <f ca="1"/>
        <v>#N/A</v>
      </c>
      <c r="W55" s="78" t="e">
        <f ca="1"/>
        <v>#N/A</v>
      </c>
      <c r="X55" s="78" t="e">
        <f ca="1"/>
        <v>#N/A</v>
      </c>
      <c r="Y55" s="78" t="e">
        <f ca="1"/>
        <v>#N/A</v>
      </c>
      <c r="Z55" s="78" t="e">
        <f ca="1"/>
        <v>#N/A</v>
      </c>
      <c r="AA55" s="52" t="e">
        <f ca="1"/>
        <v>#N/A</v>
      </c>
      <c r="AB55" s="52" t="e">
        <f ca="1"/>
        <v>#N/A</v>
      </c>
      <c r="AC55" s="52" t="e">
        <f ca="1"/>
        <v>#N/A</v>
      </c>
    </row>
    <row r="56" spans="1:29" ht="15" thickBot="1">
      <c r="A56" s="81"/>
      <c r="B56" s="81"/>
      <c r="C56" s="86"/>
      <c r="D56" s="91"/>
      <c r="E56" s="90"/>
      <c r="F56" s="86"/>
      <c r="G56" s="86"/>
      <c r="H56" s="174">
        <v>1</v>
      </c>
      <c r="I56" s="83" t="e">
        <f>_xll.qlCallability("Kuendigungstermin"&amp;Cashflows!G56,H56,"Clean","Call",G56,,Trigger)</f>
        <v>#NUM!</v>
      </c>
      <c r="J56" s="73" t="e">
        <f ca="1"/>
        <v>#N/A</v>
      </c>
      <c r="K56" s="75" t="e">
        <f ca="1"/>
        <v>#N/A</v>
      </c>
      <c r="L56" s="75" t="e">
        <f ca="1"/>
        <v>#N/A</v>
      </c>
      <c r="M56" s="73" t="e">
        <f ca="1"/>
        <v>#N/A</v>
      </c>
      <c r="N56" s="73" t="e">
        <f ca="1"/>
        <v>#N/A</v>
      </c>
      <c r="O56" s="52" t="e">
        <f ca="1"/>
        <v>#N/A</v>
      </c>
      <c r="P56" s="52" t="e">
        <f ca="1"/>
        <v>#N/A</v>
      </c>
      <c r="Q56" s="52" t="e">
        <f ca="1"/>
        <v>#N/A</v>
      </c>
      <c r="R56" s="73" t="e">
        <f ca="1"/>
        <v>#N/A</v>
      </c>
      <c r="S56" s="52" t="e">
        <f ca="1"/>
        <v>#N/A</v>
      </c>
      <c r="T56" s="75" t="e">
        <f ca="1"/>
        <v>#N/A</v>
      </c>
      <c r="U56" s="78" t="e">
        <f ca="1"/>
        <v>#N/A</v>
      </c>
      <c r="V56" s="78" t="e">
        <f ca="1"/>
        <v>#N/A</v>
      </c>
      <c r="W56" s="78" t="e">
        <f ca="1"/>
        <v>#N/A</v>
      </c>
      <c r="X56" s="78" t="e">
        <f ca="1"/>
        <v>#N/A</v>
      </c>
      <c r="Y56" s="78" t="e">
        <f ca="1"/>
        <v>#N/A</v>
      </c>
      <c r="Z56" s="78" t="e">
        <f ca="1"/>
        <v>#N/A</v>
      </c>
      <c r="AA56" s="52" t="e">
        <f ca="1"/>
        <v>#N/A</v>
      </c>
      <c r="AB56" s="52" t="e">
        <f ca="1"/>
        <v>#N/A</v>
      </c>
      <c r="AC56" s="52" t="e">
        <f ca="1"/>
        <v>#N/A</v>
      </c>
    </row>
    <row r="57" spans="1:29" ht="15" thickBot="1">
      <c r="A57" s="81"/>
      <c r="B57" s="81"/>
      <c r="C57" s="86"/>
      <c r="D57" s="91"/>
      <c r="E57" s="90"/>
      <c r="F57" s="86"/>
      <c r="G57" s="86"/>
      <c r="H57" s="174">
        <v>1</v>
      </c>
      <c r="I57" s="83" t="e">
        <f>_xll.qlCallability("Kuendigungstermin"&amp;Cashflows!G57,H57,"Clean","Call",G57,,Trigger)</f>
        <v>#NUM!</v>
      </c>
      <c r="J57" s="73" t="e">
        <f ca="1"/>
        <v>#N/A</v>
      </c>
      <c r="K57" s="75" t="e">
        <f ca="1"/>
        <v>#N/A</v>
      </c>
      <c r="L57" s="75" t="e">
        <f ca="1"/>
        <v>#N/A</v>
      </c>
      <c r="M57" s="73" t="e">
        <f ca="1"/>
        <v>#N/A</v>
      </c>
      <c r="N57" s="73" t="e">
        <f ca="1"/>
        <v>#N/A</v>
      </c>
      <c r="O57" s="52" t="e">
        <f ca="1"/>
        <v>#N/A</v>
      </c>
      <c r="P57" s="52" t="e">
        <f ca="1"/>
        <v>#N/A</v>
      </c>
      <c r="Q57" s="52" t="e">
        <f ca="1"/>
        <v>#N/A</v>
      </c>
      <c r="R57" s="73" t="e">
        <f ca="1"/>
        <v>#N/A</v>
      </c>
      <c r="S57" s="52" t="e">
        <f ca="1"/>
        <v>#N/A</v>
      </c>
      <c r="T57" s="75" t="e">
        <f ca="1"/>
        <v>#N/A</v>
      </c>
      <c r="U57" s="78" t="e">
        <f ca="1"/>
        <v>#N/A</v>
      </c>
      <c r="V57" s="78" t="e">
        <f ca="1"/>
        <v>#N/A</v>
      </c>
      <c r="W57" s="78" t="e">
        <f ca="1"/>
        <v>#N/A</v>
      </c>
      <c r="X57" s="78" t="e">
        <f ca="1"/>
        <v>#N/A</v>
      </c>
      <c r="Y57" s="78" t="e">
        <f ca="1"/>
        <v>#N/A</v>
      </c>
      <c r="Z57" s="78" t="e">
        <f ca="1"/>
        <v>#N/A</v>
      </c>
      <c r="AA57" s="52" t="e">
        <f ca="1"/>
        <v>#N/A</v>
      </c>
      <c r="AB57" s="52" t="e">
        <f ca="1"/>
        <v>#N/A</v>
      </c>
      <c r="AC57" s="52" t="e">
        <f ca="1"/>
        <v>#N/A</v>
      </c>
    </row>
    <row r="58" spans="1:29" ht="15" thickBot="1">
      <c r="A58" s="81"/>
      <c r="B58" s="81"/>
      <c r="C58" s="86"/>
      <c r="D58" s="91"/>
      <c r="E58" s="90"/>
      <c r="F58" s="86"/>
      <c r="G58" s="86"/>
      <c r="H58" s="174">
        <v>1</v>
      </c>
      <c r="I58" s="83" t="e">
        <f>_xll.qlCallability("Kuendigungstermin"&amp;Cashflows!G58,H58,"Clean","Call",G58,,Trigger)</f>
        <v>#NUM!</v>
      </c>
      <c r="J58" s="73" t="e">
        <f ca="1"/>
        <v>#N/A</v>
      </c>
      <c r="K58" s="75" t="e">
        <f ca="1"/>
        <v>#N/A</v>
      </c>
      <c r="L58" s="75" t="e">
        <f ca="1"/>
        <v>#N/A</v>
      </c>
      <c r="M58" s="73" t="e">
        <f ca="1"/>
        <v>#N/A</v>
      </c>
      <c r="N58" s="73" t="e">
        <f ca="1"/>
        <v>#N/A</v>
      </c>
      <c r="O58" s="52" t="e">
        <f ca="1"/>
        <v>#N/A</v>
      </c>
      <c r="P58" s="52" t="e">
        <f ca="1"/>
        <v>#N/A</v>
      </c>
      <c r="Q58" s="52" t="e">
        <f ca="1"/>
        <v>#N/A</v>
      </c>
      <c r="R58" s="73" t="e">
        <f ca="1"/>
        <v>#N/A</v>
      </c>
      <c r="S58" s="52" t="e">
        <f ca="1"/>
        <v>#N/A</v>
      </c>
      <c r="T58" s="75" t="e">
        <f ca="1"/>
        <v>#N/A</v>
      </c>
      <c r="U58" s="78" t="e">
        <f ca="1"/>
        <v>#N/A</v>
      </c>
      <c r="V58" s="78" t="e">
        <f ca="1"/>
        <v>#N/A</v>
      </c>
      <c r="W58" s="78" t="e">
        <f ca="1"/>
        <v>#N/A</v>
      </c>
      <c r="X58" s="78" t="e">
        <f ca="1"/>
        <v>#N/A</v>
      </c>
      <c r="Y58" s="78" t="e">
        <f ca="1"/>
        <v>#N/A</v>
      </c>
      <c r="Z58" s="78" t="e">
        <f ca="1"/>
        <v>#N/A</v>
      </c>
      <c r="AA58" s="52" t="e">
        <f ca="1"/>
        <v>#N/A</v>
      </c>
      <c r="AB58" s="52" t="e">
        <f ca="1"/>
        <v>#N/A</v>
      </c>
      <c r="AC58" s="52" t="e">
        <f ca="1"/>
        <v>#N/A</v>
      </c>
    </row>
    <row r="59" spans="1:29" ht="15" thickBot="1">
      <c r="A59" s="81"/>
      <c r="B59" s="81"/>
      <c r="C59" s="86"/>
      <c r="D59" s="91"/>
      <c r="E59" s="90"/>
      <c r="F59" s="86"/>
      <c r="G59" s="86"/>
      <c r="H59" s="174">
        <v>1</v>
      </c>
      <c r="I59" s="83" t="e">
        <f>_xll.qlCallability("Kuendigungstermin"&amp;Cashflows!G59,H59,"Clean","Call",G59,,Trigger)</f>
        <v>#NUM!</v>
      </c>
      <c r="J59" s="73" t="e">
        <f ca="1"/>
        <v>#N/A</v>
      </c>
      <c r="K59" s="75" t="e">
        <f ca="1"/>
        <v>#N/A</v>
      </c>
      <c r="L59" s="75" t="e">
        <f ca="1"/>
        <v>#N/A</v>
      </c>
      <c r="M59" s="73" t="e">
        <f ca="1"/>
        <v>#N/A</v>
      </c>
      <c r="N59" s="73" t="e">
        <f ca="1"/>
        <v>#N/A</v>
      </c>
      <c r="O59" s="52" t="e">
        <f ca="1"/>
        <v>#N/A</v>
      </c>
      <c r="P59" s="52" t="e">
        <f ca="1"/>
        <v>#N/A</v>
      </c>
      <c r="Q59" s="52" t="e">
        <f ca="1"/>
        <v>#N/A</v>
      </c>
      <c r="R59" s="73" t="e">
        <f ca="1"/>
        <v>#N/A</v>
      </c>
      <c r="S59" s="52" t="e">
        <f ca="1"/>
        <v>#N/A</v>
      </c>
      <c r="T59" s="75" t="e">
        <f ca="1"/>
        <v>#N/A</v>
      </c>
      <c r="U59" s="78" t="e">
        <f ca="1"/>
        <v>#N/A</v>
      </c>
      <c r="V59" s="78" t="e">
        <f ca="1"/>
        <v>#N/A</v>
      </c>
      <c r="W59" s="78" t="e">
        <f ca="1"/>
        <v>#N/A</v>
      </c>
      <c r="X59" s="78" t="e">
        <f ca="1"/>
        <v>#N/A</v>
      </c>
      <c r="Y59" s="78" t="e">
        <f ca="1"/>
        <v>#N/A</v>
      </c>
      <c r="Z59" s="78" t="e">
        <f ca="1"/>
        <v>#N/A</v>
      </c>
      <c r="AA59" s="52" t="e">
        <f ca="1"/>
        <v>#N/A</v>
      </c>
      <c r="AB59" s="52" t="e">
        <f ca="1"/>
        <v>#N/A</v>
      </c>
      <c r="AC59" s="52" t="e">
        <f ca="1"/>
        <v>#N/A</v>
      </c>
    </row>
    <row r="60" spans="1:29" ht="15" thickBot="1">
      <c r="A60" s="81"/>
      <c r="B60" s="81"/>
      <c r="C60" s="86"/>
      <c r="D60" s="91"/>
      <c r="E60" s="90"/>
      <c r="F60" s="86"/>
      <c r="G60" s="86"/>
      <c r="H60" s="174">
        <v>1</v>
      </c>
      <c r="I60" s="83" t="e">
        <f>_xll.qlCallability("Kuendigungstermin"&amp;Cashflows!G60,H60,"Clean","Call",G60,,Trigger)</f>
        <v>#NUM!</v>
      </c>
      <c r="J60" s="73" t="e">
        <f ca="1"/>
        <v>#N/A</v>
      </c>
      <c r="K60" s="75" t="e">
        <f ca="1"/>
        <v>#N/A</v>
      </c>
      <c r="L60" s="75" t="e">
        <f ca="1"/>
        <v>#N/A</v>
      </c>
      <c r="M60" s="73" t="e">
        <f ca="1"/>
        <v>#N/A</v>
      </c>
      <c r="N60" s="73" t="e">
        <f ca="1"/>
        <v>#N/A</v>
      </c>
      <c r="O60" s="52" t="e">
        <f ca="1"/>
        <v>#N/A</v>
      </c>
      <c r="P60" s="52" t="e">
        <f ca="1"/>
        <v>#N/A</v>
      </c>
      <c r="Q60" s="52" t="e">
        <f ca="1"/>
        <v>#N/A</v>
      </c>
      <c r="R60" s="73" t="e">
        <f ca="1"/>
        <v>#N/A</v>
      </c>
      <c r="S60" s="52" t="e">
        <f ca="1"/>
        <v>#N/A</v>
      </c>
      <c r="T60" s="75" t="e">
        <f ca="1"/>
        <v>#N/A</v>
      </c>
      <c r="U60" s="78" t="e">
        <f ca="1"/>
        <v>#N/A</v>
      </c>
      <c r="V60" s="78" t="e">
        <f ca="1"/>
        <v>#N/A</v>
      </c>
      <c r="W60" s="78" t="e">
        <f ca="1"/>
        <v>#N/A</v>
      </c>
      <c r="X60" s="78" t="e">
        <f ca="1"/>
        <v>#N/A</v>
      </c>
      <c r="Y60" s="78" t="e">
        <f ca="1"/>
        <v>#N/A</v>
      </c>
      <c r="Z60" s="78" t="e">
        <f ca="1"/>
        <v>#N/A</v>
      </c>
      <c r="AA60" s="52" t="e">
        <f ca="1"/>
        <v>#N/A</v>
      </c>
      <c r="AB60" s="52" t="e">
        <f ca="1"/>
        <v>#N/A</v>
      </c>
      <c r="AC60" s="52" t="e">
        <f ca="1"/>
        <v>#N/A</v>
      </c>
    </row>
    <row r="61" spans="1:29" ht="15" thickBot="1">
      <c r="A61" s="81"/>
      <c r="B61" s="81"/>
      <c r="C61" s="86"/>
      <c r="D61" s="91"/>
      <c r="E61" s="90"/>
      <c r="F61" s="86"/>
      <c r="G61" s="86"/>
      <c r="H61" s="174">
        <v>1</v>
      </c>
      <c r="I61" s="83" t="e">
        <f>_xll.qlCallability("Kuendigungstermin"&amp;Cashflows!G61,H61,"Clean","Call",G61,,Trigger)</f>
        <v>#NUM!</v>
      </c>
      <c r="J61" s="73" t="e">
        <f ca="1"/>
        <v>#N/A</v>
      </c>
      <c r="K61" s="75" t="e">
        <f ca="1"/>
        <v>#N/A</v>
      </c>
      <c r="L61" s="75" t="e">
        <f ca="1"/>
        <v>#N/A</v>
      </c>
      <c r="M61" s="73" t="e">
        <f ca="1"/>
        <v>#N/A</v>
      </c>
      <c r="N61" s="73" t="e">
        <f ca="1"/>
        <v>#N/A</v>
      </c>
      <c r="O61" s="52" t="e">
        <f ca="1"/>
        <v>#N/A</v>
      </c>
      <c r="P61" s="52" t="e">
        <f ca="1"/>
        <v>#N/A</v>
      </c>
      <c r="Q61" s="52" t="e">
        <f ca="1"/>
        <v>#N/A</v>
      </c>
      <c r="R61" s="73" t="e">
        <f ca="1"/>
        <v>#N/A</v>
      </c>
      <c r="S61" s="52" t="e">
        <f ca="1"/>
        <v>#N/A</v>
      </c>
      <c r="T61" s="75" t="e">
        <f ca="1"/>
        <v>#N/A</v>
      </c>
      <c r="U61" s="78" t="e">
        <f ca="1"/>
        <v>#N/A</v>
      </c>
      <c r="V61" s="78" t="e">
        <f ca="1"/>
        <v>#N/A</v>
      </c>
      <c r="W61" s="78" t="e">
        <f ca="1"/>
        <v>#N/A</v>
      </c>
      <c r="X61" s="78" t="e">
        <f ca="1"/>
        <v>#N/A</v>
      </c>
      <c r="Y61" s="78" t="e">
        <f ca="1"/>
        <v>#N/A</v>
      </c>
      <c r="Z61" s="78" t="e">
        <f ca="1"/>
        <v>#N/A</v>
      </c>
      <c r="AA61" s="52" t="e">
        <f ca="1"/>
        <v>#N/A</v>
      </c>
      <c r="AB61" s="52" t="e">
        <f ca="1"/>
        <v>#N/A</v>
      </c>
      <c r="AC61" s="52" t="e">
        <f ca="1"/>
        <v>#N/A</v>
      </c>
    </row>
    <row r="62" spans="1:29" ht="15" thickBot="1">
      <c r="A62" s="81"/>
      <c r="B62" s="81"/>
      <c r="C62" s="86"/>
      <c r="D62" s="91"/>
      <c r="E62" s="90"/>
      <c r="F62" s="86"/>
      <c r="G62" s="86"/>
      <c r="H62" s="174">
        <v>1</v>
      </c>
      <c r="I62" s="83" t="e">
        <f>_xll.qlCallability("Kuendigungstermin"&amp;Cashflows!G62,H62,"Clean","Call",G62,,Trigger)</f>
        <v>#NUM!</v>
      </c>
      <c r="J62" s="73" t="e">
        <f ca="1"/>
        <v>#N/A</v>
      </c>
      <c r="K62" s="75" t="e">
        <f ca="1"/>
        <v>#N/A</v>
      </c>
      <c r="L62" s="75" t="e">
        <f ca="1"/>
        <v>#N/A</v>
      </c>
      <c r="M62" s="73" t="e">
        <f ca="1"/>
        <v>#N/A</v>
      </c>
      <c r="N62" s="73" t="e">
        <f ca="1"/>
        <v>#N/A</v>
      </c>
      <c r="O62" s="52" t="e">
        <f ca="1"/>
        <v>#N/A</v>
      </c>
      <c r="P62" s="52" t="e">
        <f ca="1"/>
        <v>#N/A</v>
      </c>
      <c r="Q62" s="52" t="e">
        <f ca="1"/>
        <v>#N/A</v>
      </c>
      <c r="R62" s="73" t="e">
        <f ca="1"/>
        <v>#N/A</v>
      </c>
      <c r="S62" s="52" t="e">
        <f ca="1"/>
        <v>#N/A</v>
      </c>
      <c r="T62" s="75" t="e">
        <f ca="1"/>
        <v>#N/A</v>
      </c>
      <c r="U62" s="78" t="e">
        <f ca="1"/>
        <v>#N/A</v>
      </c>
      <c r="V62" s="78" t="e">
        <f ca="1"/>
        <v>#N/A</v>
      </c>
      <c r="W62" s="78" t="e">
        <f ca="1"/>
        <v>#N/A</v>
      </c>
      <c r="X62" s="78" t="e">
        <f ca="1"/>
        <v>#N/A</v>
      </c>
      <c r="Y62" s="78" t="e">
        <f ca="1"/>
        <v>#N/A</v>
      </c>
      <c r="Z62" s="78" t="e">
        <f ca="1"/>
        <v>#N/A</v>
      </c>
      <c r="AA62" s="52" t="e">
        <f ca="1"/>
        <v>#N/A</v>
      </c>
      <c r="AB62" s="52" t="e">
        <f ca="1"/>
        <v>#N/A</v>
      </c>
      <c r="AC62" s="52" t="e">
        <f ca="1"/>
        <v>#N/A</v>
      </c>
    </row>
    <row r="63" spans="1:29" ht="15" thickBot="1">
      <c r="A63" s="81"/>
      <c r="B63" s="81"/>
      <c r="C63" s="86"/>
      <c r="D63" s="91"/>
      <c r="E63" s="90"/>
      <c r="F63" s="86"/>
      <c r="G63" s="86"/>
      <c r="H63" s="174">
        <v>1</v>
      </c>
      <c r="I63" s="83" t="e">
        <f>_xll.qlCallability("Kuendigungstermin"&amp;Cashflows!G63,H63,"Clean","Call",G63,,Trigger)</f>
        <v>#NUM!</v>
      </c>
      <c r="J63" s="73" t="e">
        <f ca="1"/>
        <v>#N/A</v>
      </c>
      <c r="K63" s="75" t="e">
        <f ca="1"/>
        <v>#N/A</v>
      </c>
      <c r="L63" s="75" t="e">
        <f ca="1"/>
        <v>#N/A</v>
      </c>
      <c r="M63" s="73" t="e">
        <f ca="1"/>
        <v>#N/A</v>
      </c>
      <c r="N63" s="73" t="e">
        <f ca="1"/>
        <v>#N/A</v>
      </c>
      <c r="O63" s="52" t="e">
        <f ca="1"/>
        <v>#N/A</v>
      </c>
      <c r="P63" s="52" t="e">
        <f ca="1"/>
        <v>#N/A</v>
      </c>
      <c r="Q63" s="52" t="e">
        <f ca="1"/>
        <v>#N/A</v>
      </c>
      <c r="R63" s="73" t="e">
        <f ca="1"/>
        <v>#N/A</v>
      </c>
      <c r="S63" s="52" t="e">
        <f ca="1"/>
        <v>#N/A</v>
      </c>
      <c r="T63" s="75" t="e">
        <f ca="1"/>
        <v>#N/A</v>
      </c>
      <c r="U63" s="78" t="e">
        <f ca="1"/>
        <v>#N/A</v>
      </c>
      <c r="V63" s="78" t="e">
        <f ca="1"/>
        <v>#N/A</v>
      </c>
      <c r="W63" s="78" t="e">
        <f ca="1"/>
        <v>#N/A</v>
      </c>
      <c r="X63" s="78" t="e">
        <f ca="1"/>
        <v>#N/A</v>
      </c>
      <c r="Y63" s="78" t="e">
        <f ca="1"/>
        <v>#N/A</v>
      </c>
      <c r="Z63" s="78" t="e">
        <f ca="1"/>
        <v>#N/A</v>
      </c>
      <c r="AA63" s="52" t="e">
        <f ca="1"/>
        <v>#N/A</v>
      </c>
      <c r="AB63" s="52" t="e">
        <f ca="1"/>
        <v>#N/A</v>
      </c>
      <c r="AC63" s="52" t="e">
        <f ca="1"/>
        <v>#N/A</v>
      </c>
    </row>
    <row r="64" spans="1:29" ht="15" thickBot="1">
      <c r="A64" s="81"/>
      <c r="B64" s="81"/>
      <c r="C64" s="86"/>
      <c r="D64" s="91"/>
      <c r="E64" s="90"/>
      <c r="F64" s="86"/>
      <c r="G64" s="86"/>
      <c r="H64" s="174">
        <v>1</v>
      </c>
      <c r="I64" s="83" t="e">
        <f>_xll.qlCallability("Kuendigungstermin"&amp;Cashflows!G64,H64,"Clean","Call",G64,,Trigger)</f>
        <v>#NUM!</v>
      </c>
      <c r="J64" s="73" t="e">
        <f ca="1"/>
        <v>#N/A</v>
      </c>
      <c r="K64" s="75" t="e">
        <f ca="1"/>
        <v>#N/A</v>
      </c>
      <c r="L64" s="75" t="e">
        <f ca="1"/>
        <v>#N/A</v>
      </c>
      <c r="M64" s="73" t="e">
        <f ca="1"/>
        <v>#N/A</v>
      </c>
      <c r="N64" s="73" t="e">
        <f ca="1"/>
        <v>#N/A</v>
      </c>
      <c r="O64" s="52" t="e">
        <f ca="1"/>
        <v>#N/A</v>
      </c>
      <c r="P64" s="52" t="e">
        <f ca="1"/>
        <v>#N/A</v>
      </c>
      <c r="Q64" s="52" t="e">
        <f ca="1"/>
        <v>#N/A</v>
      </c>
      <c r="R64" s="73" t="e">
        <f ca="1"/>
        <v>#N/A</v>
      </c>
      <c r="S64" s="52" t="e">
        <f ca="1"/>
        <v>#N/A</v>
      </c>
      <c r="T64" s="75" t="e">
        <f ca="1"/>
        <v>#N/A</v>
      </c>
      <c r="U64" s="78" t="e">
        <f ca="1"/>
        <v>#N/A</v>
      </c>
      <c r="V64" s="78" t="e">
        <f ca="1"/>
        <v>#N/A</v>
      </c>
      <c r="W64" s="78" t="e">
        <f ca="1"/>
        <v>#N/A</v>
      </c>
      <c r="X64" s="78" t="e">
        <f ca="1"/>
        <v>#N/A</v>
      </c>
      <c r="Y64" s="78" t="e">
        <f ca="1"/>
        <v>#N/A</v>
      </c>
      <c r="Z64" s="78" t="e">
        <f ca="1"/>
        <v>#N/A</v>
      </c>
      <c r="AA64" s="52" t="e">
        <f ca="1"/>
        <v>#N/A</v>
      </c>
      <c r="AB64" s="52" t="e">
        <f ca="1"/>
        <v>#N/A</v>
      </c>
      <c r="AC64" s="52" t="e">
        <f ca="1"/>
        <v>#N/A</v>
      </c>
    </row>
    <row r="65" spans="1:29" ht="15" thickBot="1">
      <c r="A65" s="81"/>
      <c r="B65" s="81"/>
      <c r="C65" s="86"/>
      <c r="D65" s="91"/>
      <c r="E65" s="90"/>
      <c r="F65" s="86"/>
      <c r="G65" s="86"/>
      <c r="H65" s="174">
        <v>1</v>
      </c>
      <c r="I65" s="83" t="e">
        <f>_xll.qlCallability("Kuendigungstermin"&amp;Cashflows!G65,H65,"Clean","Call",G65,,Trigger)</f>
        <v>#NUM!</v>
      </c>
      <c r="J65" s="73" t="e">
        <f ca="1"/>
        <v>#N/A</v>
      </c>
      <c r="K65" s="75" t="e">
        <f ca="1"/>
        <v>#N/A</v>
      </c>
      <c r="L65" s="75" t="e">
        <f ca="1"/>
        <v>#N/A</v>
      </c>
      <c r="M65" s="73" t="e">
        <f ca="1"/>
        <v>#N/A</v>
      </c>
      <c r="N65" s="73" t="e">
        <f ca="1"/>
        <v>#N/A</v>
      </c>
      <c r="O65" s="52" t="e">
        <f ca="1"/>
        <v>#N/A</v>
      </c>
      <c r="P65" s="52" t="e">
        <f ca="1"/>
        <v>#N/A</v>
      </c>
      <c r="Q65" s="52" t="e">
        <f ca="1"/>
        <v>#N/A</v>
      </c>
      <c r="R65" s="73" t="e">
        <f ca="1"/>
        <v>#N/A</v>
      </c>
      <c r="S65" s="52" t="e">
        <f ca="1"/>
        <v>#N/A</v>
      </c>
      <c r="T65" s="75" t="e">
        <f ca="1"/>
        <v>#N/A</v>
      </c>
      <c r="U65" s="78" t="e">
        <f ca="1"/>
        <v>#N/A</v>
      </c>
      <c r="V65" s="78" t="e">
        <f ca="1"/>
        <v>#N/A</v>
      </c>
      <c r="W65" s="78" t="e">
        <f ca="1"/>
        <v>#N/A</v>
      </c>
      <c r="X65" s="78" t="e">
        <f ca="1"/>
        <v>#N/A</v>
      </c>
      <c r="Y65" s="78" t="e">
        <f ca="1"/>
        <v>#N/A</v>
      </c>
      <c r="Z65" s="78" t="e">
        <f ca="1"/>
        <v>#N/A</v>
      </c>
      <c r="AA65" s="52" t="e">
        <f ca="1"/>
        <v>#N/A</v>
      </c>
      <c r="AB65" s="52" t="e">
        <f ca="1"/>
        <v>#N/A</v>
      </c>
      <c r="AC65" s="52" t="e">
        <f ca="1"/>
        <v>#N/A</v>
      </c>
    </row>
    <row r="66" spans="1:29" ht="15" thickBot="1">
      <c r="A66" s="81"/>
      <c r="B66" s="81"/>
      <c r="C66" s="86"/>
      <c r="D66" s="91"/>
      <c r="E66" s="90"/>
      <c r="F66" s="86"/>
      <c r="G66" s="86"/>
      <c r="H66" s="174">
        <v>1</v>
      </c>
      <c r="I66" s="83" t="e">
        <f>_xll.qlCallability("Kuendigungstermin"&amp;Cashflows!G66,H66,"Clean","Call",G66,,Trigger)</f>
        <v>#NUM!</v>
      </c>
      <c r="J66" s="73" t="e">
        <f ca="1"/>
        <v>#N/A</v>
      </c>
      <c r="K66" s="75" t="e">
        <f ca="1"/>
        <v>#N/A</v>
      </c>
      <c r="L66" s="75" t="e">
        <f ca="1"/>
        <v>#N/A</v>
      </c>
      <c r="M66" s="73" t="e">
        <f ca="1"/>
        <v>#N/A</v>
      </c>
      <c r="N66" s="73" t="e">
        <f ca="1"/>
        <v>#N/A</v>
      </c>
      <c r="O66" s="52" t="e">
        <f ca="1"/>
        <v>#N/A</v>
      </c>
      <c r="P66" s="52" t="e">
        <f ca="1"/>
        <v>#N/A</v>
      </c>
      <c r="Q66" s="52" t="e">
        <f ca="1"/>
        <v>#N/A</v>
      </c>
      <c r="R66" s="73" t="e">
        <f ca="1"/>
        <v>#N/A</v>
      </c>
      <c r="S66" s="52" t="e">
        <f ca="1"/>
        <v>#N/A</v>
      </c>
      <c r="T66" s="75" t="e">
        <f ca="1"/>
        <v>#N/A</v>
      </c>
      <c r="U66" s="78" t="e">
        <f ca="1"/>
        <v>#N/A</v>
      </c>
      <c r="V66" s="78" t="e">
        <f ca="1"/>
        <v>#N/A</v>
      </c>
      <c r="W66" s="78" t="e">
        <f ca="1"/>
        <v>#N/A</v>
      </c>
      <c r="X66" s="78" t="e">
        <f ca="1"/>
        <v>#N/A</v>
      </c>
      <c r="Y66" s="78" t="e">
        <f ca="1"/>
        <v>#N/A</v>
      </c>
      <c r="Z66" s="78" t="e">
        <f ca="1"/>
        <v>#N/A</v>
      </c>
      <c r="AA66" s="52" t="e">
        <f ca="1"/>
        <v>#N/A</v>
      </c>
      <c r="AB66" s="52" t="e">
        <f ca="1"/>
        <v>#N/A</v>
      </c>
      <c r="AC66" s="52" t="e">
        <f ca="1"/>
        <v>#N/A</v>
      </c>
    </row>
    <row r="67" spans="1:29" ht="15" thickBot="1">
      <c r="A67" s="81"/>
      <c r="B67" s="81"/>
      <c r="C67" s="86"/>
      <c r="D67" s="91"/>
      <c r="E67" s="90"/>
      <c r="F67" s="86"/>
      <c r="G67" s="86"/>
      <c r="H67" s="174">
        <v>1</v>
      </c>
      <c r="I67" s="83" t="e">
        <f>_xll.qlCallability("Kuendigungstermin"&amp;Cashflows!G67,H67,"Clean","Call",G67,,Trigger)</f>
        <v>#NUM!</v>
      </c>
      <c r="J67" s="73" t="e">
        <f ca="1"/>
        <v>#N/A</v>
      </c>
      <c r="K67" s="75" t="e">
        <f ca="1"/>
        <v>#N/A</v>
      </c>
      <c r="L67" s="75" t="e">
        <f ca="1"/>
        <v>#N/A</v>
      </c>
      <c r="M67" s="73" t="e">
        <f ca="1"/>
        <v>#N/A</v>
      </c>
      <c r="N67" s="73" t="e">
        <f ca="1"/>
        <v>#N/A</v>
      </c>
      <c r="O67" s="52" t="e">
        <f ca="1"/>
        <v>#N/A</v>
      </c>
      <c r="P67" s="52" t="e">
        <f ca="1"/>
        <v>#N/A</v>
      </c>
      <c r="Q67" s="52" t="e">
        <f ca="1"/>
        <v>#N/A</v>
      </c>
      <c r="R67" s="73" t="e">
        <f ca="1"/>
        <v>#N/A</v>
      </c>
      <c r="S67" s="52" t="e">
        <f ca="1"/>
        <v>#N/A</v>
      </c>
      <c r="T67" s="75" t="e">
        <f ca="1"/>
        <v>#N/A</v>
      </c>
      <c r="U67" s="78" t="e">
        <f ca="1"/>
        <v>#N/A</v>
      </c>
      <c r="V67" s="78" t="e">
        <f ca="1"/>
        <v>#N/A</v>
      </c>
      <c r="W67" s="78" t="e">
        <f ca="1"/>
        <v>#N/A</v>
      </c>
      <c r="X67" s="78" t="e">
        <f ca="1"/>
        <v>#N/A</v>
      </c>
      <c r="Y67" s="78" t="e">
        <f ca="1"/>
        <v>#N/A</v>
      </c>
      <c r="Z67" s="78" t="e">
        <f ca="1"/>
        <v>#N/A</v>
      </c>
      <c r="AA67" s="52" t="e">
        <f ca="1"/>
        <v>#N/A</v>
      </c>
      <c r="AB67" s="52" t="e">
        <f ca="1"/>
        <v>#N/A</v>
      </c>
      <c r="AC67" s="52" t="e">
        <f ca="1"/>
        <v>#N/A</v>
      </c>
    </row>
    <row r="68" spans="1:29" ht="15" thickBot="1">
      <c r="A68" s="81"/>
      <c r="B68" s="81"/>
      <c r="C68" s="86"/>
      <c r="D68" s="91"/>
      <c r="E68" s="90"/>
      <c r="F68" s="86"/>
      <c r="G68" s="86"/>
      <c r="H68" s="174">
        <v>1</v>
      </c>
      <c r="I68" s="83" t="e">
        <f>_xll.qlCallability("Kuendigungstermin"&amp;Cashflows!G68,H68,"Clean","Call",G68,,Trigger)</f>
        <v>#NUM!</v>
      </c>
      <c r="J68" s="73" t="e">
        <f ca="1"/>
        <v>#N/A</v>
      </c>
      <c r="K68" s="75" t="e">
        <f ca="1"/>
        <v>#N/A</v>
      </c>
      <c r="L68" s="75" t="e">
        <f ca="1"/>
        <v>#N/A</v>
      </c>
      <c r="M68" s="73" t="e">
        <f ca="1"/>
        <v>#N/A</v>
      </c>
      <c r="N68" s="73" t="e">
        <f ca="1"/>
        <v>#N/A</v>
      </c>
      <c r="O68" s="52" t="e">
        <f ca="1"/>
        <v>#N/A</v>
      </c>
      <c r="P68" s="52" t="e">
        <f ca="1"/>
        <v>#N/A</v>
      </c>
      <c r="Q68" s="52" t="e">
        <f ca="1"/>
        <v>#N/A</v>
      </c>
      <c r="R68" s="73" t="e">
        <f ca="1"/>
        <v>#N/A</v>
      </c>
      <c r="S68" s="52" t="e">
        <f ca="1"/>
        <v>#N/A</v>
      </c>
      <c r="T68" s="75" t="e">
        <f ca="1"/>
        <v>#N/A</v>
      </c>
      <c r="U68" s="78" t="e">
        <f ca="1"/>
        <v>#N/A</v>
      </c>
      <c r="V68" s="78" t="e">
        <f ca="1"/>
        <v>#N/A</v>
      </c>
      <c r="W68" s="78" t="e">
        <f ca="1"/>
        <v>#N/A</v>
      </c>
      <c r="X68" s="78" t="e">
        <f ca="1"/>
        <v>#N/A</v>
      </c>
      <c r="Y68" s="78" t="e">
        <f ca="1"/>
        <v>#N/A</v>
      </c>
      <c r="Z68" s="78" t="e">
        <f ca="1"/>
        <v>#N/A</v>
      </c>
      <c r="AA68" s="52" t="e">
        <f ca="1"/>
        <v>#N/A</v>
      </c>
      <c r="AB68" s="52" t="e">
        <f ca="1"/>
        <v>#N/A</v>
      </c>
      <c r="AC68" s="52" t="e">
        <f ca="1"/>
        <v>#N/A</v>
      </c>
    </row>
    <row r="69" spans="1:29" ht="15" thickBot="1">
      <c r="A69" s="81"/>
      <c r="B69" s="81"/>
      <c r="C69" s="86"/>
      <c r="D69" s="91"/>
      <c r="E69" s="90"/>
      <c r="F69" s="86"/>
      <c r="G69" s="86"/>
      <c r="H69" s="174">
        <v>1</v>
      </c>
      <c r="I69" s="83" t="e">
        <f>_xll.qlCallability("Kuendigungstermin"&amp;Cashflows!G69,H69,"Clean","Call",G69,,Trigger)</f>
        <v>#NUM!</v>
      </c>
      <c r="J69" s="73" t="e">
        <f ca="1"/>
        <v>#N/A</v>
      </c>
      <c r="K69" s="75" t="e">
        <f ca="1"/>
        <v>#N/A</v>
      </c>
      <c r="L69" s="75" t="e">
        <f ca="1"/>
        <v>#N/A</v>
      </c>
      <c r="M69" s="73" t="e">
        <f ca="1"/>
        <v>#N/A</v>
      </c>
      <c r="N69" s="73" t="e">
        <f ca="1"/>
        <v>#N/A</v>
      </c>
      <c r="O69" s="52" t="e">
        <f ca="1"/>
        <v>#N/A</v>
      </c>
      <c r="P69" s="52" t="e">
        <f ca="1"/>
        <v>#N/A</v>
      </c>
      <c r="Q69" s="52" t="e">
        <f ca="1"/>
        <v>#N/A</v>
      </c>
      <c r="R69" s="73" t="e">
        <f ca="1"/>
        <v>#N/A</v>
      </c>
      <c r="S69" s="52" t="e">
        <f ca="1"/>
        <v>#N/A</v>
      </c>
      <c r="T69" s="75" t="e">
        <f ca="1"/>
        <v>#N/A</v>
      </c>
      <c r="U69" s="78" t="e">
        <f ca="1"/>
        <v>#N/A</v>
      </c>
      <c r="V69" s="78" t="e">
        <f ca="1"/>
        <v>#N/A</v>
      </c>
      <c r="W69" s="78" t="e">
        <f ca="1"/>
        <v>#N/A</v>
      </c>
      <c r="X69" s="78" t="e">
        <f ca="1"/>
        <v>#N/A</v>
      </c>
      <c r="Y69" s="78" t="e">
        <f ca="1"/>
        <v>#N/A</v>
      </c>
      <c r="Z69" s="78" t="e">
        <f ca="1"/>
        <v>#N/A</v>
      </c>
      <c r="AA69" s="52" t="e">
        <f ca="1"/>
        <v>#N/A</v>
      </c>
      <c r="AB69" s="52" t="e">
        <f ca="1"/>
        <v>#N/A</v>
      </c>
      <c r="AC69" s="52" t="e">
        <f ca="1"/>
        <v>#N/A</v>
      </c>
    </row>
    <row r="70" spans="1:29" ht="15" thickBot="1">
      <c r="A70" s="81"/>
      <c r="B70" s="81"/>
      <c r="C70" s="86"/>
      <c r="D70" s="91"/>
      <c r="E70" s="90"/>
      <c r="F70" s="86"/>
      <c r="G70" s="86"/>
      <c r="H70" s="174">
        <v>1</v>
      </c>
      <c r="I70" s="83" t="e">
        <f>_xll.qlCallability("Kuendigungstermin"&amp;Cashflows!G70,H70,"Clean","Call",G70,,Trigger)</f>
        <v>#NUM!</v>
      </c>
      <c r="J70" s="73" t="e">
        <f ca="1"/>
        <v>#N/A</v>
      </c>
      <c r="K70" s="75" t="e">
        <f ca="1"/>
        <v>#N/A</v>
      </c>
      <c r="L70" s="75" t="e">
        <f ca="1"/>
        <v>#N/A</v>
      </c>
      <c r="M70" s="73" t="e">
        <f ca="1"/>
        <v>#N/A</v>
      </c>
      <c r="N70" s="73" t="e">
        <f ca="1"/>
        <v>#N/A</v>
      </c>
      <c r="O70" s="52" t="e">
        <f ca="1"/>
        <v>#N/A</v>
      </c>
      <c r="P70" s="52" t="e">
        <f ca="1"/>
        <v>#N/A</v>
      </c>
      <c r="Q70" s="52" t="e">
        <f ca="1"/>
        <v>#N/A</v>
      </c>
      <c r="R70" s="73" t="e">
        <f ca="1"/>
        <v>#N/A</v>
      </c>
      <c r="S70" s="52" t="e">
        <f ca="1"/>
        <v>#N/A</v>
      </c>
      <c r="T70" s="75" t="e">
        <f ca="1"/>
        <v>#N/A</v>
      </c>
      <c r="U70" s="78" t="e">
        <f ca="1"/>
        <v>#N/A</v>
      </c>
      <c r="V70" s="78" t="e">
        <f ca="1"/>
        <v>#N/A</v>
      </c>
      <c r="W70" s="78" t="e">
        <f ca="1"/>
        <v>#N/A</v>
      </c>
      <c r="X70" s="78" t="e">
        <f ca="1"/>
        <v>#N/A</v>
      </c>
      <c r="Y70" s="78" t="e">
        <f ca="1"/>
        <v>#N/A</v>
      </c>
      <c r="Z70" s="78" t="e">
        <f ca="1"/>
        <v>#N/A</v>
      </c>
      <c r="AA70" s="52" t="e">
        <f ca="1"/>
        <v>#N/A</v>
      </c>
      <c r="AB70" s="52" t="e">
        <f ca="1"/>
        <v>#N/A</v>
      </c>
      <c r="AC70" s="52" t="e">
        <f ca="1"/>
        <v>#N/A</v>
      </c>
    </row>
    <row r="71" spans="1:29" ht="15" thickBot="1">
      <c r="A71" s="81"/>
      <c r="B71" s="81"/>
      <c r="C71" s="86"/>
      <c r="D71" s="91"/>
      <c r="E71" s="90"/>
      <c r="F71" s="86"/>
      <c r="G71" s="86"/>
      <c r="H71" s="174">
        <v>1</v>
      </c>
      <c r="I71" s="83" t="e">
        <f>_xll.qlCallability("Kuendigungstermin"&amp;Cashflows!G71,H71,"Clean","Call",G71,,Trigger)</f>
        <v>#NUM!</v>
      </c>
      <c r="J71" s="73" t="e">
        <f ca="1"/>
        <v>#N/A</v>
      </c>
      <c r="K71" s="75" t="e">
        <f ca="1"/>
        <v>#N/A</v>
      </c>
      <c r="L71" s="75" t="e">
        <f ca="1"/>
        <v>#N/A</v>
      </c>
      <c r="M71" s="73" t="e">
        <f ca="1"/>
        <v>#N/A</v>
      </c>
      <c r="N71" s="73" t="e">
        <f ca="1"/>
        <v>#N/A</v>
      </c>
      <c r="O71" s="52" t="e">
        <f ca="1"/>
        <v>#N/A</v>
      </c>
      <c r="P71" s="52" t="e">
        <f ca="1"/>
        <v>#N/A</v>
      </c>
      <c r="Q71" s="52" t="e">
        <f ca="1"/>
        <v>#N/A</v>
      </c>
      <c r="R71" s="73" t="e">
        <f ca="1"/>
        <v>#N/A</v>
      </c>
      <c r="S71" s="52" t="e">
        <f ca="1"/>
        <v>#N/A</v>
      </c>
      <c r="T71" s="75" t="e">
        <f ca="1"/>
        <v>#N/A</v>
      </c>
      <c r="U71" s="78" t="e">
        <f ca="1"/>
        <v>#N/A</v>
      </c>
      <c r="V71" s="78" t="e">
        <f ca="1"/>
        <v>#N/A</v>
      </c>
      <c r="W71" s="78" t="e">
        <f ca="1"/>
        <v>#N/A</v>
      </c>
      <c r="X71" s="78" t="e">
        <f ca="1"/>
        <v>#N/A</v>
      </c>
      <c r="Y71" s="78" t="e">
        <f ca="1"/>
        <v>#N/A</v>
      </c>
      <c r="Z71" s="78" t="e">
        <f ca="1"/>
        <v>#N/A</v>
      </c>
      <c r="AA71" s="52" t="e">
        <f ca="1"/>
        <v>#N/A</v>
      </c>
      <c r="AB71" s="52" t="e">
        <f ca="1"/>
        <v>#N/A</v>
      </c>
      <c r="AC71" s="52" t="e">
        <f ca="1"/>
        <v>#N/A</v>
      </c>
    </row>
    <row r="72" spans="1:29" ht="15" thickBot="1">
      <c r="A72" s="81"/>
      <c r="B72" s="81"/>
      <c r="C72" s="86"/>
      <c r="D72" s="91"/>
      <c r="E72" s="90"/>
      <c r="F72" s="86"/>
      <c r="G72" s="86"/>
      <c r="H72" s="174">
        <v>1</v>
      </c>
      <c r="I72" s="83" t="e">
        <f>_xll.qlCallability("Kuendigungstermin"&amp;Cashflows!G72,H72,"Clean","Call",G72,,Trigger)</f>
        <v>#NUM!</v>
      </c>
      <c r="J72" s="73" t="e">
        <f ca="1"/>
        <v>#N/A</v>
      </c>
      <c r="K72" s="75" t="e">
        <f ca="1"/>
        <v>#N/A</v>
      </c>
      <c r="L72" s="75" t="e">
        <f ca="1"/>
        <v>#N/A</v>
      </c>
      <c r="M72" s="73" t="e">
        <f ca="1"/>
        <v>#N/A</v>
      </c>
      <c r="N72" s="73" t="e">
        <f ca="1"/>
        <v>#N/A</v>
      </c>
      <c r="O72" s="52" t="e">
        <f ca="1"/>
        <v>#N/A</v>
      </c>
      <c r="P72" s="52" t="e">
        <f ca="1"/>
        <v>#N/A</v>
      </c>
      <c r="Q72" s="52" t="e">
        <f ca="1"/>
        <v>#N/A</v>
      </c>
      <c r="R72" s="73" t="e">
        <f ca="1"/>
        <v>#N/A</v>
      </c>
      <c r="S72" s="52" t="e">
        <f ca="1"/>
        <v>#N/A</v>
      </c>
      <c r="T72" s="75" t="e">
        <f ca="1"/>
        <v>#N/A</v>
      </c>
      <c r="U72" s="78" t="e">
        <f ca="1"/>
        <v>#N/A</v>
      </c>
      <c r="V72" s="78" t="e">
        <f ca="1"/>
        <v>#N/A</v>
      </c>
      <c r="W72" s="78" t="e">
        <f ca="1"/>
        <v>#N/A</v>
      </c>
      <c r="X72" s="78" t="e">
        <f ca="1"/>
        <v>#N/A</v>
      </c>
      <c r="Y72" s="78" t="e">
        <f ca="1"/>
        <v>#N/A</v>
      </c>
      <c r="Z72" s="78" t="e">
        <f ca="1"/>
        <v>#N/A</v>
      </c>
      <c r="AA72" s="52" t="e">
        <f ca="1"/>
        <v>#N/A</v>
      </c>
      <c r="AB72" s="52" t="e">
        <f ca="1"/>
        <v>#N/A</v>
      </c>
      <c r="AC72" s="52" t="e">
        <f ca="1"/>
        <v>#N/A</v>
      </c>
    </row>
    <row r="73" spans="1:29" ht="15" thickBot="1">
      <c r="A73" s="81"/>
      <c r="B73" s="81"/>
      <c r="C73" s="86"/>
      <c r="D73" s="91"/>
      <c r="E73" s="90"/>
      <c r="F73" s="86"/>
      <c r="G73" s="86"/>
      <c r="H73" s="174">
        <v>1</v>
      </c>
      <c r="I73" s="83" t="e">
        <f>_xll.qlCallability("Kuendigungstermin"&amp;Cashflows!G73,H73,"Clean","Call",G73,,Trigger)</f>
        <v>#NUM!</v>
      </c>
      <c r="J73" s="73" t="e">
        <f ca="1"/>
        <v>#N/A</v>
      </c>
      <c r="K73" s="75" t="e">
        <f ca="1"/>
        <v>#N/A</v>
      </c>
      <c r="L73" s="75" t="e">
        <f ca="1"/>
        <v>#N/A</v>
      </c>
      <c r="M73" s="73" t="e">
        <f ca="1"/>
        <v>#N/A</v>
      </c>
      <c r="N73" s="73" t="e">
        <f ca="1"/>
        <v>#N/A</v>
      </c>
      <c r="O73" s="52" t="e">
        <f ca="1"/>
        <v>#N/A</v>
      </c>
      <c r="P73" s="52" t="e">
        <f ca="1"/>
        <v>#N/A</v>
      </c>
      <c r="Q73" s="52" t="e">
        <f ca="1"/>
        <v>#N/A</v>
      </c>
      <c r="R73" s="73" t="e">
        <f ca="1"/>
        <v>#N/A</v>
      </c>
      <c r="S73" s="52" t="e">
        <f ca="1"/>
        <v>#N/A</v>
      </c>
      <c r="T73" s="75" t="e">
        <f ca="1"/>
        <v>#N/A</v>
      </c>
      <c r="U73" s="78" t="e">
        <f ca="1"/>
        <v>#N/A</v>
      </c>
      <c r="V73" s="78" t="e">
        <f ca="1"/>
        <v>#N/A</v>
      </c>
      <c r="W73" s="78" t="e">
        <f ca="1"/>
        <v>#N/A</v>
      </c>
      <c r="X73" s="78" t="e">
        <f ca="1"/>
        <v>#N/A</v>
      </c>
      <c r="Y73" s="78" t="e">
        <f ca="1"/>
        <v>#N/A</v>
      </c>
      <c r="Z73" s="78" t="e">
        <f ca="1"/>
        <v>#N/A</v>
      </c>
      <c r="AA73" s="52" t="e">
        <f ca="1"/>
        <v>#N/A</v>
      </c>
      <c r="AB73" s="52" t="e">
        <f ca="1"/>
        <v>#N/A</v>
      </c>
      <c r="AC73" s="52" t="e">
        <f ca="1"/>
        <v>#N/A</v>
      </c>
    </row>
    <row r="74" spans="1:29" ht="15" thickBot="1">
      <c r="A74" s="81"/>
      <c r="B74" s="81"/>
      <c r="C74" s="86"/>
      <c r="D74" s="91"/>
      <c r="E74" s="90"/>
      <c r="F74" s="86"/>
      <c r="G74" s="86"/>
      <c r="H74" s="174">
        <v>1</v>
      </c>
      <c r="I74" s="83" t="e">
        <f>_xll.qlCallability("Kuendigungstermin"&amp;Cashflows!G74,H74,"Clean","Call",G74,,Trigger)</f>
        <v>#NUM!</v>
      </c>
      <c r="J74" s="73" t="e">
        <f ca="1"/>
        <v>#N/A</v>
      </c>
      <c r="K74" s="75" t="e">
        <f ca="1"/>
        <v>#N/A</v>
      </c>
      <c r="L74" s="75" t="e">
        <f ca="1"/>
        <v>#N/A</v>
      </c>
      <c r="M74" s="73" t="e">
        <f ca="1"/>
        <v>#N/A</v>
      </c>
      <c r="N74" s="73" t="e">
        <f ca="1"/>
        <v>#N/A</v>
      </c>
      <c r="O74" s="52" t="e">
        <f ca="1"/>
        <v>#N/A</v>
      </c>
      <c r="P74" s="52" t="e">
        <f ca="1"/>
        <v>#N/A</v>
      </c>
      <c r="Q74" s="52" t="e">
        <f ca="1"/>
        <v>#N/A</v>
      </c>
      <c r="R74" s="73" t="e">
        <f ca="1"/>
        <v>#N/A</v>
      </c>
      <c r="S74" s="52" t="e">
        <f ca="1"/>
        <v>#N/A</v>
      </c>
      <c r="T74" s="75" t="e">
        <f ca="1"/>
        <v>#N/A</v>
      </c>
      <c r="U74" s="78" t="e">
        <f ca="1"/>
        <v>#N/A</v>
      </c>
      <c r="V74" s="78" t="e">
        <f ca="1"/>
        <v>#N/A</v>
      </c>
      <c r="W74" s="78" t="e">
        <f ca="1"/>
        <v>#N/A</v>
      </c>
      <c r="X74" s="78" t="e">
        <f ca="1"/>
        <v>#N/A</v>
      </c>
      <c r="Y74" s="78" t="e">
        <f ca="1"/>
        <v>#N/A</v>
      </c>
      <c r="Z74" s="78" t="e">
        <f ca="1"/>
        <v>#N/A</v>
      </c>
      <c r="AA74" s="52" t="e">
        <f ca="1"/>
        <v>#N/A</v>
      </c>
      <c r="AB74" s="52" t="e">
        <f ca="1"/>
        <v>#N/A</v>
      </c>
      <c r="AC74" s="52" t="e">
        <f ca="1"/>
        <v>#N/A</v>
      </c>
    </row>
    <row r="75" spans="1:29" ht="15" thickBot="1">
      <c r="A75" s="81"/>
      <c r="B75" s="81"/>
      <c r="C75" s="86"/>
      <c r="D75" s="91"/>
      <c r="E75" s="90"/>
      <c r="F75" s="86"/>
      <c r="G75" s="86"/>
      <c r="H75" s="174">
        <v>1</v>
      </c>
      <c r="I75" s="83" t="e">
        <f>_xll.qlCallability("Kuendigungstermin"&amp;Cashflows!G75,H75,"Clean","Call",G75,,Trigger)</f>
        <v>#NUM!</v>
      </c>
      <c r="J75" s="73" t="e">
        <f ca="1"/>
        <v>#N/A</v>
      </c>
      <c r="K75" s="75" t="e">
        <f ca="1"/>
        <v>#N/A</v>
      </c>
      <c r="L75" s="75" t="e">
        <f ca="1"/>
        <v>#N/A</v>
      </c>
      <c r="M75" s="73" t="e">
        <f ca="1"/>
        <v>#N/A</v>
      </c>
      <c r="N75" s="73" t="e">
        <f ca="1"/>
        <v>#N/A</v>
      </c>
      <c r="O75" s="52" t="e">
        <f ca="1"/>
        <v>#N/A</v>
      </c>
      <c r="P75" s="52" t="e">
        <f ca="1"/>
        <v>#N/A</v>
      </c>
      <c r="Q75" s="52" t="e">
        <f ca="1"/>
        <v>#N/A</v>
      </c>
      <c r="R75" s="73" t="e">
        <f ca="1"/>
        <v>#N/A</v>
      </c>
      <c r="S75" s="52" t="e">
        <f ca="1"/>
        <v>#N/A</v>
      </c>
      <c r="T75" s="75" t="e">
        <f ca="1"/>
        <v>#N/A</v>
      </c>
      <c r="U75" s="78" t="e">
        <f ca="1"/>
        <v>#N/A</v>
      </c>
      <c r="V75" s="78" t="e">
        <f ca="1"/>
        <v>#N/A</v>
      </c>
      <c r="W75" s="78" t="e">
        <f ca="1"/>
        <v>#N/A</v>
      </c>
      <c r="X75" s="78" t="e">
        <f ca="1"/>
        <v>#N/A</v>
      </c>
      <c r="Y75" s="78" t="e">
        <f ca="1"/>
        <v>#N/A</v>
      </c>
      <c r="Z75" s="78" t="e">
        <f ca="1"/>
        <v>#N/A</v>
      </c>
      <c r="AA75" s="52" t="e">
        <f ca="1"/>
        <v>#N/A</v>
      </c>
      <c r="AB75" s="52" t="e">
        <f ca="1"/>
        <v>#N/A</v>
      </c>
      <c r="AC75" s="52" t="e">
        <f ca="1"/>
        <v>#N/A</v>
      </c>
    </row>
    <row r="76" spans="1:29" ht="15" thickBot="1">
      <c r="A76" s="81"/>
      <c r="B76" s="81"/>
      <c r="C76" s="86"/>
      <c r="D76" s="91"/>
      <c r="E76" s="90"/>
      <c r="F76" s="86"/>
      <c r="G76" s="86"/>
      <c r="H76" s="174">
        <v>1</v>
      </c>
      <c r="I76" s="83" t="e">
        <f>_xll.qlCallability("Kuendigungstermin"&amp;Cashflows!G76,H76,"Clean","Call",G76,,Trigger)</f>
        <v>#NUM!</v>
      </c>
      <c r="J76" s="73" t="e">
        <f ca="1"/>
        <v>#N/A</v>
      </c>
      <c r="K76" s="75" t="e">
        <f ca="1"/>
        <v>#N/A</v>
      </c>
      <c r="L76" s="75" t="e">
        <f ca="1"/>
        <v>#N/A</v>
      </c>
      <c r="M76" s="73" t="e">
        <f ca="1"/>
        <v>#N/A</v>
      </c>
      <c r="N76" s="73" t="e">
        <f ca="1"/>
        <v>#N/A</v>
      </c>
      <c r="O76" s="52" t="e">
        <f ca="1"/>
        <v>#N/A</v>
      </c>
      <c r="P76" s="52" t="e">
        <f ca="1"/>
        <v>#N/A</v>
      </c>
      <c r="Q76" s="52" t="e">
        <f ca="1"/>
        <v>#N/A</v>
      </c>
      <c r="R76" s="73" t="e">
        <f ca="1"/>
        <v>#N/A</v>
      </c>
      <c r="S76" s="52" t="e">
        <f ca="1"/>
        <v>#N/A</v>
      </c>
      <c r="T76" s="75" t="e">
        <f ca="1"/>
        <v>#N/A</v>
      </c>
      <c r="U76" s="78" t="e">
        <f ca="1"/>
        <v>#N/A</v>
      </c>
      <c r="V76" s="78" t="e">
        <f ca="1"/>
        <v>#N/A</v>
      </c>
      <c r="W76" s="78" t="e">
        <f ca="1"/>
        <v>#N/A</v>
      </c>
      <c r="X76" s="78" t="e">
        <f ca="1"/>
        <v>#N/A</v>
      </c>
      <c r="Y76" s="78" t="e">
        <f ca="1"/>
        <v>#N/A</v>
      </c>
      <c r="Z76" s="78" t="e">
        <f ca="1"/>
        <v>#N/A</v>
      </c>
      <c r="AA76" s="52" t="e">
        <f ca="1"/>
        <v>#N/A</v>
      </c>
      <c r="AB76" s="52" t="e">
        <f ca="1"/>
        <v>#N/A</v>
      </c>
      <c r="AC76" s="52" t="e">
        <f ca="1"/>
        <v>#N/A</v>
      </c>
    </row>
    <row r="77" spans="1:29" ht="15" thickBot="1">
      <c r="A77" s="81"/>
      <c r="B77" s="81"/>
      <c r="C77" s="86"/>
      <c r="D77" s="91"/>
      <c r="E77" s="90"/>
      <c r="F77" s="86"/>
      <c r="G77" s="86"/>
      <c r="H77" s="174">
        <v>1</v>
      </c>
      <c r="I77" s="83" t="e">
        <f>_xll.qlCallability("Kuendigungstermin"&amp;Cashflows!G77,H77,"Clean","Call",G77,,Trigger)</f>
        <v>#NUM!</v>
      </c>
      <c r="J77" s="73" t="e">
        <f ca="1"/>
        <v>#N/A</v>
      </c>
      <c r="K77" s="75" t="e">
        <f ca="1"/>
        <v>#N/A</v>
      </c>
      <c r="L77" s="75" t="e">
        <f ca="1"/>
        <v>#N/A</v>
      </c>
      <c r="M77" s="73" t="e">
        <f ca="1"/>
        <v>#N/A</v>
      </c>
      <c r="N77" s="73" t="e">
        <f ca="1"/>
        <v>#N/A</v>
      </c>
      <c r="O77" s="52" t="e">
        <f ca="1"/>
        <v>#N/A</v>
      </c>
      <c r="P77" s="52" t="e">
        <f ca="1"/>
        <v>#N/A</v>
      </c>
      <c r="Q77" s="52" t="e">
        <f ca="1"/>
        <v>#N/A</v>
      </c>
      <c r="R77" s="73" t="e">
        <f ca="1"/>
        <v>#N/A</v>
      </c>
      <c r="S77" s="52" t="e">
        <f ca="1"/>
        <v>#N/A</v>
      </c>
      <c r="T77" s="75" t="e">
        <f ca="1"/>
        <v>#N/A</v>
      </c>
      <c r="U77" s="78" t="e">
        <f ca="1"/>
        <v>#N/A</v>
      </c>
      <c r="V77" s="78" t="e">
        <f ca="1"/>
        <v>#N/A</v>
      </c>
      <c r="W77" s="78" t="e">
        <f ca="1"/>
        <v>#N/A</v>
      </c>
      <c r="X77" s="78" t="e">
        <f ca="1"/>
        <v>#N/A</v>
      </c>
      <c r="Y77" s="78" t="e">
        <f ca="1"/>
        <v>#N/A</v>
      </c>
      <c r="Z77" s="78" t="e">
        <f ca="1"/>
        <v>#N/A</v>
      </c>
      <c r="AA77" s="52" t="e">
        <f ca="1"/>
        <v>#N/A</v>
      </c>
      <c r="AB77" s="52" t="e">
        <f ca="1"/>
        <v>#N/A</v>
      </c>
      <c r="AC77" s="52" t="e">
        <f ca="1"/>
        <v>#N/A</v>
      </c>
    </row>
    <row r="78" spans="1:29" ht="15" thickBot="1">
      <c r="A78" s="81"/>
      <c r="B78" s="81"/>
      <c r="C78" s="86"/>
      <c r="D78" s="91"/>
      <c r="E78" s="90"/>
      <c r="F78" s="86"/>
      <c r="G78" s="86"/>
      <c r="H78" s="174">
        <v>1</v>
      </c>
      <c r="I78" s="83" t="e">
        <f>_xll.qlCallability("Kuendigungstermin"&amp;Cashflows!G78,H78,"Clean","Call",G78,,Trigger)</f>
        <v>#NUM!</v>
      </c>
      <c r="J78" s="73" t="e">
        <f ca="1"/>
        <v>#N/A</v>
      </c>
      <c r="K78" s="75" t="e">
        <f ca="1"/>
        <v>#N/A</v>
      </c>
      <c r="L78" s="75" t="e">
        <f ca="1"/>
        <v>#N/A</v>
      </c>
      <c r="M78" s="73" t="e">
        <f ca="1"/>
        <v>#N/A</v>
      </c>
      <c r="N78" s="73" t="e">
        <f ca="1"/>
        <v>#N/A</v>
      </c>
      <c r="O78" s="52" t="e">
        <f ca="1"/>
        <v>#N/A</v>
      </c>
      <c r="P78" s="52" t="e">
        <f ca="1"/>
        <v>#N/A</v>
      </c>
      <c r="Q78" s="52" t="e">
        <f ca="1"/>
        <v>#N/A</v>
      </c>
      <c r="R78" s="73" t="e">
        <f ca="1"/>
        <v>#N/A</v>
      </c>
      <c r="S78" s="52" t="e">
        <f ca="1"/>
        <v>#N/A</v>
      </c>
      <c r="T78" s="75" t="e">
        <f ca="1"/>
        <v>#N/A</v>
      </c>
      <c r="U78" s="78" t="e">
        <f ca="1"/>
        <v>#N/A</v>
      </c>
      <c r="V78" s="78" t="e">
        <f ca="1"/>
        <v>#N/A</v>
      </c>
      <c r="W78" s="78" t="e">
        <f ca="1"/>
        <v>#N/A</v>
      </c>
      <c r="X78" s="78" t="e">
        <f ca="1"/>
        <v>#N/A</v>
      </c>
      <c r="Y78" s="78" t="e">
        <f ca="1"/>
        <v>#N/A</v>
      </c>
      <c r="Z78" s="78" t="e">
        <f ca="1"/>
        <v>#N/A</v>
      </c>
      <c r="AA78" s="52" t="e">
        <f ca="1"/>
        <v>#N/A</v>
      </c>
      <c r="AB78" s="52" t="e">
        <f ca="1"/>
        <v>#N/A</v>
      </c>
      <c r="AC78" s="52" t="e">
        <f ca="1"/>
        <v>#N/A</v>
      </c>
    </row>
    <row r="79" spans="1:29" ht="15" thickBot="1">
      <c r="A79" s="81"/>
      <c r="B79" s="81"/>
      <c r="C79" s="86"/>
      <c r="D79" s="91"/>
      <c r="E79" s="90"/>
      <c r="F79" s="86"/>
      <c r="G79" s="86"/>
      <c r="H79" s="174">
        <v>1</v>
      </c>
      <c r="I79" s="83" t="e">
        <f>_xll.qlCallability("Kuendigungstermin"&amp;Cashflows!G79,H79,"Clean","Call",G79,,Trigger)</f>
        <v>#NUM!</v>
      </c>
      <c r="J79" s="73" t="e">
        <f ca="1"/>
        <v>#N/A</v>
      </c>
      <c r="K79" s="75" t="e">
        <f ca="1"/>
        <v>#N/A</v>
      </c>
      <c r="L79" s="75" t="e">
        <f ca="1"/>
        <v>#N/A</v>
      </c>
      <c r="M79" s="73" t="e">
        <f ca="1"/>
        <v>#N/A</v>
      </c>
      <c r="N79" s="73" t="e">
        <f ca="1"/>
        <v>#N/A</v>
      </c>
      <c r="O79" s="52" t="e">
        <f ca="1"/>
        <v>#N/A</v>
      </c>
      <c r="P79" s="52" t="e">
        <f ca="1"/>
        <v>#N/A</v>
      </c>
      <c r="Q79" s="52" t="e">
        <f ca="1"/>
        <v>#N/A</v>
      </c>
      <c r="R79" s="73" t="e">
        <f ca="1"/>
        <v>#N/A</v>
      </c>
      <c r="S79" s="52" t="e">
        <f ca="1"/>
        <v>#N/A</v>
      </c>
      <c r="T79" s="75" t="e">
        <f ca="1"/>
        <v>#N/A</v>
      </c>
      <c r="U79" s="78" t="e">
        <f ca="1"/>
        <v>#N/A</v>
      </c>
      <c r="V79" s="78" t="e">
        <f ca="1"/>
        <v>#N/A</v>
      </c>
      <c r="W79" s="78" t="e">
        <f ca="1"/>
        <v>#N/A</v>
      </c>
      <c r="X79" s="78" t="e">
        <f ca="1"/>
        <v>#N/A</v>
      </c>
      <c r="Y79" s="78" t="e">
        <f ca="1"/>
        <v>#N/A</v>
      </c>
      <c r="Z79" s="78" t="e">
        <f ca="1"/>
        <v>#N/A</v>
      </c>
      <c r="AA79" s="52" t="e">
        <f ca="1"/>
        <v>#N/A</v>
      </c>
      <c r="AB79" s="52" t="e">
        <f ca="1"/>
        <v>#N/A</v>
      </c>
      <c r="AC79" s="52" t="e">
        <f ca="1"/>
        <v>#N/A</v>
      </c>
    </row>
    <row r="80" spans="1:29" ht="15" thickBot="1">
      <c r="A80" s="81"/>
      <c r="B80" s="81"/>
      <c r="C80" s="86"/>
      <c r="D80" s="91"/>
      <c r="E80" s="90"/>
      <c r="F80" s="86"/>
      <c r="G80" s="86"/>
      <c r="H80" s="174">
        <v>1</v>
      </c>
      <c r="I80" s="83" t="e">
        <f>_xll.qlCallability("Kuendigungstermin"&amp;Cashflows!G80,H80,"Clean","Call",G80,,Trigger)</f>
        <v>#NUM!</v>
      </c>
      <c r="J80" s="73" t="e">
        <f ca="1"/>
        <v>#N/A</v>
      </c>
      <c r="K80" s="75" t="e">
        <f ca="1"/>
        <v>#N/A</v>
      </c>
      <c r="L80" s="75" t="e">
        <f ca="1"/>
        <v>#N/A</v>
      </c>
      <c r="M80" s="73" t="e">
        <f ca="1"/>
        <v>#N/A</v>
      </c>
      <c r="N80" s="73" t="e">
        <f ca="1"/>
        <v>#N/A</v>
      </c>
      <c r="O80" s="52" t="e">
        <f ca="1"/>
        <v>#N/A</v>
      </c>
      <c r="P80" s="52" t="e">
        <f ca="1"/>
        <v>#N/A</v>
      </c>
      <c r="Q80" s="52" t="e">
        <f ca="1"/>
        <v>#N/A</v>
      </c>
      <c r="R80" s="73" t="e">
        <f ca="1"/>
        <v>#N/A</v>
      </c>
      <c r="S80" s="52" t="e">
        <f ca="1"/>
        <v>#N/A</v>
      </c>
      <c r="T80" s="75" t="e">
        <f ca="1"/>
        <v>#N/A</v>
      </c>
      <c r="U80" s="78" t="e">
        <f ca="1"/>
        <v>#N/A</v>
      </c>
      <c r="V80" s="78" t="e">
        <f ca="1"/>
        <v>#N/A</v>
      </c>
      <c r="W80" s="78" t="e">
        <f ca="1"/>
        <v>#N/A</v>
      </c>
      <c r="X80" s="78" t="e">
        <f ca="1"/>
        <v>#N/A</v>
      </c>
      <c r="Y80" s="78" t="e">
        <f ca="1"/>
        <v>#N/A</v>
      </c>
      <c r="Z80" s="78" t="e">
        <f ca="1"/>
        <v>#N/A</v>
      </c>
      <c r="AA80" s="52" t="e">
        <f ca="1"/>
        <v>#N/A</v>
      </c>
      <c r="AB80" s="52" t="e">
        <f ca="1"/>
        <v>#N/A</v>
      </c>
      <c r="AC80" s="52" t="e">
        <f ca="1"/>
        <v>#N/A</v>
      </c>
    </row>
    <row r="81" spans="1:29" ht="15" thickBot="1">
      <c r="A81" s="81"/>
      <c r="B81" s="81"/>
      <c r="C81" s="86"/>
      <c r="D81" s="91"/>
      <c r="E81" s="90"/>
      <c r="F81" s="86"/>
      <c r="G81" s="86"/>
      <c r="H81" s="174">
        <v>1</v>
      </c>
      <c r="I81" s="83" t="e">
        <f>_xll.qlCallability("Kuendigungstermin"&amp;Cashflows!G81,H81,"Clean","Call",G81,,Trigger)</f>
        <v>#NUM!</v>
      </c>
      <c r="J81" s="73" t="e">
        <f ca="1"/>
        <v>#N/A</v>
      </c>
      <c r="K81" s="75" t="e">
        <f ca="1"/>
        <v>#N/A</v>
      </c>
      <c r="L81" s="75" t="e">
        <f ca="1"/>
        <v>#N/A</v>
      </c>
      <c r="M81" s="73" t="e">
        <f ca="1"/>
        <v>#N/A</v>
      </c>
      <c r="N81" s="73" t="e">
        <f ca="1"/>
        <v>#N/A</v>
      </c>
      <c r="O81" s="52" t="e">
        <f ca="1"/>
        <v>#N/A</v>
      </c>
      <c r="P81" s="52" t="e">
        <f ca="1"/>
        <v>#N/A</v>
      </c>
      <c r="Q81" s="52" t="e">
        <f ca="1"/>
        <v>#N/A</v>
      </c>
      <c r="R81" s="73" t="e">
        <f ca="1"/>
        <v>#N/A</v>
      </c>
      <c r="S81" s="52" t="e">
        <f ca="1"/>
        <v>#N/A</v>
      </c>
      <c r="T81" s="75" t="e">
        <f ca="1"/>
        <v>#N/A</v>
      </c>
      <c r="U81" s="78" t="e">
        <f ca="1"/>
        <v>#N/A</v>
      </c>
      <c r="V81" s="78" t="e">
        <f ca="1"/>
        <v>#N/A</v>
      </c>
      <c r="W81" s="78" t="e">
        <f ca="1"/>
        <v>#N/A</v>
      </c>
      <c r="X81" s="78" t="e">
        <f ca="1"/>
        <v>#N/A</v>
      </c>
      <c r="Y81" s="78" t="e">
        <f ca="1"/>
        <v>#N/A</v>
      </c>
      <c r="Z81" s="78" t="e">
        <f ca="1"/>
        <v>#N/A</v>
      </c>
      <c r="AA81" s="52" t="e">
        <f ca="1"/>
        <v>#N/A</v>
      </c>
      <c r="AB81" s="52" t="e">
        <f ca="1"/>
        <v>#N/A</v>
      </c>
      <c r="AC81" s="52" t="e">
        <f ca="1"/>
        <v>#N/A</v>
      </c>
    </row>
    <row r="82" spans="1:29" ht="15" thickBot="1">
      <c r="A82" s="81"/>
      <c r="B82" s="81"/>
      <c r="C82" s="86"/>
      <c r="D82" s="91"/>
      <c r="E82" s="90"/>
      <c r="F82" s="86"/>
      <c r="G82" s="86"/>
      <c r="H82" s="174">
        <v>1</v>
      </c>
      <c r="I82" s="83" t="e">
        <f>_xll.qlCallability("Kuendigungstermin"&amp;Cashflows!G82,H82,"Clean","Call",G82,,Trigger)</f>
        <v>#NUM!</v>
      </c>
      <c r="J82" s="73" t="e">
        <f ca="1"/>
        <v>#N/A</v>
      </c>
      <c r="K82" s="75" t="e">
        <f ca="1"/>
        <v>#N/A</v>
      </c>
      <c r="L82" s="75" t="e">
        <f ca="1"/>
        <v>#N/A</v>
      </c>
      <c r="M82" s="73" t="e">
        <f ca="1"/>
        <v>#N/A</v>
      </c>
      <c r="N82" s="73" t="e">
        <f ca="1"/>
        <v>#N/A</v>
      </c>
      <c r="O82" s="52" t="e">
        <f ca="1"/>
        <v>#N/A</v>
      </c>
      <c r="P82" s="52" t="e">
        <f ca="1"/>
        <v>#N/A</v>
      </c>
      <c r="Q82" s="52" t="e">
        <f ca="1"/>
        <v>#N/A</v>
      </c>
      <c r="R82" s="73" t="e">
        <f ca="1"/>
        <v>#N/A</v>
      </c>
      <c r="S82" s="52" t="e">
        <f ca="1"/>
        <v>#N/A</v>
      </c>
      <c r="T82" s="75" t="e">
        <f ca="1"/>
        <v>#N/A</v>
      </c>
      <c r="U82" s="78" t="e">
        <f ca="1"/>
        <v>#N/A</v>
      </c>
      <c r="V82" s="78" t="e">
        <f ca="1"/>
        <v>#N/A</v>
      </c>
      <c r="W82" s="78" t="e">
        <f ca="1"/>
        <v>#N/A</v>
      </c>
      <c r="X82" s="78" t="e">
        <f ca="1"/>
        <v>#N/A</v>
      </c>
      <c r="Y82" s="78" t="e">
        <f ca="1"/>
        <v>#N/A</v>
      </c>
      <c r="Z82" s="78" t="e">
        <f ca="1"/>
        <v>#N/A</v>
      </c>
      <c r="AA82" s="52" t="e">
        <f ca="1"/>
        <v>#N/A</v>
      </c>
      <c r="AB82" s="52" t="e">
        <f ca="1"/>
        <v>#N/A</v>
      </c>
      <c r="AC82" s="52" t="e">
        <f ca="1"/>
        <v>#N/A</v>
      </c>
    </row>
    <row r="83" spans="1:29" ht="15" thickBot="1">
      <c r="A83" s="81"/>
      <c r="B83" s="81"/>
      <c r="C83" s="86"/>
      <c r="D83" s="91"/>
      <c r="E83" s="90"/>
      <c r="F83" s="86"/>
      <c r="G83" s="86"/>
      <c r="H83" s="174">
        <v>1</v>
      </c>
      <c r="I83" s="83" t="e">
        <f>_xll.qlCallability("Kuendigungstermin"&amp;Cashflows!G83,H83,"Clean","Call",G83,,Trigger)</f>
        <v>#NUM!</v>
      </c>
      <c r="J83" s="73" t="e">
        <f ca="1"/>
        <v>#N/A</v>
      </c>
      <c r="K83" s="75" t="e">
        <f ca="1"/>
        <v>#N/A</v>
      </c>
      <c r="L83" s="75" t="e">
        <f ca="1"/>
        <v>#N/A</v>
      </c>
      <c r="M83" s="73" t="e">
        <f ca="1"/>
        <v>#N/A</v>
      </c>
      <c r="N83" s="73" t="e">
        <f ca="1"/>
        <v>#N/A</v>
      </c>
      <c r="O83" s="52" t="e">
        <f ca="1"/>
        <v>#N/A</v>
      </c>
      <c r="P83" s="52" t="e">
        <f ca="1"/>
        <v>#N/A</v>
      </c>
      <c r="Q83" s="52" t="e">
        <f ca="1"/>
        <v>#N/A</v>
      </c>
      <c r="R83" s="73" t="e">
        <f ca="1"/>
        <v>#N/A</v>
      </c>
      <c r="S83" s="52" t="e">
        <f ca="1"/>
        <v>#N/A</v>
      </c>
      <c r="T83" s="75" t="e">
        <f ca="1"/>
        <v>#N/A</v>
      </c>
      <c r="U83" s="78" t="e">
        <f ca="1"/>
        <v>#N/A</v>
      </c>
      <c r="V83" s="78" t="e">
        <f ca="1"/>
        <v>#N/A</v>
      </c>
      <c r="W83" s="78" t="e">
        <f ca="1"/>
        <v>#N/A</v>
      </c>
      <c r="X83" s="78" t="e">
        <f ca="1"/>
        <v>#N/A</v>
      </c>
      <c r="Y83" s="78" t="e">
        <f ca="1"/>
        <v>#N/A</v>
      </c>
      <c r="Z83" s="78" t="e">
        <f ca="1"/>
        <v>#N/A</v>
      </c>
      <c r="AA83" s="52" t="e">
        <f ca="1"/>
        <v>#N/A</v>
      </c>
      <c r="AB83" s="52" t="e">
        <f ca="1"/>
        <v>#N/A</v>
      </c>
      <c r="AC83" s="52" t="e">
        <f ca="1"/>
        <v>#N/A</v>
      </c>
    </row>
    <row r="84" spans="1:29" ht="15" thickBot="1">
      <c r="A84" s="81"/>
      <c r="B84" s="81"/>
      <c r="C84" s="86"/>
      <c r="D84" s="91"/>
      <c r="E84" s="90"/>
      <c r="F84" s="86"/>
      <c r="G84" s="86"/>
      <c r="H84" s="174">
        <v>1</v>
      </c>
      <c r="I84" s="83" t="e">
        <f>_xll.qlCallability("Kuendigungstermin"&amp;Cashflows!G84,H84,"Clean","Call",G84,,Trigger)</f>
        <v>#NUM!</v>
      </c>
      <c r="J84" s="73" t="e">
        <f ca="1"/>
        <v>#N/A</v>
      </c>
      <c r="K84" s="75" t="e">
        <f ca="1"/>
        <v>#N/A</v>
      </c>
      <c r="L84" s="75" t="e">
        <f ca="1"/>
        <v>#N/A</v>
      </c>
      <c r="M84" s="73" t="e">
        <f ca="1"/>
        <v>#N/A</v>
      </c>
      <c r="N84" s="73" t="e">
        <f ca="1"/>
        <v>#N/A</v>
      </c>
      <c r="O84" s="52" t="e">
        <f ca="1"/>
        <v>#N/A</v>
      </c>
      <c r="P84" s="52" t="e">
        <f ca="1"/>
        <v>#N/A</v>
      </c>
      <c r="Q84" s="52" t="e">
        <f ca="1"/>
        <v>#N/A</v>
      </c>
      <c r="R84" s="73" t="e">
        <f ca="1"/>
        <v>#N/A</v>
      </c>
      <c r="S84" s="52" t="e">
        <f ca="1"/>
        <v>#N/A</v>
      </c>
      <c r="T84" s="75" t="e">
        <f ca="1"/>
        <v>#N/A</v>
      </c>
      <c r="U84" s="78" t="e">
        <f ca="1"/>
        <v>#N/A</v>
      </c>
      <c r="V84" s="78" t="e">
        <f ca="1"/>
        <v>#N/A</v>
      </c>
      <c r="W84" s="78" t="e">
        <f ca="1"/>
        <v>#N/A</v>
      </c>
      <c r="X84" s="78" t="e">
        <f ca="1"/>
        <v>#N/A</v>
      </c>
      <c r="Y84" s="78" t="e">
        <f ca="1"/>
        <v>#N/A</v>
      </c>
      <c r="Z84" s="78" t="e">
        <f ca="1"/>
        <v>#N/A</v>
      </c>
      <c r="AA84" s="52" t="e">
        <f ca="1"/>
        <v>#N/A</v>
      </c>
      <c r="AB84" s="52" t="e">
        <f ca="1"/>
        <v>#N/A</v>
      </c>
      <c r="AC84" s="52" t="e">
        <f ca="1"/>
        <v>#N/A</v>
      </c>
    </row>
    <row r="85" spans="1:29" ht="15" thickBot="1">
      <c r="A85" s="81"/>
      <c r="B85" s="81"/>
      <c r="C85" s="86"/>
      <c r="D85" s="91"/>
      <c r="E85" s="90"/>
      <c r="F85" s="86"/>
      <c r="G85" s="86"/>
      <c r="H85" s="174">
        <v>1</v>
      </c>
      <c r="I85" s="83" t="e">
        <f>_xll.qlCallability("Kuendigungstermin"&amp;Cashflows!G85,H85,"Clean","Call",G85,,Trigger)</f>
        <v>#NUM!</v>
      </c>
      <c r="J85" s="73" t="e">
        <f ca="1"/>
        <v>#N/A</v>
      </c>
      <c r="K85" s="75" t="e">
        <f ca="1"/>
        <v>#N/A</v>
      </c>
      <c r="L85" s="75" t="e">
        <f ca="1"/>
        <v>#N/A</v>
      </c>
      <c r="M85" s="73" t="e">
        <f ca="1"/>
        <v>#N/A</v>
      </c>
      <c r="N85" s="73" t="e">
        <f ca="1"/>
        <v>#N/A</v>
      </c>
      <c r="O85" s="52" t="e">
        <f ca="1"/>
        <v>#N/A</v>
      </c>
      <c r="P85" s="52" t="e">
        <f ca="1"/>
        <v>#N/A</v>
      </c>
      <c r="Q85" s="52" t="e">
        <f ca="1"/>
        <v>#N/A</v>
      </c>
      <c r="R85" s="73" t="e">
        <f ca="1"/>
        <v>#N/A</v>
      </c>
      <c r="S85" s="52" t="e">
        <f ca="1"/>
        <v>#N/A</v>
      </c>
      <c r="T85" s="75" t="e">
        <f ca="1"/>
        <v>#N/A</v>
      </c>
      <c r="U85" s="78" t="e">
        <f ca="1"/>
        <v>#N/A</v>
      </c>
      <c r="V85" s="78" t="e">
        <f ca="1"/>
        <v>#N/A</v>
      </c>
      <c r="W85" s="78" t="e">
        <f ca="1"/>
        <v>#N/A</v>
      </c>
      <c r="X85" s="78" t="e">
        <f ca="1"/>
        <v>#N/A</v>
      </c>
      <c r="Y85" s="78" t="e">
        <f ca="1"/>
        <v>#N/A</v>
      </c>
      <c r="Z85" s="78" t="e">
        <f ca="1"/>
        <v>#N/A</v>
      </c>
      <c r="AA85" s="52" t="e">
        <f ca="1"/>
        <v>#N/A</v>
      </c>
      <c r="AB85" s="52" t="e">
        <f ca="1"/>
        <v>#N/A</v>
      </c>
      <c r="AC85" s="52" t="e">
        <f ca="1"/>
        <v>#N/A</v>
      </c>
    </row>
    <row r="86" spans="1:29" ht="15" thickBot="1">
      <c r="A86" s="81"/>
      <c r="B86" s="81"/>
      <c r="C86" s="86"/>
      <c r="D86" s="91"/>
      <c r="E86" s="90"/>
      <c r="F86" s="86"/>
      <c r="G86" s="86"/>
      <c r="H86" s="174">
        <v>1</v>
      </c>
      <c r="I86" s="83" t="e">
        <f>_xll.qlCallability("Kuendigungstermin"&amp;Cashflows!G86,H86,"Clean","Call",G86,,Trigger)</f>
        <v>#NUM!</v>
      </c>
      <c r="J86" s="73" t="e">
        <f ca="1"/>
        <v>#N/A</v>
      </c>
      <c r="K86" s="75" t="e">
        <f ca="1"/>
        <v>#N/A</v>
      </c>
      <c r="L86" s="75" t="e">
        <f ca="1"/>
        <v>#N/A</v>
      </c>
      <c r="M86" s="73" t="e">
        <f ca="1"/>
        <v>#N/A</v>
      </c>
      <c r="N86" s="73" t="e">
        <f ca="1"/>
        <v>#N/A</v>
      </c>
      <c r="O86" s="52" t="e">
        <f ca="1"/>
        <v>#N/A</v>
      </c>
      <c r="P86" s="52" t="e">
        <f ca="1"/>
        <v>#N/A</v>
      </c>
      <c r="Q86" s="52" t="e">
        <f ca="1"/>
        <v>#N/A</v>
      </c>
      <c r="R86" s="73" t="e">
        <f ca="1"/>
        <v>#N/A</v>
      </c>
      <c r="S86" s="52" t="e">
        <f ca="1"/>
        <v>#N/A</v>
      </c>
      <c r="T86" s="75" t="e">
        <f ca="1"/>
        <v>#N/A</v>
      </c>
      <c r="U86" s="78" t="e">
        <f ca="1"/>
        <v>#N/A</v>
      </c>
      <c r="V86" s="78" t="e">
        <f ca="1"/>
        <v>#N/A</v>
      </c>
      <c r="W86" s="78" t="e">
        <f ca="1"/>
        <v>#N/A</v>
      </c>
      <c r="X86" s="78" t="e">
        <f ca="1"/>
        <v>#N/A</v>
      </c>
      <c r="Y86" s="78" t="e">
        <f ca="1"/>
        <v>#N/A</v>
      </c>
      <c r="Z86" s="78" t="e">
        <f ca="1"/>
        <v>#N/A</v>
      </c>
      <c r="AA86" s="52" t="e">
        <f ca="1"/>
        <v>#N/A</v>
      </c>
      <c r="AB86" s="52" t="e">
        <f ca="1"/>
        <v>#N/A</v>
      </c>
      <c r="AC86" s="52" t="e">
        <f ca="1"/>
        <v>#N/A</v>
      </c>
    </row>
    <row r="87" spans="1:29" ht="15" thickBot="1">
      <c r="A87" s="81"/>
      <c r="B87" s="81"/>
      <c r="C87" s="86"/>
      <c r="D87" s="91"/>
      <c r="E87" s="90"/>
      <c r="F87" s="86"/>
      <c r="G87" s="86"/>
      <c r="H87" s="174">
        <v>1</v>
      </c>
      <c r="I87" s="83" t="e">
        <f>_xll.qlCallability("Kuendigungstermin"&amp;Cashflows!G87,H87,"Clean","Call",G87,,Trigger)</f>
        <v>#NUM!</v>
      </c>
      <c r="J87" s="73" t="e">
        <f ca="1"/>
        <v>#N/A</v>
      </c>
      <c r="K87" s="75" t="e">
        <f ca="1"/>
        <v>#N/A</v>
      </c>
      <c r="L87" s="75" t="e">
        <f ca="1"/>
        <v>#N/A</v>
      </c>
      <c r="M87" s="73" t="e">
        <f ca="1"/>
        <v>#N/A</v>
      </c>
      <c r="N87" s="73" t="e">
        <f ca="1"/>
        <v>#N/A</v>
      </c>
      <c r="O87" s="52" t="e">
        <f ca="1"/>
        <v>#N/A</v>
      </c>
      <c r="P87" s="52" t="e">
        <f ca="1"/>
        <v>#N/A</v>
      </c>
      <c r="Q87" s="52" t="e">
        <f ca="1"/>
        <v>#N/A</v>
      </c>
      <c r="R87" s="73" t="e">
        <f ca="1"/>
        <v>#N/A</v>
      </c>
      <c r="S87" s="52" t="e">
        <f ca="1"/>
        <v>#N/A</v>
      </c>
      <c r="T87" s="75" t="e">
        <f ca="1"/>
        <v>#N/A</v>
      </c>
      <c r="U87" s="78" t="e">
        <f ca="1"/>
        <v>#N/A</v>
      </c>
      <c r="V87" s="78" t="e">
        <f ca="1"/>
        <v>#N/A</v>
      </c>
      <c r="W87" s="78" t="e">
        <f ca="1"/>
        <v>#N/A</v>
      </c>
      <c r="X87" s="78" t="e">
        <f ca="1"/>
        <v>#N/A</v>
      </c>
      <c r="Y87" s="78" t="e">
        <f ca="1"/>
        <v>#N/A</v>
      </c>
      <c r="Z87" s="78" t="e">
        <f ca="1"/>
        <v>#N/A</v>
      </c>
      <c r="AA87" s="52" t="e">
        <f ca="1"/>
        <v>#N/A</v>
      </c>
      <c r="AB87" s="52" t="e">
        <f ca="1"/>
        <v>#N/A</v>
      </c>
      <c r="AC87" s="52" t="e">
        <f ca="1"/>
        <v>#N/A</v>
      </c>
    </row>
    <row r="88" spans="1:29" ht="15" thickBot="1">
      <c r="A88" s="81"/>
      <c r="B88" s="81"/>
      <c r="C88" s="86"/>
      <c r="D88" s="91"/>
      <c r="E88" s="90"/>
      <c r="F88" s="86"/>
      <c r="G88" s="86"/>
      <c r="H88" s="174">
        <v>1</v>
      </c>
      <c r="I88" s="83" t="e">
        <f>_xll.qlCallability("Kuendigungstermin"&amp;Cashflows!G88,H88,"Clean","Call",G88,,Trigger)</f>
        <v>#NUM!</v>
      </c>
      <c r="J88" s="73" t="e">
        <f ca="1"/>
        <v>#N/A</v>
      </c>
      <c r="K88" s="75" t="e">
        <f ca="1"/>
        <v>#N/A</v>
      </c>
      <c r="L88" s="75" t="e">
        <f ca="1"/>
        <v>#N/A</v>
      </c>
      <c r="M88" s="73" t="e">
        <f ca="1"/>
        <v>#N/A</v>
      </c>
      <c r="N88" s="73" t="e">
        <f ca="1"/>
        <v>#N/A</v>
      </c>
      <c r="O88" s="52" t="e">
        <f ca="1"/>
        <v>#N/A</v>
      </c>
      <c r="P88" s="52" t="e">
        <f ca="1"/>
        <v>#N/A</v>
      </c>
      <c r="Q88" s="52" t="e">
        <f ca="1"/>
        <v>#N/A</v>
      </c>
      <c r="R88" s="73" t="e">
        <f ca="1"/>
        <v>#N/A</v>
      </c>
      <c r="S88" s="52" t="e">
        <f ca="1"/>
        <v>#N/A</v>
      </c>
      <c r="T88" s="75" t="e">
        <f ca="1"/>
        <v>#N/A</v>
      </c>
      <c r="U88" s="78" t="e">
        <f ca="1"/>
        <v>#N/A</v>
      </c>
      <c r="V88" s="78" t="e">
        <f ca="1"/>
        <v>#N/A</v>
      </c>
      <c r="W88" s="78" t="e">
        <f ca="1"/>
        <v>#N/A</v>
      </c>
      <c r="X88" s="78" t="e">
        <f ca="1"/>
        <v>#N/A</v>
      </c>
      <c r="Y88" s="78" t="e">
        <f ca="1"/>
        <v>#N/A</v>
      </c>
      <c r="Z88" s="78" t="e">
        <f ca="1"/>
        <v>#N/A</v>
      </c>
      <c r="AA88" s="52" t="e">
        <f ca="1"/>
        <v>#N/A</v>
      </c>
      <c r="AB88" s="52" t="e">
        <f ca="1"/>
        <v>#N/A</v>
      </c>
      <c r="AC88" s="52" t="e">
        <f ca="1"/>
        <v>#N/A</v>
      </c>
    </row>
    <row r="89" spans="1:29" ht="15" thickBot="1">
      <c r="A89" s="81"/>
      <c r="B89" s="81"/>
      <c r="C89" s="86"/>
      <c r="D89" s="91"/>
      <c r="E89" s="90"/>
      <c r="F89" s="86"/>
      <c r="G89" s="86"/>
      <c r="H89" s="174">
        <v>1</v>
      </c>
      <c r="I89" s="83" t="e">
        <f>_xll.qlCallability("Kuendigungstermin"&amp;Cashflows!G89,H89,"Clean","Call",G89,,Trigger)</f>
        <v>#NUM!</v>
      </c>
      <c r="J89" s="73" t="e">
        <f ca="1"/>
        <v>#N/A</v>
      </c>
      <c r="K89" s="75" t="e">
        <f ca="1"/>
        <v>#N/A</v>
      </c>
      <c r="L89" s="75" t="e">
        <f ca="1"/>
        <v>#N/A</v>
      </c>
      <c r="M89" s="73" t="e">
        <f ca="1"/>
        <v>#N/A</v>
      </c>
      <c r="N89" s="73" t="e">
        <f ca="1"/>
        <v>#N/A</v>
      </c>
      <c r="O89" s="52" t="e">
        <f ca="1"/>
        <v>#N/A</v>
      </c>
      <c r="P89" s="52" t="e">
        <f ca="1"/>
        <v>#N/A</v>
      </c>
      <c r="Q89" s="52" t="e">
        <f ca="1"/>
        <v>#N/A</v>
      </c>
      <c r="R89" s="73" t="e">
        <f ca="1"/>
        <v>#N/A</v>
      </c>
      <c r="S89" s="52" t="e">
        <f ca="1"/>
        <v>#N/A</v>
      </c>
      <c r="T89" s="75" t="e">
        <f ca="1"/>
        <v>#N/A</v>
      </c>
      <c r="U89" s="78" t="e">
        <f ca="1"/>
        <v>#N/A</v>
      </c>
      <c r="V89" s="78" t="e">
        <f ca="1"/>
        <v>#N/A</v>
      </c>
      <c r="W89" s="78" t="e">
        <f ca="1"/>
        <v>#N/A</v>
      </c>
      <c r="X89" s="78" t="e">
        <f ca="1"/>
        <v>#N/A</v>
      </c>
      <c r="Y89" s="78" t="e">
        <f ca="1"/>
        <v>#N/A</v>
      </c>
      <c r="Z89" s="78" t="e">
        <f ca="1"/>
        <v>#N/A</v>
      </c>
      <c r="AA89" s="52" t="e">
        <f ca="1"/>
        <v>#N/A</v>
      </c>
      <c r="AB89" s="52" t="e">
        <f ca="1"/>
        <v>#N/A</v>
      </c>
      <c r="AC89" s="52" t="e">
        <f ca="1"/>
        <v>#N/A</v>
      </c>
    </row>
    <row r="90" spans="1:29" ht="15" thickBot="1">
      <c r="A90" s="81"/>
      <c r="B90" s="81"/>
      <c r="C90" s="86"/>
      <c r="D90" s="91"/>
      <c r="E90" s="90"/>
      <c r="F90" s="86"/>
      <c r="G90" s="86"/>
      <c r="H90" s="174">
        <v>1</v>
      </c>
      <c r="I90" s="83" t="e">
        <f>_xll.qlCallability("Kuendigungstermin"&amp;Cashflows!G90,H90,"Clean","Call",G90,,Trigger)</f>
        <v>#NUM!</v>
      </c>
      <c r="J90" s="73" t="e">
        <f ca="1"/>
        <v>#N/A</v>
      </c>
      <c r="K90" s="75" t="e">
        <f ca="1"/>
        <v>#N/A</v>
      </c>
      <c r="L90" s="75" t="e">
        <f ca="1"/>
        <v>#N/A</v>
      </c>
      <c r="M90" s="73" t="e">
        <f ca="1"/>
        <v>#N/A</v>
      </c>
      <c r="N90" s="73" t="e">
        <f ca="1"/>
        <v>#N/A</v>
      </c>
      <c r="O90" s="52" t="e">
        <f ca="1"/>
        <v>#N/A</v>
      </c>
      <c r="P90" s="52" t="e">
        <f ca="1"/>
        <v>#N/A</v>
      </c>
      <c r="Q90" s="52" t="e">
        <f ca="1"/>
        <v>#N/A</v>
      </c>
      <c r="R90" s="73" t="e">
        <f ca="1"/>
        <v>#N/A</v>
      </c>
      <c r="S90" s="52" t="e">
        <f ca="1"/>
        <v>#N/A</v>
      </c>
      <c r="T90" s="75" t="e">
        <f ca="1"/>
        <v>#N/A</v>
      </c>
      <c r="U90" s="78" t="e">
        <f ca="1"/>
        <v>#N/A</v>
      </c>
      <c r="V90" s="78" t="e">
        <f ca="1"/>
        <v>#N/A</v>
      </c>
      <c r="W90" s="78" t="e">
        <f ca="1"/>
        <v>#N/A</v>
      </c>
      <c r="X90" s="78" t="e">
        <f ca="1"/>
        <v>#N/A</v>
      </c>
      <c r="Y90" s="78" t="e">
        <f ca="1"/>
        <v>#N/A</v>
      </c>
      <c r="Z90" s="78" t="e">
        <f ca="1"/>
        <v>#N/A</v>
      </c>
      <c r="AA90" s="52" t="e">
        <f ca="1"/>
        <v>#N/A</v>
      </c>
      <c r="AB90" s="52" t="e">
        <f ca="1"/>
        <v>#N/A</v>
      </c>
      <c r="AC90" s="52" t="e">
        <f ca="1"/>
        <v>#N/A</v>
      </c>
    </row>
    <row r="91" spans="1:29" ht="15" thickBot="1">
      <c r="A91" s="81"/>
      <c r="B91" s="81"/>
      <c r="C91" s="86"/>
      <c r="D91" s="91"/>
      <c r="E91" s="90"/>
      <c r="F91" s="86"/>
      <c r="G91" s="86"/>
      <c r="H91" s="174">
        <v>1</v>
      </c>
      <c r="I91" s="83" t="e">
        <f>_xll.qlCallability("Kuendigungstermin"&amp;Cashflows!G91,H91,"Clean","Call",G91,,Trigger)</f>
        <v>#NUM!</v>
      </c>
      <c r="J91" s="73" t="e">
        <f ca="1"/>
        <v>#N/A</v>
      </c>
      <c r="K91" s="75" t="e">
        <f ca="1"/>
        <v>#N/A</v>
      </c>
      <c r="L91" s="75" t="e">
        <f ca="1"/>
        <v>#N/A</v>
      </c>
      <c r="M91" s="73" t="e">
        <f ca="1"/>
        <v>#N/A</v>
      </c>
      <c r="N91" s="73" t="e">
        <f ca="1"/>
        <v>#N/A</v>
      </c>
      <c r="O91" s="52" t="e">
        <f ca="1"/>
        <v>#N/A</v>
      </c>
      <c r="P91" s="52" t="e">
        <f ca="1"/>
        <v>#N/A</v>
      </c>
      <c r="Q91" s="52" t="e">
        <f ca="1"/>
        <v>#N/A</v>
      </c>
      <c r="R91" s="73" t="e">
        <f ca="1"/>
        <v>#N/A</v>
      </c>
      <c r="S91" s="52" t="e">
        <f ca="1"/>
        <v>#N/A</v>
      </c>
      <c r="T91" s="75" t="e">
        <f ca="1"/>
        <v>#N/A</v>
      </c>
      <c r="U91" s="78" t="e">
        <f ca="1"/>
        <v>#N/A</v>
      </c>
      <c r="V91" s="78" t="e">
        <f ca="1"/>
        <v>#N/A</v>
      </c>
      <c r="W91" s="78" t="e">
        <f ca="1"/>
        <v>#N/A</v>
      </c>
      <c r="X91" s="78" t="e">
        <f ca="1"/>
        <v>#N/A</v>
      </c>
      <c r="Y91" s="78" t="e">
        <f ca="1"/>
        <v>#N/A</v>
      </c>
      <c r="Z91" s="78" t="e">
        <f ca="1"/>
        <v>#N/A</v>
      </c>
      <c r="AA91" s="52" t="e">
        <f ca="1"/>
        <v>#N/A</v>
      </c>
      <c r="AB91" s="52" t="e">
        <f ca="1"/>
        <v>#N/A</v>
      </c>
      <c r="AC91" s="52" t="e">
        <f ca="1"/>
        <v>#N/A</v>
      </c>
    </row>
    <row r="92" spans="1:29" ht="15" thickBot="1">
      <c r="A92" s="81"/>
      <c r="B92" s="81"/>
      <c r="C92" s="86"/>
      <c r="D92" s="91"/>
      <c r="E92" s="90"/>
      <c r="F92" s="86"/>
      <c r="G92" s="86"/>
      <c r="H92" s="174">
        <v>1</v>
      </c>
      <c r="I92" s="83" t="e">
        <f>_xll.qlCallability("Kuendigungstermin"&amp;Cashflows!G92,H92,"Clean","Call",G92,,Trigger)</f>
        <v>#NUM!</v>
      </c>
      <c r="J92" s="73" t="e">
        <f ca="1"/>
        <v>#N/A</v>
      </c>
      <c r="K92" s="75" t="e">
        <f ca="1"/>
        <v>#N/A</v>
      </c>
      <c r="L92" s="75" t="e">
        <f ca="1"/>
        <v>#N/A</v>
      </c>
      <c r="M92" s="73" t="e">
        <f ca="1"/>
        <v>#N/A</v>
      </c>
      <c r="N92" s="73" t="e">
        <f ca="1"/>
        <v>#N/A</v>
      </c>
      <c r="O92" s="52" t="e">
        <f ca="1"/>
        <v>#N/A</v>
      </c>
      <c r="P92" s="52" t="e">
        <f ca="1"/>
        <v>#N/A</v>
      </c>
      <c r="Q92" s="52" t="e">
        <f ca="1"/>
        <v>#N/A</v>
      </c>
      <c r="R92" s="73" t="e">
        <f ca="1"/>
        <v>#N/A</v>
      </c>
      <c r="S92" s="52" t="e">
        <f ca="1"/>
        <v>#N/A</v>
      </c>
      <c r="T92" s="75" t="e">
        <f ca="1"/>
        <v>#N/A</v>
      </c>
      <c r="U92" s="78" t="e">
        <f ca="1"/>
        <v>#N/A</v>
      </c>
      <c r="V92" s="78" t="e">
        <f ca="1"/>
        <v>#N/A</v>
      </c>
      <c r="W92" s="78" t="e">
        <f ca="1"/>
        <v>#N/A</v>
      </c>
      <c r="X92" s="78" t="e">
        <f ca="1"/>
        <v>#N/A</v>
      </c>
      <c r="Y92" s="78" t="e">
        <f ca="1"/>
        <v>#N/A</v>
      </c>
      <c r="Z92" s="78" t="e">
        <f ca="1"/>
        <v>#N/A</v>
      </c>
      <c r="AA92" s="52" t="e">
        <f ca="1"/>
        <v>#N/A</v>
      </c>
      <c r="AB92" s="52" t="e">
        <f ca="1"/>
        <v>#N/A</v>
      </c>
      <c r="AC92" s="52" t="e">
        <f ca="1"/>
        <v>#N/A</v>
      </c>
    </row>
    <row r="93" spans="1:29" ht="15" thickBot="1">
      <c r="A93" s="81"/>
      <c r="B93" s="81"/>
      <c r="C93" s="86"/>
      <c r="D93" s="91"/>
      <c r="E93" s="90"/>
      <c r="F93" s="86"/>
      <c r="G93" s="86"/>
      <c r="H93" s="174">
        <v>1</v>
      </c>
      <c r="I93" s="83" t="e">
        <f>_xll.qlCallability("Kuendigungstermin"&amp;Cashflows!G93,H93,"Clean","Call",G93,,Trigger)</f>
        <v>#NUM!</v>
      </c>
      <c r="J93" s="73" t="e">
        <f ca="1"/>
        <v>#N/A</v>
      </c>
      <c r="K93" s="75" t="e">
        <f ca="1"/>
        <v>#N/A</v>
      </c>
      <c r="L93" s="75" t="e">
        <f ca="1"/>
        <v>#N/A</v>
      </c>
      <c r="M93" s="73" t="e">
        <f ca="1"/>
        <v>#N/A</v>
      </c>
      <c r="N93" s="73" t="e">
        <f ca="1"/>
        <v>#N/A</v>
      </c>
      <c r="O93" s="52" t="e">
        <f ca="1"/>
        <v>#N/A</v>
      </c>
      <c r="P93" s="52" t="e">
        <f ca="1"/>
        <v>#N/A</v>
      </c>
      <c r="Q93" s="52" t="e">
        <f ca="1"/>
        <v>#N/A</v>
      </c>
      <c r="R93" s="73" t="e">
        <f ca="1"/>
        <v>#N/A</v>
      </c>
      <c r="S93" s="52" t="e">
        <f ca="1"/>
        <v>#N/A</v>
      </c>
      <c r="T93" s="75" t="e">
        <f ca="1"/>
        <v>#N/A</v>
      </c>
      <c r="U93" s="78" t="e">
        <f ca="1"/>
        <v>#N/A</v>
      </c>
      <c r="V93" s="78" t="e">
        <f ca="1"/>
        <v>#N/A</v>
      </c>
      <c r="W93" s="78" t="e">
        <f ca="1"/>
        <v>#N/A</v>
      </c>
      <c r="X93" s="78" t="e">
        <f ca="1"/>
        <v>#N/A</v>
      </c>
      <c r="Y93" s="78" t="e">
        <f ca="1"/>
        <v>#N/A</v>
      </c>
      <c r="Z93" s="78" t="e">
        <f ca="1"/>
        <v>#N/A</v>
      </c>
      <c r="AA93" s="52" t="e">
        <f ca="1"/>
        <v>#N/A</v>
      </c>
      <c r="AB93" s="52" t="e">
        <f ca="1"/>
        <v>#N/A</v>
      </c>
      <c r="AC93" s="52" t="e">
        <f ca="1"/>
        <v>#N/A</v>
      </c>
    </row>
    <row r="94" spans="1:29" ht="15" thickBot="1">
      <c r="A94" s="81"/>
      <c r="B94" s="81"/>
      <c r="C94" s="86"/>
      <c r="D94" s="91"/>
      <c r="E94" s="90"/>
      <c r="F94" s="86"/>
      <c r="G94" s="86"/>
      <c r="H94" s="174">
        <v>1</v>
      </c>
      <c r="I94" s="83" t="e">
        <f>_xll.qlCallability("Kuendigungstermin"&amp;Cashflows!G94,H94,"Clean","Call",G94,,Trigger)</f>
        <v>#NUM!</v>
      </c>
      <c r="J94" s="73" t="e">
        <f ca="1"/>
        <v>#N/A</v>
      </c>
      <c r="K94" s="75" t="e">
        <f ca="1"/>
        <v>#N/A</v>
      </c>
      <c r="L94" s="75" t="e">
        <f ca="1"/>
        <v>#N/A</v>
      </c>
      <c r="M94" s="73" t="e">
        <f ca="1"/>
        <v>#N/A</v>
      </c>
      <c r="N94" s="73" t="e">
        <f ca="1"/>
        <v>#N/A</v>
      </c>
      <c r="O94" s="52" t="e">
        <f ca="1"/>
        <v>#N/A</v>
      </c>
      <c r="P94" s="52" t="e">
        <f ca="1"/>
        <v>#N/A</v>
      </c>
      <c r="Q94" s="52" t="e">
        <f ca="1"/>
        <v>#N/A</v>
      </c>
      <c r="R94" s="73" t="e">
        <f ca="1"/>
        <v>#N/A</v>
      </c>
      <c r="S94" s="52" t="e">
        <f ca="1"/>
        <v>#N/A</v>
      </c>
      <c r="T94" s="75" t="e">
        <f ca="1"/>
        <v>#N/A</v>
      </c>
      <c r="U94" s="78" t="e">
        <f ca="1"/>
        <v>#N/A</v>
      </c>
      <c r="V94" s="78" t="e">
        <f ca="1"/>
        <v>#N/A</v>
      </c>
      <c r="W94" s="78" t="e">
        <f ca="1"/>
        <v>#N/A</v>
      </c>
      <c r="X94" s="78" t="e">
        <f ca="1"/>
        <v>#N/A</v>
      </c>
      <c r="Y94" s="78" t="e">
        <f ca="1"/>
        <v>#N/A</v>
      </c>
      <c r="Z94" s="78" t="e">
        <f ca="1"/>
        <v>#N/A</v>
      </c>
      <c r="AA94" s="52" t="e">
        <f ca="1"/>
        <v>#N/A</v>
      </c>
      <c r="AB94" s="52" t="e">
        <f ca="1"/>
        <v>#N/A</v>
      </c>
      <c r="AC94" s="52" t="e">
        <f ca="1"/>
        <v>#N/A</v>
      </c>
    </row>
    <row r="95" spans="1:29" ht="15" thickBot="1">
      <c r="A95" s="81"/>
      <c r="B95" s="81"/>
      <c r="C95" s="86"/>
      <c r="D95" s="91"/>
      <c r="E95" s="90"/>
      <c r="F95" s="86"/>
      <c r="G95" s="86"/>
      <c r="H95" s="174">
        <v>1</v>
      </c>
      <c r="I95" s="83" t="e">
        <f>_xll.qlCallability("Kuendigungstermin"&amp;Cashflows!G95,H95,"Clean","Call",G95,,Trigger)</f>
        <v>#NUM!</v>
      </c>
      <c r="J95" s="73" t="e">
        <f ca="1"/>
        <v>#N/A</v>
      </c>
      <c r="K95" s="75" t="e">
        <f ca="1"/>
        <v>#N/A</v>
      </c>
      <c r="L95" s="75" t="e">
        <f ca="1"/>
        <v>#N/A</v>
      </c>
      <c r="M95" s="73" t="e">
        <f ca="1"/>
        <v>#N/A</v>
      </c>
      <c r="N95" s="73" t="e">
        <f ca="1"/>
        <v>#N/A</v>
      </c>
      <c r="O95" s="52" t="e">
        <f ca="1"/>
        <v>#N/A</v>
      </c>
      <c r="P95" s="52" t="e">
        <f ca="1"/>
        <v>#N/A</v>
      </c>
      <c r="Q95" s="52" t="e">
        <f ca="1"/>
        <v>#N/A</v>
      </c>
      <c r="R95" s="73" t="e">
        <f ca="1"/>
        <v>#N/A</v>
      </c>
      <c r="S95" s="52" t="e">
        <f ca="1"/>
        <v>#N/A</v>
      </c>
      <c r="T95" s="75" t="e">
        <f ca="1"/>
        <v>#N/A</v>
      </c>
      <c r="U95" s="78" t="e">
        <f ca="1"/>
        <v>#N/A</v>
      </c>
      <c r="V95" s="78" t="e">
        <f ca="1"/>
        <v>#N/A</v>
      </c>
      <c r="W95" s="78" t="e">
        <f ca="1"/>
        <v>#N/A</v>
      </c>
      <c r="X95" s="78" t="e">
        <f ca="1"/>
        <v>#N/A</v>
      </c>
      <c r="Y95" s="78" t="e">
        <f ca="1"/>
        <v>#N/A</v>
      </c>
      <c r="Z95" s="78" t="e">
        <f ca="1"/>
        <v>#N/A</v>
      </c>
      <c r="AA95" s="52" t="e">
        <f ca="1"/>
        <v>#N/A</v>
      </c>
      <c r="AB95" s="52" t="e">
        <f ca="1"/>
        <v>#N/A</v>
      </c>
      <c r="AC95" s="52" t="e">
        <f ca="1"/>
        <v>#N/A</v>
      </c>
    </row>
    <row r="96" spans="1:29" ht="15" thickBot="1">
      <c r="A96" s="81"/>
      <c r="B96" s="81"/>
      <c r="C96" s="86"/>
      <c r="D96" s="91"/>
      <c r="E96" s="90"/>
      <c r="F96" s="86"/>
      <c r="G96" s="86"/>
      <c r="H96" s="174">
        <v>1</v>
      </c>
      <c r="I96" s="83" t="e">
        <f>_xll.qlCallability("Kuendigungstermin"&amp;Cashflows!G96,H96,"Clean","Call",G96,,Trigger)</f>
        <v>#NUM!</v>
      </c>
      <c r="J96" s="73" t="e">
        <f ca="1"/>
        <v>#N/A</v>
      </c>
      <c r="K96" s="75" t="e">
        <f ca="1"/>
        <v>#N/A</v>
      </c>
      <c r="L96" s="75" t="e">
        <f ca="1"/>
        <v>#N/A</v>
      </c>
      <c r="M96" s="73" t="e">
        <f ca="1"/>
        <v>#N/A</v>
      </c>
      <c r="N96" s="73" t="e">
        <f ca="1"/>
        <v>#N/A</v>
      </c>
      <c r="O96" s="52" t="e">
        <f ca="1"/>
        <v>#N/A</v>
      </c>
      <c r="P96" s="52" t="e">
        <f ca="1"/>
        <v>#N/A</v>
      </c>
      <c r="Q96" s="52" t="e">
        <f ca="1"/>
        <v>#N/A</v>
      </c>
      <c r="R96" s="73" t="e">
        <f ca="1"/>
        <v>#N/A</v>
      </c>
      <c r="S96" s="52" t="e">
        <f ca="1"/>
        <v>#N/A</v>
      </c>
      <c r="T96" s="75" t="e">
        <f ca="1"/>
        <v>#N/A</v>
      </c>
      <c r="U96" s="78" t="e">
        <f ca="1"/>
        <v>#N/A</v>
      </c>
      <c r="V96" s="78" t="e">
        <f ca="1"/>
        <v>#N/A</v>
      </c>
      <c r="W96" s="78" t="e">
        <f ca="1"/>
        <v>#N/A</v>
      </c>
      <c r="X96" s="78" t="e">
        <f ca="1"/>
        <v>#N/A</v>
      </c>
      <c r="Y96" s="78" t="e">
        <f ca="1"/>
        <v>#N/A</v>
      </c>
      <c r="Z96" s="78" t="e">
        <f ca="1"/>
        <v>#N/A</v>
      </c>
      <c r="AA96" s="52" t="e">
        <f ca="1"/>
        <v>#N/A</v>
      </c>
      <c r="AB96" s="52" t="e">
        <f ca="1"/>
        <v>#N/A</v>
      </c>
      <c r="AC96" s="52" t="e">
        <f ca="1"/>
        <v>#N/A</v>
      </c>
    </row>
    <row r="97" spans="1:29" ht="15" thickBot="1">
      <c r="A97" s="81"/>
      <c r="B97" s="81"/>
      <c r="C97" s="86"/>
      <c r="D97" s="91"/>
      <c r="E97" s="90"/>
      <c r="F97" s="86"/>
      <c r="G97" s="86"/>
      <c r="H97" s="174">
        <v>1</v>
      </c>
      <c r="I97" s="83" t="e">
        <f>_xll.qlCallability("Kuendigungstermin"&amp;Cashflows!G97,H97,"Clean","Call",G97,,Trigger)</f>
        <v>#NUM!</v>
      </c>
      <c r="J97" s="73" t="e">
        <f ca="1"/>
        <v>#N/A</v>
      </c>
      <c r="K97" s="75" t="e">
        <f ca="1"/>
        <v>#N/A</v>
      </c>
      <c r="L97" s="75" t="e">
        <f ca="1"/>
        <v>#N/A</v>
      </c>
      <c r="M97" s="73" t="e">
        <f ca="1"/>
        <v>#N/A</v>
      </c>
      <c r="N97" s="73" t="e">
        <f ca="1"/>
        <v>#N/A</v>
      </c>
      <c r="O97" s="52" t="e">
        <f ca="1"/>
        <v>#N/A</v>
      </c>
      <c r="P97" s="52" t="e">
        <f ca="1"/>
        <v>#N/A</v>
      </c>
      <c r="Q97" s="52" t="e">
        <f ca="1"/>
        <v>#N/A</v>
      </c>
      <c r="R97" s="73" t="e">
        <f ca="1"/>
        <v>#N/A</v>
      </c>
      <c r="S97" s="52" t="e">
        <f ca="1"/>
        <v>#N/A</v>
      </c>
      <c r="T97" s="75" t="e">
        <f ca="1"/>
        <v>#N/A</v>
      </c>
      <c r="U97" s="78" t="e">
        <f ca="1"/>
        <v>#N/A</v>
      </c>
      <c r="V97" s="78" t="e">
        <f ca="1"/>
        <v>#N/A</v>
      </c>
      <c r="W97" s="78" t="e">
        <f ca="1"/>
        <v>#N/A</v>
      </c>
      <c r="X97" s="78" t="e">
        <f ca="1"/>
        <v>#N/A</v>
      </c>
      <c r="Y97" s="78" t="e">
        <f ca="1"/>
        <v>#N/A</v>
      </c>
      <c r="Z97" s="78" t="e">
        <f ca="1"/>
        <v>#N/A</v>
      </c>
      <c r="AA97" s="52" t="e">
        <f ca="1"/>
        <v>#N/A</v>
      </c>
      <c r="AB97" s="52" t="e">
        <f ca="1"/>
        <v>#N/A</v>
      </c>
      <c r="AC97" s="52" t="e">
        <f ca="1"/>
        <v>#N/A</v>
      </c>
    </row>
    <row r="98" spans="1:29" ht="15" thickBot="1">
      <c r="A98" s="81"/>
      <c r="B98" s="81"/>
      <c r="C98" s="86"/>
      <c r="D98" s="91"/>
      <c r="E98" s="90"/>
      <c r="F98" s="86"/>
      <c r="G98" s="86"/>
      <c r="H98" s="174">
        <v>1</v>
      </c>
      <c r="I98" s="83" t="e">
        <f>_xll.qlCallability("Kuendigungstermin"&amp;Cashflows!G98,H98,"Clean","Call",G98,,Trigger)</f>
        <v>#NUM!</v>
      </c>
      <c r="J98" s="73" t="e">
        <f ca="1"/>
        <v>#N/A</v>
      </c>
      <c r="K98" s="75" t="e">
        <f ca="1"/>
        <v>#N/A</v>
      </c>
      <c r="L98" s="75" t="e">
        <f ca="1"/>
        <v>#N/A</v>
      </c>
      <c r="M98" s="73" t="e">
        <f ca="1"/>
        <v>#N/A</v>
      </c>
      <c r="N98" s="73" t="e">
        <f ca="1"/>
        <v>#N/A</v>
      </c>
      <c r="O98" s="52" t="e">
        <f ca="1"/>
        <v>#N/A</v>
      </c>
      <c r="P98" s="52" t="e">
        <f ca="1"/>
        <v>#N/A</v>
      </c>
      <c r="Q98" s="52" t="e">
        <f ca="1"/>
        <v>#N/A</v>
      </c>
      <c r="R98" s="73" t="e">
        <f ca="1"/>
        <v>#N/A</v>
      </c>
      <c r="S98" s="52" t="e">
        <f ca="1"/>
        <v>#N/A</v>
      </c>
      <c r="T98" s="75" t="e">
        <f ca="1"/>
        <v>#N/A</v>
      </c>
      <c r="U98" s="78" t="e">
        <f ca="1"/>
        <v>#N/A</v>
      </c>
      <c r="V98" s="78" t="e">
        <f ca="1"/>
        <v>#N/A</v>
      </c>
      <c r="W98" s="78" t="e">
        <f ca="1"/>
        <v>#N/A</v>
      </c>
      <c r="X98" s="78" t="e">
        <f ca="1"/>
        <v>#N/A</v>
      </c>
      <c r="Y98" s="78" t="e">
        <f ca="1"/>
        <v>#N/A</v>
      </c>
      <c r="Z98" s="78" t="e">
        <f ca="1"/>
        <v>#N/A</v>
      </c>
      <c r="AA98" s="52" t="e">
        <f ca="1"/>
        <v>#N/A</v>
      </c>
      <c r="AB98" s="52" t="e">
        <f ca="1"/>
        <v>#N/A</v>
      </c>
      <c r="AC98" s="52" t="e">
        <f ca="1"/>
        <v>#N/A</v>
      </c>
    </row>
    <row r="99" spans="1:29" ht="15" thickBot="1">
      <c r="A99" s="81"/>
      <c r="B99" s="81"/>
      <c r="C99" s="86"/>
      <c r="D99" s="91"/>
      <c r="E99" s="90"/>
      <c r="F99" s="86"/>
      <c r="G99" s="86"/>
      <c r="H99" s="174">
        <v>1</v>
      </c>
      <c r="I99" s="83" t="e">
        <f>_xll.qlCallability("Kuendigungstermin"&amp;Cashflows!G99,H99,"Clean","Call",G99,,Trigger)</f>
        <v>#NUM!</v>
      </c>
      <c r="J99" s="73" t="e">
        <f ca="1"/>
        <v>#N/A</v>
      </c>
      <c r="K99" s="75" t="e">
        <f ca="1"/>
        <v>#N/A</v>
      </c>
      <c r="L99" s="75" t="e">
        <f ca="1"/>
        <v>#N/A</v>
      </c>
      <c r="M99" s="73" t="e">
        <f ca="1"/>
        <v>#N/A</v>
      </c>
      <c r="N99" s="73" t="e">
        <f ca="1"/>
        <v>#N/A</v>
      </c>
      <c r="O99" s="52" t="e">
        <f ca="1"/>
        <v>#N/A</v>
      </c>
      <c r="P99" s="52" t="e">
        <f ca="1"/>
        <v>#N/A</v>
      </c>
      <c r="Q99" s="52" t="e">
        <f ca="1"/>
        <v>#N/A</v>
      </c>
      <c r="R99" s="73" t="e">
        <f ca="1"/>
        <v>#N/A</v>
      </c>
      <c r="S99" s="52" t="e">
        <f ca="1"/>
        <v>#N/A</v>
      </c>
      <c r="T99" s="75" t="e">
        <f ca="1"/>
        <v>#N/A</v>
      </c>
      <c r="U99" s="78" t="e">
        <f ca="1"/>
        <v>#N/A</v>
      </c>
      <c r="V99" s="78" t="e">
        <f ca="1"/>
        <v>#N/A</v>
      </c>
      <c r="W99" s="78" t="e">
        <f ca="1"/>
        <v>#N/A</v>
      </c>
      <c r="X99" s="78" t="e">
        <f ca="1"/>
        <v>#N/A</v>
      </c>
      <c r="Y99" s="78" t="e">
        <f ca="1"/>
        <v>#N/A</v>
      </c>
      <c r="Z99" s="78" t="e">
        <f ca="1"/>
        <v>#N/A</v>
      </c>
      <c r="AA99" s="52" t="e">
        <f ca="1"/>
        <v>#N/A</v>
      </c>
      <c r="AB99" s="52" t="e">
        <f ca="1"/>
        <v>#N/A</v>
      </c>
      <c r="AC99" s="52" t="e">
        <f ca="1"/>
        <v>#N/A</v>
      </c>
    </row>
    <row r="100" spans="1:29">
      <c r="A100" s="81"/>
      <c r="B100" s="81"/>
      <c r="C100" s="86"/>
      <c r="D100" s="91"/>
      <c r="E100" s="90"/>
      <c r="F100" s="86"/>
      <c r="G100" s="86"/>
      <c r="H100" s="174">
        <v>1</v>
      </c>
      <c r="I100" s="83" t="e">
        <f>_xll.qlCallability("Kuendigungstermin"&amp;Cashflows!G100,H100,"Clean","Call",G100,,Trigger)</f>
        <v>#NUM!</v>
      </c>
      <c r="J100" s="73" t="e">
        <f ca="1"/>
        <v>#N/A</v>
      </c>
      <c r="K100" s="75" t="e">
        <f ca="1"/>
        <v>#N/A</v>
      </c>
      <c r="L100" s="75" t="e">
        <f ca="1"/>
        <v>#N/A</v>
      </c>
      <c r="M100" s="73" t="e">
        <f ca="1"/>
        <v>#N/A</v>
      </c>
      <c r="N100" s="73" t="e">
        <f ca="1"/>
        <v>#N/A</v>
      </c>
      <c r="O100" s="52" t="e">
        <f ca="1"/>
        <v>#N/A</v>
      </c>
      <c r="P100" s="52" t="e">
        <f ca="1"/>
        <v>#N/A</v>
      </c>
      <c r="Q100" s="52" t="e">
        <f ca="1"/>
        <v>#N/A</v>
      </c>
      <c r="R100" s="73" t="e">
        <f ca="1"/>
        <v>#N/A</v>
      </c>
      <c r="S100" s="52" t="e">
        <f ca="1"/>
        <v>#N/A</v>
      </c>
      <c r="T100" s="75" t="e">
        <f ca="1"/>
        <v>#N/A</v>
      </c>
      <c r="U100" s="78" t="e">
        <f ca="1"/>
        <v>#N/A</v>
      </c>
      <c r="V100" s="78" t="e">
        <f ca="1"/>
        <v>#N/A</v>
      </c>
      <c r="W100" s="78" t="e">
        <f ca="1"/>
        <v>#N/A</v>
      </c>
      <c r="X100" s="78" t="e">
        <f ca="1"/>
        <v>#N/A</v>
      </c>
      <c r="Y100" s="78" t="e">
        <f ca="1"/>
        <v>#N/A</v>
      </c>
      <c r="Z100" s="78" t="e">
        <f ca="1"/>
        <v>#N/A</v>
      </c>
      <c r="AA100" s="52" t="e">
        <f ca="1"/>
        <v>#N/A</v>
      </c>
      <c r="AB100" s="52" t="e">
        <f ca="1"/>
        <v>#N/A</v>
      </c>
      <c r="AC100" s="52" t="e">
        <f ca="1"/>
        <v>#N/A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opLeftCell="A3" workbookViewId="0">
      <selection activeCell="A3" sqref="A3:A12"/>
    </sheetView>
  </sheetViews>
  <sheetFormatPr defaultRowHeight="14.5"/>
  <cols>
    <col min="1" max="1" width="16.6328125" bestFit="1" customWidth="1"/>
  </cols>
  <sheetData>
    <row r="1" spans="1:1" hidden="1"/>
    <row r="2" spans="1:1" hidden="1"/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91</v>
      </c>
    </row>
    <row r="11" spans="1:1">
      <c r="A11" t="s">
        <v>92</v>
      </c>
    </row>
    <row r="12" spans="1:1">
      <c r="A12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Not Started</_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158F4ADA6DD4D8A7B88B980F79171" ma:contentTypeVersion="0" ma:contentTypeDescription="Create a new document." ma:contentTypeScope="" ma:versionID="a21957de2169100784e94dd523ac56e3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targetNamespace="http://schemas.microsoft.com/office/2006/metadata/properties" ma:root="true" ma:fieldsID="4eb3fda366efb343334c36564b828d61" ns2:_="" ns3:_="">
    <xsd:import namespace="fa7e5010-1311-4096-a344-326d1919664c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1" nillable="true" ma:displayName="Status" ma:default="Not Started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A5E3373-6C66-4BDD-9540-712CEAA961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C4773B-DD53-4C8F-828C-26A8011A079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7e5010-1311-4096-a344-326d1919664c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5254F65-2157-4C61-8A01-D6C636AD4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D94D478-C0CC-4E32-AB98-2A1279C93DB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Übersicht</vt:lpstr>
      <vt:lpstr>InterestRateCurve</vt:lpstr>
      <vt:lpstr>XXX</vt:lpstr>
      <vt:lpstr>Cashflows</vt:lpstr>
      <vt:lpstr>QuantLibLists</vt:lpstr>
      <vt:lpstr>listFrequencies</vt:lpstr>
      <vt:lpstr>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2020-11-16T17:39:49Z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0x010100C96158F4ADA6DD4D8A7B88B980F79171</vt:lpwstr>
  </property>
</Properties>
</file>