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4220" windowHeight="8832"/>
  </bookViews>
  <sheets>
    <sheet name="Sheet1" sheetId="1" r:id="rId1"/>
  </sheets>
  <definedNames>
    <definedName name="Interpolations">#REF!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45621"/>
</workbook>
</file>

<file path=xl/calcChain.xml><?xml version="1.0" encoding="utf-8"?>
<calcChain xmlns="http://schemas.openxmlformats.org/spreadsheetml/2006/main">
  <c r="G8" i="1" l="1"/>
  <c r="F8" i="1"/>
  <c r="D8" i="1"/>
  <c r="D22" i="1"/>
  <c r="A22" i="1"/>
  <c r="D18" i="1"/>
  <c r="D29" i="1"/>
  <c r="A8" i="1"/>
  <c r="D11" i="1"/>
  <c r="D27" i="1"/>
  <c r="D33" i="1"/>
  <c r="D10" i="1"/>
  <c r="D30" i="1"/>
  <c r="A18" i="1"/>
  <c r="D26" i="1"/>
  <c r="A26" i="1" s="1"/>
  <c r="D28" i="1"/>
  <c r="D15" i="1"/>
  <c r="D31" i="1"/>
  <c r="D13" i="1"/>
  <c r="A10" i="1"/>
  <c r="D23" i="1"/>
  <c r="A23" i="1" s="1"/>
  <c r="D32" i="1"/>
  <c r="D19" i="1"/>
  <c r="D20" i="1"/>
  <c r="D24" i="1"/>
  <c r="A24" i="1" s="1"/>
  <c r="D12" i="1"/>
  <c r="A12" i="1" s="1"/>
  <c r="D9" i="1"/>
  <c r="A9" i="1" s="1"/>
  <c r="D25" i="1"/>
  <c r="A15" i="1"/>
  <c r="D21" i="1"/>
  <c r="A13" i="1"/>
  <c r="D16" i="1"/>
  <c r="A16" i="1" s="1"/>
  <c r="D17" i="1"/>
  <c r="A17" i="1" s="1"/>
  <c r="D14" i="1"/>
  <c r="A14" i="1" s="1"/>
  <c r="B9" i="1" l="1"/>
  <c r="B23" i="1"/>
  <c r="B18" i="1"/>
  <c r="B15" i="1"/>
  <c r="B10" i="1"/>
  <c r="B14" i="1"/>
  <c r="B17" i="1"/>
  <c r="E8" i="1"/>
  <c r="B24" i="1"/>
  <c r="B16" i="1"/>
  <c r="B13" i="1"/>
  <c r="A21" i="1"/>
  <c r="A28" i="1"/>
  <c r="A20" i="1"/>
  <c r="A11" i="1"/>
  <c r="A27" i="1"/>
  <c r="A19" i="1"/>
  <c r="A25" i="1"/>
  <c r="B26" i="1" l="1"/>
  <c r="B25" i="1"/>
  <c r="B19" i="1"/>
  <c r="B27" i="1"/>
  <c r="B11" i="1"/>
  <c r="F11" i="1" s="1"/>
  <c r="E11" i="1" s="1"/>
  <c r="B12" i="1"/>
  <c r="B20" i="1"/>
  <c r="B28" i="1"/>
  <c r="B21" i="1"/>
  <c r="B22" i="1"/>
  <c r="F9" i="1"/>
  <c r="E9" i="1" s="1"/>
  <c r="F10" i="1"/>
  <c r="E10" i="1" s="1"/>
  <c r="F14" i="1" l="1"/>
  <c r="E14" i="1" s="1"/>
  <c r="F19" i="1"/>
  <c r="E19" i="1" s="1"/>
  <c r="F22" i="1"/>
  <c r="E22" i="1" s="1"/>
  <c r="F21" i="1"/>
  <c r="E21" i="1" s="1"/>
  <c r="F18" i="1"/>
  <c r="E18" i="1" s="1"/>
  <c r="F26" i="1"/>
  <c r="E26" i="1" s="1"/>
  <c r="F23" i="1"/>
  <c r="E23" i="1" s="1"/>
  <c r="F28" i="1"/>
  <c r="E28" i="1" s="1"/>
  <c r="F13" i="1"/>
  <c r="E13" i="1" s="1"/>
  <c r="F12" i="1"/>
  <c r="E12" i="1" s="1"/>
  <c r="F17" i="1"/>
  <c r="E17" i="1" s="1"/>
  <c r="F24" i="1"/>
  <c r="E24" i="1" s="1"/>
  <c r="F27" i="1"/>
  <c r="E27" i="1" s="1"/>
  <c r="F16" i="1"/>
  <c r="E16" i="1" s="1"/>
  <c r="F25" i="1"/>
  <c r="E25" i="1" s="1"/>
  <c r="F20" i="1"/>
  <c r="E20" i="1" s="1"/>
  <c r="F15" i="1"/>
  <c r="E15" i="1" s="1"/>
  <c r="D5" i="1"/>
  <c r="K2" i="1"/>
  <c r="N23" i="1"/>
  <c r="N20" i="1"/>
  <c r="K1" i="1"/>
  <c r="L8" i="1" a="1"/>
  <c r="N11" i="1"/>
  <c r="N28" i="1"/>
  <c r="N14" i="1"/>
  <c r="N21" i="1"/>
  <c r="N15" i="1"/>
  <c r="M31" i="1"/>
  <c r="N16" i="1"/>
  <c r="K8" i="1" a="1"/>
  <c r="N29" i="1"/>
  <c r="M33" i="1"/>
  <c r="K3" i="1"/>
  <c r="K4" i="1"/>
  <c r="I8" i="1" a="1"/>
  <c r="L32" i="1"/>
  <c r="N19" i="1"/>
  <c r="N31" i="1"/>
  <c r="M30" i="1"/>
  <c r="L33" i="1"/>
  <c r="N22" i="1"/>
  <c r="N12" i="1"/>
  <c r="J8" i="1" a="1"/>
  <c r="M32" i="1"/>
  <c r="L30" i="1"/>
  <c r="N32" i="1"/>
  <c r="N17" i="1"/>
  <c r="M29" i="1"/>
  <c r="L29" i="1"/>
  <c r="N18" i="1"/>
  <c r="N27" i="1"/>
  <c r="N9" i="1"/>
  <c r="N26" i="1"/>
  <c r="N33" i="1"/>
  <c r="N30" i="1"/>
  <c r="N25" i="1"/>
  <c r="N24" i="1"/>
  <c r="L31" i="1"/>
  <c r="N13" i="1"/>
  <c r="K5" i="1"/>
  <c r="N10" i="1"/>
  <c r="M8" i="1" a="1"/>
  <c r="N8" i="1"/>
  <c r="L18" i="1"/>
  <c r="R18" i="1" s="1"/>
  <c r="L22" i="1"/>
  <c r="R22" i="1" s="1"/>
  <c r="L12" i="1"/>
  <c r="R12" i="1" s="1"/>
  <c r="L15" i="1"/>
  <c r="R15" i="1" s="1"/>
  <c r="L11" i="1"/>
  <c r="R11" i="1" s="1"/>
  <c r="L26" i="1"/>
  <c r="R26" i="1" s="1"/>
  <c r="I24" i="1"/>
  <c r="I22" i="1"/>
  <c r="I25" i="1"/>
  <c r="I17" i="1"/>
  <c r="I13" i="1"/>
  <c r="T8" i="1"/>
  <c r="T15" i="1"/>
  <c r="M11" i="1"/>
  <c r="S11" i="1" s="1"/>
  <c r="M28" i="1"/>
  <c r="S28" i="1" s="1"/>
  <c r="M17" i="1"/>
  <c r="S17" i="1" s="1"/>
  <c r="M8" i="1"/>
  <c r="S8" i="1" s="1"/>
  <c r="M20" i="1"/>
  <c r="S20" i="1" s="1"/>
  <c r="M10" i="1"/>
  <c r="S10" i="1" s="1"/>
  <c r="T18" i="1"/>
  <c r="K14" i="1"/>
  <c r="Q14" i="1" s="1"/>
  <c r="K16" i="1"/>
  <c r="Q16" i="1" s="1"/>
  <c r="K24" i="1"/>
  <c r="Q24" i="1" s="1"/>
  <c r="K26" i="1"/>
  <c r="Q26" i="1" s="1"/>
  <c r="K23" i="1"/>
  <c r="Q23" i="1" s="1"/>
  <c r="K28" i="1"/>
  <c r="Q28" i="1" s="1"/>
  <c r="J8" i="1"/>
  <c r="P8" i="1" s="1"/>
  <c r="J9" i="1"/>
  <c r="P9" i="1" s="1"/>
  <c r="J10" i="1"/>
  <c r="P10" i="1" s="1"/>
  <c r="J18" i="1"/>
  <c r="P18" i="1" s="1"/>
  <c r="J15" i="1"/>
  <c r="P15" i="1" s="1"/>
  <c r="J17" i="1"/>
  <c r="P17" i="1" s="1"/>
  <c r="L21" i="1"/>
  <c r="R21" i="1" s="1"/>
  <c r="L8" i="1"/>
  <c r="R8" i="1" s="1"/>
  <c r="L13" i="1"/>
  <c r="R13" i="1" s="1"/>
  <c r="L9" i="1"/>
  <c r="R9" i="1" s="1"/>
  <c r="L17" i="1"/>
  <c r="R17" i="1" s="1"/>
  <c r="T21" i="1"/>
  <c r="I26" i="1"/>
  <c r="I8" i="1"/>
  <c r="I15" i="1"/>
  <c r="I11" i="1"/>
  <c r="I19" i="1"/>
  <c r="T17" i="1"/>
  <c r="T23" i="1"/>
  <c r="M15" i="1"/>
  <c r="S15" i="1" s="1"/>
  <c r="M14" i="1"/>
  <c r="S14" i="1" s="1"/>
  <c r="M22" i="1"/>
  <c r="S22" i="1" s="1"/>
  <c r="M18" i="1"/>
  <c r="S18" i="1" s="1"/>
  <c r="M26" i="1"/>
  <c r="S26" i="1" s="1"/>
  <c r="T16" i="1"/>
  <c r="T10" i="1"/>
  <c r="K15" i="1"/>
  <c r="Q15" i="1" s="1"/>
  <c r="K20" i="1"/>
  <c r="Q20" i="1" s="1"/>
  <c r="K25" i="1"/>
  <c r="Q25" i="1" s="1"/>
  <c r="K27" i="1"/>
  <c r="Q27" i="1" s="1"/>
  <c r="K13" i="1"/>
  <c r="Q13" i="1" s="1"/>
  <c r="T26" i="1"/>
  <c r="J12" i="1"/>
  <c r="P12" i="1" s="1"/>
  <c r="J11" i="1"/>
  <c r="P11" i="1" s="1"/>
  <c r="J28" i="1"/>
  <c r="P28" i="1" s="1"/>
  <c r="J20" i="1"/>
  <c r="P20" i="1" s="1"/>
  <c r="J22" i="1"/>
  <c r="P22" i="1" s="1"/>
  <c r="T27" i="1"/>
  <c r="M9" i="1"/>
  <c r="S9" i="1" s="1"/>
  <c r="T24" i="1"/>
  <c r="K17" i="1"/>
  <c r="Q17" i="1" s="1"/>
  <c r="K8" i="1"/>
  <c r="Q8" i="1" s="1"/>
  <c r="K21" i="1"/>
  <c r="Q21" i="1" s="1"/>
  <c r="K22" i="1"/>
  <c r="Q22" i="1" s="1"/>
  <c r="J13" i="1"/>
  <c r="P13" i="1" s="1"/>
  <c r="J27" i="1"/>
  <c r="P27" i="1" s="1"/>
  <c r="J14" i="1"/>
  <c r="P14" i="1" s="1"/>
  <c r="J21" i="1"/>
  <c r="P21" i="1" s="1"/>
  <c r="L19" i="1"/>
  <c r="R19" i="1" s="1"/>
  <c r="L23" i="1"/>
  <c r="R23" i="1" s="1"/>
  <c r="L28" i="1"/>
  <c r="R28" i="1" s="1"/>
  <c r="L27" i="1"/>
  <c r="R27" i="1" s="1"/>
  <c r="L16" i="1"/>
  <c r="R16" i="1" s="1"/>
  <c r="I10" i="1"/>
  <c r="I23" i="1"/>
  <c r="I14" i="1"/>
  <c r="I18" i="1"/>
  <c r="T13" i="1"/>
  <c r="M27" i="1"/>
  <c r="S27" i="1" s="1"/>
  <c r="M21" i="1"/>
  <c r="S21" i="1" s="1"/>
  <c r="M25" i="1"/>
  <c r="S25" i="1" s="1"/>
  <c r="T22" i="1"/>
  <c r="K9" i="1"/>
  <c r="Q9" i="1" s="1"/>
  <c r="T12" i="1"/>
  <c r="J19" i="1"/>
  <c r="P19" i="1" s="1"/>
  <c r="T25" i="1"/>
  <c r="L20" i="1"/>
  <c r="R20" i="1" s="1"/>
  <c r="L24" i="1"/>
  <c r="R24" i="1" s="1"/>
  <c r="L14" i="1"/>
  <c r="R14" i="1" s="1"/>
  <c r="L10" i="1"/>
  <c r="R10" i="1" s="1"/>
  <c r="L25" i="1"/>
  <c r="R25" i="1" s="1"/>
  <c r="I20" i="1"/>
  <c r="I21" i="1"/>
  <c r="I9" i="1"/>
  <c r="I16" i="1"/>
  <c r="I12" i="1"/>
  <c r="I27" i="1"/>
  <c r="T11" i="1"/>
  <c r="M12" i="1"/>
  <c r="S12" i="1" s="1"/>
  <c r="M16" i="1"/>
  <c r="S16" i="1" s="1"/>
  <c r="M23" i="1"/>
  <c r="S23" i="1" s="1"/>
  <c r="M19" i="1"/>
  <c r="S19" i="1" s="1"/>
  <c r="T20" i="1"/>
  <c r="K10" i="1"/>
  <c r="Q10" i="1" s="1"/>
  <c r="T14" i="1"/>
  <c r="J23" i="1"/>
  <c r="P23" i="1" s="1"/>
  <c r="T9" i="1"/>
  <c r="I28" i="1"/>
  <c r="T19" i="1"/>
  <c r="M13" i="1"/>
  <c r="S13" i="1" s="1"/>
  <c r="M24" i="1"/>
  <c r="S24" i="1" s="1"/>
  <c r="T28" i="1"/>
  <c r="K19" i="1"/>
  <c r="Q19" i="1" s="1"/>
  <c r="K18" i="1"/>
  <c r="Q18" i="1" s="1"/>
  <c r="K11" i="1"/>
  <c r="Q11" i="1" s="1"/>
  <c r="K12" i="1"/>
  <c r="Q12" i="1" s="1"/>
  <c r="J24" i="1"/>
  <c r="P24" i="1" s="1"/>
  <c r="J25" i="1"/>
  <c r="P25" i="1" s="1"/>
  <c r="J26" i="1"/>
  <c r="P26" i="1" s="1"/>
  <c r="J16" i="1"/>
  <c r="P16" i="1" s="1"/>
</calcChain>
</file>

<file path=xl/sharedStrings.xml><?xml version="1.0" encoding="utf-8"?>
<sst xmlns="http://schemas.openxmlformats.org/spreadsheetml/2006/main" count="51" uniqueCount="43">
  <si>
    <t>Actual/365 (Fixed)</t>
  </si>
  <si>
    <t>dt</t>
  </si>
  <si>
    <t>TARGET</t>
  </si>
  <si>
    <t>ForwardFlat</t>
  </si>
  <si>
    <t>Discount</t>
  </si>
  <si>
    <t>ForwardRate</t>
  </si>
  <si>
    <t>ZeroYield</t>
  </si>
  <si>
    <t>DayCounter</t>
  </si>
  <si>
    <t>MaxDate</t>
  </si>
  <si>
    <t>ReferenceDate</t>
  </si>
  <si>
    <t>Calendar</t>
  </si>
  <si>
    <t>SettlementDays</t>
  </si>
  <si>
    <t>Times</t>
  </si>
  <si>
    <t>Dates</t>
  </si>
  <si>
    <t>Data</t>
  </si>
  <si>
    <t>TraitsID</t>
  </si>
  <si>
    <t>InterpolatorID</t>
  </si>
  <si>
    <t>2D</t>
  </si>
  <si>
    <t>3M</t>
  </si>
  <si>
    <t>6M</t>
  </si>
  <si>
    <t>9M</t>
  </si>
  <si>
    <t>12M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</si>
  <si>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</si>
  <si>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</si>
  <si>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</si>
  <si>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</si>
  <si>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</si>
  <si>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</si>
  <si>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</si>
  <si>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</si>
  <si>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</si>
  <si>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</si>
  <si>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</si>
  <si>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</si>
  <si>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</si>
  <si>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</si>
  <si>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25Y</t>
  </si>
  <si>
    <t>30Y</t>
  </si>
  <si>
    <t>31Y</t>
  </si>
  <si>
    <t>40Y</t>
  </si>
  <si>
    <t>50Y</t>
  </si>
  <si>
    <t>60Y</t>
  </si>
  <si>
    <t>35Y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</si>
</sst>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d\,\ d\-mmm\-yyyy"/>
    <numFmt numFmtId="165" formatCode="0.0000"/>
    <numFmt numFmtId="166" formatCode="0.000000000"/>
    <numFmt numFmtId="167" formatCode="0.0000%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  <xf numFmtId="167" fontId="3" fillId="0" borderId="0" xfId="1" applyNumberFormat="1" applyFont="1"/>
    <xf numFmtId="0" fontId="3" fillId="0" borderId="0" xfId="0" applyFont="1" applyAlignment="1">
      <alignment horizontal="center"/>
    </xf>
    <xf numFmtId="1" fontId="3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4" xfId="0" applyNumberFormat="1" applyFont="1" applyBorder="1"/>
    <xf numFmtId="165" fontId="3" fillId="0" borderId="5" xfId="0" applyNumberFormat="1" applyFont="1" applyBorder="1"/>
    <xf numFmtId="164" fontId="3" fillId="0" borderId="5" xfId="0" applyNumberFormat="1" applyFont="1" applyBorder="1"/>
    <xf numFmtId="166" fontId="3" fillId="0" borderId="5" xfId="0" applyNumberFormat="1" applyFont="1" applyBorder="1"/>
    <xf numFmtId="167" fontId="3" fillId="0" borderId="5" xfId="0" applyNumberFormat="1" applyFont="1" applyBorder="1"/>
    <xf numFmtId="167" fontId="3" fillId="0" borderId="6" xfId="0" applyNumberFormat="1" applyFont="1" applyBorder="1"/>
    <xf numFmtId="165" fontId="3" fillId="0" borderId="7" xfId="0" applyNumberFormat="1" applyFont="1" applyBorder="1"/>
    <xf numFmtId="165" fontId="3" fillId="0" borderId="0" xfId="0" applyNumberFormat="1" applyFont="1" applyBorder="1"/>
    <xf numFmtId="164" fontId="3" fillId="0" borderId="0" xfId="0" applyNumberFormat="1" applyFont="1" applyBorder="1"/>
    <xf numFmtId="166" fontId="3" fillId="0" borderId="0" xfId="0" applyNumberFormat="1" applyFont="1" applyBorder="1"/>
    <xf numFmtId="167" fontId="3" fillId="0" borderId="0" xfId="0" applyNumberFormat="1" applyFont="1" applyBorder="1"/>
    <xf numFmtId="167" fontId="3" fillId="0" borderId="8" xfId="0" applyNumberFormat="1" applyFont="1" applyBorder="1"/>
    <xf numFmtId="165" fontId="3" fillId="0" borderId="9" xfId="0" applyNumberFormat="1" applyFont="1" applyBorder="1"/>
    <xf numFmtId="165" fontId="3" fillId="0" borderId="10" xfId="0" applyNumberFormat="1" applyFont="1" applyBorder="1"/>
    <xf numFmtId="164" fontId="3" fillId="0" borderId="10" xfId="0" applyNumberFormat="1" applyFont="1" applyBorder="1"/>
    <xf numFmtId="166" fontId="3" fillId="0" borderId="10" xfId="0" applyNumberFormat="1" applyFont="1" applyBorder="1"/>
    <xf numFmtId="167" fontId="3" fillId="0" borderId="10" xfId="0" applyNumberFormat="1" applyFont="1" applyBorder="1"/>
    <xf numFmtId="167" fontId="3" fillId="0" borderId="11" xfId="0" applyNumberFormat="1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167" fontId="3" fillId="0" borderId="5" xfId="1" applyNumberFormat="1" applyFont="1" applyBorder="1"/>
    <xf numFmtId="167" fontId="3" fillId="0" borderId="0" xfId="1" applyNumberFormat="1" applyFont="1" applyBorder="1"/>
    <xf numFmtId="167" fontId="3" fillId="0" borderId="10" xfId="1" applyNumberFormat="1" applyFont="1" applyBorder="1"/>
    <xf numFmtId="164" fontId="3" fillId="0" borderId="7" xfId="0" applyNumberFormat="1" applyFont="1" applyBorder="1"/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10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7"/>
  <sheetViews>
    <sheetView tabSelected="1" workbookViewId="0">
      <selection activeCell="D5" sqref="D5"/>
    </sheetView>
  </sheetViews>
  <sheetFormatPr defaultColWidth="9.109375" defaultRowHeight="10.8" x14ac:dyDescent="0.25"/>
  <cols>
    <col min="1" max="1" width="8" style="1" bestFit="1" customWidth="1"/>
    <col min="2" max="2" width="8" style="1" hidden="1" customWidth="1"/>
    <col min="3" max="3" width="7" style="1" hidden="1" customWidth="1"/>
    <col min="4" max="4" width="19.33203125" style="1" bestFit="1" customWidth="1"/>
    <col min="5" max="5" width="15.109375" style="1" bestFit="1" customWidth="1"/>
    <col min="6" max="6" width="10" style="1" bestFit="1" customWidth="1"/>
    <col min="7" max="7" width="12" style="1" bestFit="1" customWidth="1"/>
    <col min="8" max="8" width="4.33203125" style="1" customWidth="1"/>
    <col min="9" max="9" width="7" style="1" bestFit="1" customWidth="1"/>
    <col min="10" max="10" width="8" style="1" bestFit="1" customWidth="1"/>
    <col min="11" max="11" width="19.33203125" style="1" bestFit="1" customWidth="1"/>
    <col min="12" max="12" width="15.109375" style="1" bestFit="1" customWidth="1"/>
    <col min="13" max="13" width="10" style="1" bestFit="1" customWidth="1"/>
    <col min="14" max="14" width="12" style="1" bestFit="1" customWidth="1"/>
    <col min="15" max="15" width="2.88671875" style="1" customWidth="1"/>
    <col min="16" max="16" width="7" style="1" bestFit="1" customWidth="1"/>
    <col min="17" max="17" width="2" style="1" bestFit="1" customWidth="1"/>
    <col min="18" max="18" width="8" style="1" bestFit="1" customWidth="1"/>
    <col min="19" max="20" width="9" style="1" bestFit="1" customWidth="1"/>
    <col min="21" max="21" width="8" style="1" bestFit="1" customWidth="1"/>
    <col min="22" max="16384" width="9.109375" style="1"/>
  </cols>
  <sheetData>
    <row r="1" spans="1:21" x14ac:dyDescent="0.25">
      <c r="D1" s="30" t="s">
        <v>0</v>
      </c>
      <c r="E1" s="32" t="s">
        <v>7</v>
      </c>
      <c r="K1" s="30" t="str">
        <f ca="1">_xll.qlTermStructureDayCounter($D$5)</f>
        <v>Actual/365 (Fixed)</v>
      </c>
      <c r="L1" s="32" t="s">
        <v>7</v>
      </c>
    </row>
    <row r="2" spans="1:21" x14ac:dyDescent="0.25">
      <c r="D2" s="33" t="s">
        <v>2</v>
      </c>
      <c r="E2" s="35" t="s">
        <v>10</v>
      </c>
      <c r="K2" s="33" t="str">
        <f ca="1">_xll.qlTermStructureCalendar($D$5)</f>
        <v>TARGET</v>
      </c>
      <c r="L2" s="35" t="s">
        <v>10</v>
      </c>
    </row>
    <row r="3" spans="1:21" x14ac:dyDescent="0.25">
      <c r="D3" s="33" t="s">
        <v>5</v>
      </c>
      <c r="E3" s="35" t="s">
        <v>15</v>
      </c>
      <c r="K3" s="42">
        <f ca="1">_xll.qlTermStructureReferenceDate($D$5)</f>
        <v>43073</v>
      </c>
      <c r="L3" s="35" t="s">
        <v>9</v>
      </c>
    </row>
    <row r="4" spans="1:21" x14ac:dyDescent="0.25">
      <c r="D4" s="36" t="s">
        <v>3</v>
      </c>
      <c r="E4" s="38" t="s">
        <v>16</v>
      </c>
      <c r="K4" s="42">
        <f ca="1">_xll.qlTermStructureMaxDate($D$5)</f>
        <v>54030</v>
      </c>
      <c r="L4" s="35" t="s">
        <v>8</v>
      </c>
    </row>
    <row r="5" spans="1:21" x14ac:dyDescent="0.25">
      <c r="D5" s="1" t="str">
        <f ca="1">_xll.qlInterpolatedYieldCurve(,$D$8:$D$28,IF($D$3=$E$7,E8:E28,IF($D$3=$F$7,F8:F28,G8:G28)),$D$2,$D$1,,,D3,D4)</f>
        <v>obj_00081#0023</v>
      </c>
      <c r="K5" s="36" t="e">
        <f ca="1">_xll.qlTermStructureSettlementDays($D$5)</f>
        <v>#NUM!</v>
      </c>
      <c r="L5" s="38" t="s">
        <v>11</v>
      </c>
    </row>
    <row r="7" spans="1:21" x14ac:dyDescent="0.25">
      <c r="A7" s="9" t="s">
        <v>12</v>
      </c>
      <c r="B7" s="10" t="s">
        <v>1</v>
      </c>
      <c r="C7" s="10"/>
      <c r="D7" s="10" t="s">
        <v>13</v>
      </c>
      <c r="E7" s="10" t="s">
        <v>4</v>
      </c>
      <c r="F7" s="10" t="s">
        <v>6</v>
      </c>
      <c r="G7" s="11" t="s">
        <v>5</v>
      </c>
      <c r="I7" s="9" t="s">
        <v>14</v>
      </c>
      <c r="J7" s="10" t="s">
        <v>12</v>
      </c>
      <c r="K7" s="10" t="s">
        <v>13</v>
      </c>
      <c r="L7" s="10" t="s">
        <v>4</v>
      </c>
      <c r="M7" s="10" t="s">
        <v>6</v>
      </c>
      <c r="N7" s="11" t="s">
        <v>5</v>
      </c>
      <c r="R7" s="7"/>
      <c r="S7" s="7"/>
      <c r="T7" s="7"/>
      <c r="U7" s="7"/>
    </row>
    <row r="8" spans="1:21" x14ac:dyDescent="0.25">
      <c r="A8" s="12">
        <f ca="1">_xll.qlDayCounterYearFraction($D$1,$D$8,D8)</f>
        <v>0</v>
      </c>
      <c r="B8" s="13"/>
      <c r="C8" s="43" t="s">
        <v>17</v>
      </c>
      <c r="D8" s="14">
        <f ca="1">_xll.qlCalendarAdvance($D$2,TODAY(),"2D")</f>
        <v>43073</v>
      </c>
      <c r="E8" s="15">
        <f ca="1">EXP(-F8*A8)</f>
        <v>1</v>
      </c>
      <c r="F8" s="16">
        <f>G8</f>
        <v>0.04</v>
      </c>
      <c r="G8" s="17">
        <f>G9</f>
        <v>0.04</v>
      </c>
      <c r="I8" s="12">
        <f t="array" aca="1" ref="I8:I28" ca="1">_xll.qlInterpolatedYieldCurveData($D$5)</f>
        <v>0.04</v>
      </c>
      <c r="J8" s="13">
        <f t="array" aca="1" ref="J8:J28" ca="1">_xll.qlInterpolatedYieldCurveTimes($D$5)</f>
        <v>0</v>
      </c>
      <c r="K8" s="14">
        <f t="array" aca="1" ref="K8:K28" ca="1">_xll.qlInterpolatedYieldCurveDates($D$5)</f>
        <v>43073</v>
      </c>
      <c r="L8" s="15">
        <f t="array" aca="1" ref="L8:L28" ca="1">_xll.qlYieldTSDiscount(D$5,$D$8:$D$28)</f>
        <v>1</v>
      </c>
      <c r="M8" s="39">
        <f t="array" aca="1" ref="M8:M28" ca="1">_xll.qlYieldTSZeroRate(D$5,$D$8:$D$28,$D$1)</f>
        <v>3.9999999999273825E-2</v>
      </c>
      <c r="N8" s="17">
        <f ca="1">_xll.qlYieldTSForwardRate(D$5,$D8,$D8,$D$1,"continuous","annual")</f>
        <v>3.9999999999273825E-2</v>
      </c>
      <c r="P8" s="3">
        <f t="shared" ref="P8:P28" ca="1" si="0">J8-A8</f>
        <v>0</v>
      </c>
      <c r="Q8" s="8">
        <f t="shared" ref="Q8:Q28" ca="1" si="1">K8-D8</f>
        <v>0</v>
      </c>
      <c r="R8" s="3">
        <f t="shared" ref="R8:R28" ca="1" si="2">L8-E8</f>
        <v>0</v>
      </c>
      <c r="S8" s="6">
        <f t="shared" ref="S8:S28" ca="1" si="3">M8-F8</f>
        <v>-7.2617606372560317E-13</v>
      </c>
      <c r="T8" s="5">
        <f t="shared" ref="T8:T28" ca="1" si="4">N8-G8</f>
        <v>-7.2617606372560317E-13</v>
      </c>
      <c r="U8" s="5"/>
    </row>
    <row r="9" spans="1:21" x14ac:dyDescent="0.25">
      <c r="A9" s="18">
        <f ca="1">_xll.qlDayCounterYearFraction($D$1,$D$8,D9)</f>
        <v>0.24931506849315069</v>
      </c>
      <c r="B9" s="19">
        <f ca="1">A9-A8</f>
        <v>0.24931506849315069</v>
      </c>
      <c r="C9" s="43" t="s">
        <v>18</v>
      </c>
      <c r="D9" s="20">
        <f ca="1">_xll.qlCalendarAdvance($D$2,$D$8,C9)</f>
        <v>43164</v>
      </c>
      <c r="E9" s="21">
        <f t="shared" ref="E9:E28" ca="1" si="5">EXP(-F9*A9)</f>
        <v>0.99007695877372148</v>
      </c>
      <c r="F9" s="22">
        <f ca="1">SUMPRODUCT($B$9:B9,$G$9:G9)/A9</f>
        <v>0.04</v>
      </c>
      <c r="G9" s="23">
        <v>0.04</v>
      </c>
      <c r="I9" s="18">
        <f ca="1"/>
        <v>0.04</v>
      </c>
      <c r="J9" s="19">
        <f ca="1"/>
        <v>0.24931506849315069</v>
      </c>
      <c r="K9" s="20">
        <f ca="1"/>
        <v>43164</v>
      </c>
      <c r="L9" s="21">
        <f ca="1"/>
        <v>0.99007695877372148</v>
      </c>
      <c r="M9" s="40">
        <f ca="1"/>
        <v>3.9999999999999834E-2</v>
      </c>
      <c r="N9" s="23">
        <f ca="1">_xll.qlYieldTSForwardRate(D$5,$D9,$D9,$D$1,"continuous","annual")</f>
        <v>3.9999999999273825E-2</v>
      </c>
      <c r="P9" s="3">
        <f t="shared" ca="1" si="0"/>
        <v>0</v>
      </c>
      <c r="Q9" s="8">
        <f t="shared" ca="1" si="1"/>
        <v>0</v>
      </c>
      <c r="R9" s="3">
        <f t="shared" ca="1" si="2"/>
        <v>0</v>
      </c>
      <c r="S9" s="6">
        <f t="shared" ca="1" si="3"/>
        <v>-1.6653345369377348E-16</v>
      </c>
      <c r="T9" s="5">
        <f t="shared" ca="1" si="4"/>
        <v>-7.2617606372560317E-13</v>
      </c>
      <c r="U9" s="5"/>
    </row>
    <row r="10" spans="1:21" x14ac:dyDescent="0.25">
      <c r="A10" s="18">
        <f ca="1">_xll.qlDayCounterYearFraction($D$1,$D$8,D10)</f>
        <v>0.49863013698630138</v>
      </c>
      <c r="B10" s="19">
        <f t="shared" ref="B10:B28" ca="1" si="6">A10-A9</f>
        <v>0.24931506849315069</v>
      </c>
      <c r="C10" s="43" t="s">
        <v>19</v>
      </c>
      <c r="D10" s="20">
        <f ca="1">_xll.qlCalendarAdvance($D$2,$D$8,C10)</f>
        <v>43255</v>
      </c>
      <c r="E10" s="21">
        <f t="shared" ca="1" si="5"/>
        <v>0.98269935025787736</v>
      </c>
      <c r="F10" s="22">
        <f ca="1">SUMPRODUCT($B$9:B10,$G$9:G10)/A10</f>
        <v>3.5000000000000003E-2</v>
      </c>
      <c r="G10" s="23">
        <v>0.03</v>
      </c>
      <c r="I10" s="18">
        <f ca="1"/>
        <v>0.03</v>
      </c>
      <c r="J10" s="19">
        <f ca="1"/>
        <v>0.49863013698630138</v>
      </c>
      <c r="K10" s="20">
        <f ca="1"/>
        <v>43255</v>
      </c>
      <c r="L10" s="21">
        <f ca="1"/>
        <v>0.98025238429462136</v>
      </c>
      <c r="M10" s="40">
        <f ca="1"/>
        <v>3.9999999999999786E-2</v>
      </c>
      <c r="N10" s="23">
        <f ca="1">_xll.qlYieldTSForwardRate(D$5,$D10,$D10,$D$1,"continuous","annual")</f>
        <v>3.49999999991637E-2</v>
      </c>
      <c r="P10" s="3">
        <f t="shared" ca="1" si="0"/>
        <v>0</v>
      </c>
      <c r="Q10" s="8">
        <f t="shared" ca="1" si="1"/>
        <v>0</v>
      </c>
      <c r="R10" s="3">
        <f t="shared" ca="1" si="2"/>
        <v>-2.4469659632559981E-3</v>
      </c>
      <c r="S10" s="6">
        <f t="shared" ca="1" si="3"/>
        <v>4.9999999999997824E-3</v>
      </c>
      <c r="T10" s="5">
        <f t="shared" ca="1" si="4"/>
        <v>4.9999999991637012E-3</v>
      </c>
      <c r="U10" s="5"/>
    </row>
    <row r="11" spans="1:21" x14ac:dyDescent="0.25">
      <c r="A11" s="18">
        <f ca="1">_xll.qlDayCounterYearFraction($D$1,$D$8,D11)</f>
        <v>0.75068493150684934</v>
      </c>
      <c r="B11" s="19">
        <f t="shared" ca="1" si="6"/>
        <v>0.25205479452054796</v>
      </c>
      <c r="C11" s="43" t="s">
        <v>20</v>
      </c>
      <c r="D11" s="20">
        <f ca="1">_xll.qlCalendarAdvance($D$2,$D$8,C11)</f>
        <v>43347</v>
      </c>
      <c r="E11" s="21">
        <f t="shared" ca="1" si="5"/>
        <v>0.97406818505224613</v>
      </c>
      <c r="F11" s="22">
        <f ca="1">SUMPRODUCT($B$9:B11,$G$9:G11)/A11</f>
        <v>3.4999999999999996E-2</v>
      </c>
      <c r="G11" s="23">
        <v>3.5000000000000003E-2</v>
      </c>
      <c r="I11" s="18">
        <f ca="1"/>
        <v>3.5000000000000003E-2</v>
      </c>
      <c r="J11" s="19">
        <f ca="1"/>
        <v>0.75068493150684934</v>
      </c>
      <c r="K11" s="20">
        <f ca="1"/>
        <v>43347</v>
      </c>
      <c r="L11" s="21">
        <f ca="1"/>
        <v>0.97286801905105125</v>
      </c>
      <c r="M11" s="40">
        <f ca="1"/>
        <v>3.6642335766423256E-2</v>
      </c>
      <c r="N11" s="23">
        <f ca="1">_xll.qlYieldTSForwardRate(D$5,$D11,$D11,$D$1,"continuous","annual")</f>
        <v>3.2499999998633518E-2</v>
      </c>
      <c r="P11" s="3">
        <f t="shared" ca="1" si="0"/>
        <v>0</v>
      </c>
      <c r="Q11" s="8">
        <f t="shared" ca="1" si="1"/>
        <v>0</v>
      </c>
      <c r="R11" s="3">
        <f t="shared" ca="1" si="2"/>
        <v>-1.20016600119488E-3</v>
      </c>
      <c r="S11" s="6">
        <f t="shared" ca="1" si="3"/>
        <v>1.6423357664232599E-3</v>
      </c>
      <c r="T11" s="5">
        <f t="shared" ca="1" si="4"/>
        <v>-2.5000000013664855E-3</v>
      </c>
      <c r="U11" s="5"/>
    </row>
    <row r="12" spans="1:21" x14ac:dyDescent="0.25">
      <c r="A12" s="18">
        <f ca="1">_xll.qlDayCounterYearFraction($D$1,$D$8,D12)</f>
        <v>1</v>
      </c>
      <c r="B12" s="19">
        <f t="shared" ca="1" si="6"/>
        <v>0.24931506849315066</v>
      </c>
      <c r="C12" s="43" t="s">
        <v>21</v>
      </c>
      <c r="D12" s="20">
        <f ca="1">_xll.qlCalendarAdvance($D$2,$D$8,C12)</f>
        <v>43438</v>
      </c>
      <c r="E12" s="21">
        <f t="shared" ca="1" si="5"/>
        <v>0.96488346633923783</v>
      </c>
      <c r="F12" s="22">
        <f ca="1">SUMPRODUCT($B$9:B12,$G$9:G12)/A12</f>
        <v>3.5747945205479449E-2</v>
      </c>
      <c r="G12" s="23">
        <v>3.7999999999999999E-2</v>
      </c>
      <c r="I12" s="18">
        <f ca="1"/>
        <v>3.7999999999999999E-2</v>
      </c>
      <c r="J12" s="19">
        <f ca="1"/>
        <v>1</v>
      </c>
      <c r="K12" s="20">
        <f ca="1"/>
        <v>43438</v>
      </c>
      <c r="L12" s="21">
        <f ca="1"/>
        <v>0.96441567737794198</v>
      </c>
      <c r="M12" s="40">
        <f ca="1"/>
        <v>3.6232876712328735E-2</v>
      </c>
      <c r="N12" s="23">
        <f ca="1">_xll.qlYieldTSForwardRate(D$5,$D12,$D12,$D$1,"continuous","annual")</f>
        <v>3.6500000001017344E-2</v>
      </c>
      <c r="P12" s="3">
        <f t="shared" ca="1" si="0"/>
        <v>0</v>
      </c>
      <c r="Q12" s="8">
        <f t="shared" ca="1" si="1"/>
        <v>0</v>
      </c>
      <c r="R12" s="3">
        <f t="shared" ca="1" si="2"/>
        <v>-4.6778896129584524E-4</v>
      </c>
      <c r="S12" s="6">
        <f t="shared" ca="1" si="3"/>
        <v>4.8493150684928571E-4</v>
      </c>
      <c r="T12" s="5">
        <f t="shared" ca="1" si="4"/>
        <v>-1.4999999989826554E-3</v>
      </c>
      <c r="U12" s="5"/>
    </row>
    <row r="13" spans="1:21" x14ac:dyDescent="0.25">
      <c r="A13" s="18">
        <f ca="1">_xll.qlDayCounterYearFraction($D$1,$D$8,D13)</f>
        <v>1.2465753424657535</v>
      </c>
      <c r="B13" s="19">
        <f t="shared" ca="1" si="6"/>
        <v>0.24657534246575352</v>
      </c>
      <c r="C13" s="43" t="s">
        <v>22</v>
      </c>
      <c r="D13" s="20">
        <f ca="1">_xll.qlCalendarAdvance($D$2,$D$8,C13)</f>
        <v>43528</v>
      </c>
      <c r="E13" s="21">
        <f t="shared" ca="1" si="5"/>
        <v>0.9554135850459009</v>
      </c>
      <c r="F13" s="22">
        <f ca="1">SUMPRODUCT($B$9:B13,$G$9:G13)/A13</f>
        <v>3.6589010989010989E-2</v>
      </c>
      <c r="G13" s="23">
        <v>0.04</v>
      </c>
      <c r="I13" s="18">
        <f ca="1"/>
        <v>0.04</v>
      </c>
      <c r="J13" s="19">
        <f ca="1"/>
        <v>1.2465753424657535</v>
      </c>
      <c r="K13" s="20">
        <f ca="1"/>
        <v>43528</v>
      </c>
      <c r="L13" s="21">
        <f ca="1"/>
        <v>0.95542143779257005</v>
      </c>
      <c r="M13" s="40">
        <f ca="1"/>
        <v>3.6582417582417537E-2</v>
      </c>
      <c r="N13" s="23">
        <f ca="1">_xll.qlYieldTSForwardRate(D$5,$D13,$D13,$D$1,"continuous","annual")</f>
        <v>3.9000000000744675E-2</v>
      </c>
      <c r="P13" s="3">
        <f t="shared" ca="1" si="0"/>
        <v>0</v>
      </c>
      <c r="Q13" s="8">
        <f t="shared" ca="1" si="1"/>
        <v>0</v>
      </c>
      <c r="R13" s="3">
        <f t="shared" ca="1" si="2"/>
        <v>7.8527466691458159E-6</v>
      </c>
      <c r="S13" s="6">
        <f t="shared" ca="1" si="3"/>
        <v>-6.5934065934525332E-6</v>
      </c>
      <c r="T13" s="5">
        <f t="shared" ca="1" si="4"/>
        <v>-9.9999999925532573E-4</v>
      </c>
      <c r="U13" s="5"/>
    </row>
    <row r="14" spans="1:21" x14ac:dyDescent="0.25">
      <c r="A14" s="18">
        <f ca="1">_xll.qlDayCounterYearFraction($D$1,$D$8,D14)</f>
        <v>1.4986301369863013</v>
      </c>
      <c r="B14" s="19">
        <f t="shared" ca="1" si="6"/>
        <v>0.2520547945205478</v>
      </c>
      <c r="C14" s="43" t="s">
        <v>23</v>
      </c>
      <c r="D14" s="20">
        <f ca="1">_xll.qlCalendarAdvance($D$2,$D$8,C14)</f>
        <v>43620</v>
      </c>
      <c r="E14" s="21">
        <f t="shared" ca="1" si="5"/>
        <v>0.94535263697641692</v>
      </c>
      <c r="F14" s="22">
        <f ca="1">SUMPRODUCT($B$9:B14,$G$9:G14)/A14</f>
        <v>3.7499085923217552E-2</v>
      </c>
      <c r="G14" s="23">
        <v>4.2000000000000003E-2</v>
      </c>
      <c r="I14" s="18">
        <f ca="1"/>
        <v>4.2000000000000003E-2</v>
      </c>
      <c r="J14" s="19">
        <f ca="1"/>
        <v>1.4986301369863013</v>
      </c>
      <c r="K14" s="20">
        <f ca="1"/>
        <v>43620</v>
      </c>
      <c r="L14" s="21">
        <f ca="1"/>
        <v>0.94583709241704839</v>
      </c>
      <c r="M14" s="40">
        <f ca="1"/>
        <v>3.7157221206581409E-2</v>
      </c>
      <c r="N14" s="23">
        <f ca="1">_xll.qlYieldTSForwardRate(D$5,$D14,$D14,$D$1,"continuous","annual")</f>
        <v>4.0999999999943082E-2</v>
      </c>
      <c r="P14" s="3">
        <f t="shared" ca="1" si="0"/>
        <v>0</v>
      </c>
      <c r="Q14" s="8">
        <f t="shared" ca="1" si="1"/>
        <v>0</v>
      </c>
      <c r="R14" s="3">
        <f t="shared" ca="1" si="2"/>
        <v>4.844554406314705E-4</v>
      </c>
      <c r="S14" s="6">
        <f t="shared" ca="1" si="3"/>
        <v>-3.4186471663614354E-4</v>
      </c>
      <c r="T14" s="5">
        <f t="shared" ca="1" si="4"/>
        <v>-1.0000000000569206E-3</v>
      </c>
      <c r="U14" s="5"/>
    </row>
    <row r="15" spans="1:21" x14ac:dyDescent="0.25">
      <c r="A15" s="18">
        <f ca="1">_xll.qlDayCounterYearFraction($D$1,$D$8,D15)</f>
        <v>1.7506849315068493</v>
      </c>
      <c r="B15" s="19">
        <f t="shared" ca="1" si="6"/>
        <v>0.25205479452054802</v>
      </c>
      <c r="C15" s="43" t="s">
        <v>24</v>
      </c>
      <c r="D15" s="20">
        <f ca="1">_xll.qlCalendarAdvance($D$2,$D$8,C15)</f>
        <v>43712</v>
      </c>
      <c r="E15" s="21">
        <f t="shared" ca="1" si="5"/>
        <v>0.93492621127243436</v>
      </c>
      <c r="F15" s="22">
        <f ca="1">SUMPRODUCT($B$9:B15,$G$9:G15)/A15</f>
        <v>3.8435054773082941E-2</v>
      </c>
      <c r="G15" s="23">
        <v>4.3999999999999997E-2</v>
      </c>
      <c r="I15" s="18">
        <f ca="1"/>
        <v>4.3999999999999997E-2</v>
      </c>
      <c r="J15" s="19">
        <f ca="1"/>
        <v>1.7506849315068493</v>
      </c>
      <c r="K15" s="20">
        <f ca="1"/>
        <v>43712</v>
      </c>
      <c r="L15" s="21">
        <f ca="1"/>
        <v>0.93587698925550244</v>
      </c>
      <c r="M15" s="40">
        <f ca="1"/>
        <v>3.7854460093896702E-2</v>
      </c>
      <c r="N15" s="23">
        <f ca="1">_xll.qlYieldTSForwardRate(D$5,$D15,$D15,$D$1,"continuous","annual")</f>
        <v>4.3000000001040574E-2</v>
      </c>
      <c r="P15" s="3">
        <f t="shared" ca="1" si="0"/>
        <v>0</v>
      </c>
      <c r="Q15" s="8">
        <f t="shared" ca="1" si="1"/>
        <v>0</v>
      </c>
      <c r="R15" s="3">
        <f t="shared" ca="1" si="2"/>
        <v>9.5077798306808514E-4</v>
      </c>
      <c r="S15" s="6">
        <f t="shared" ca="1" si="3"/>
        <v>-5.8059467918623875E-4</v>
      </c>
      <c r="T15" s="5">
        <f t="shared" ca="1" si="4"/>
        <v>-9.9999999895942354E-4</v>
      </c>
      <c r="U15" s="5"/>
    </row>
    <row r="16" spans="1:21" x14ac:dyDescent="0.25">
      <c r="A16" s="18">
        <f ca="1">_xll.qlDayCounterYearFraction($D$1,$D$8,D16)</f>
        <v>2</v>
      </c>
      <c r="B16" s="19">
        <f t="shared" ca="1" si="6"/>
        <v>0.24931506849315066</v>
      </c>
      <c r="C16" s="43" t="s">
        <v>25</v>
      </c>
      <c r="D16" s="20">
        <f ca="1">_xll.qlCalendarAdvance($D$2,$D$8,C16)</f>
        <v>43803</v>
      </c>
      <c r="E16" s="21">
        <f t="shared" ca="1" si="5"/>
        <v>0.92426526576168044</v>
      </c>
      <c r="F16" s="22">
        <f ca="1">SUMPRODUCT($B$9:B16,$G$9:G16)/A16</f>
        <v>3.9378082191780822E-2</v>
      </c>
      <c r="G16" s="23">
        <v>4.5999999999999999E-2</v>
      </c>
      <c r="I16" s="18">
        <f ca="1"/>
        <v>4.5999999999999999E-2</v>
      </c>
      <c r="J16" s="19">
        <f ca="1"/>
        <v>2</v>
      </c>
      <c r="K16" s="20">
        <f ca="1"/>
        <v>43803</v>
      </c>
      <c r="L16" s="21">
        <f ca="1"/>
        <v>0.92566665227536071</v>
      </c>
      <c r="M16" s="40">
        <f ca="1"/>
        <v>3.8620547945205468E-2</v>
      </c>
      <c r="N16" s="23">
        <f ca="1">_xll.qlYieldTSForwardRate(D$5,$D16,$D16,$D$1,"continuous","annual")</f>
        <v>4.4999999999596196E-2</v>
      </c>
      <c r="P16" s="3">
        <f t="shared" ca="1" si="0"/>
        <v>0</v>
      </c>
      <c r="Q16" s="8">
        <f t="shared" ca="1" si="1"/>
        <v>0</v>
      </c>
      <c r="R16" s="3">
        <f t="shared" ca="1" si="2"/>
        <v>1.4013865136802695E-3</v>
      </c>
      <c r="S16" s="6">
        <f t="shared" ca="1" si="3"/>
        <v>-7.5753424657535456E-4</v>
      </c>
      <c r="T16" s="5">
        <f t="shared" ca="1" si="4"/>
        <v>-1.0000000004038029E-3</v>
      </c>
      <c r="U16" s="5"/>
    </row>
    <row r="17" spans="1:21" x14ac:dyDescent="0.25">
      <c r="A17" s="18">
        <f ca="1">_xll.qlDayCounterYearFraction($D$1,$D$8,D17)</f>
        <v>3.0027397260273974</v>
      </c>
      <c r="B17" s="19">
        <f t="shared" ca="1" si="6"/>
        <v>1.0027397260273974</v>
      </c>
      <c r="C17" s="43" t="s">
        <v>26</v>
      </c>
      <c r="D17" s="20">
        <f ca="1">_xll.qlCalendarAdvance($D$2,$D$8,C17)</f>
        <v>44169</v>
      </c>
      <c r="E17" s="21">
        <f t="shared" ca="1" si="5"/>
        <v>0.88083260988141132</v>
      </c>
      <c r="F17" s="22">
        <f ca="1">SUMPRODUCT($B$9:B17,$G$9:G17)/A17</f>
        <v>4.2257299270072997E-2</v>
      </c>
      <c r="G17" s="23">
        <v>4.8000000000000001E-2</v>
      </c>
      <c r="I17" s="18">
        <f ca="1"/>
        <v>4.8000000000000001E-2</v>
      </c>
      <c r="J17" s="19">
        <f ca="1"/>
        <v>3.0027397260273974</v>
      </c>
      <c r="K17" s="20">
        <f ca="1"/>
        <v>44169</v>
      </c>
      <c r="L17" s="21">
        <f ca="1"/>
        <v>0.88393908836087254</v>
      </c>
      <c r="M17" s="40">
        <f ca="1"/>
        <v>4.1084854014598507E-2</v>
      </c>
      <c r="N17" s="23">
        <f ca="1">_xll.qlYieldTSForwardRate(D$5,$D17,$D17,$D$1,"continuous","annual")</f>
        <v>4.7000000000050744E-2</v>
      </c>
      <c r="P17" s="3">
        <f t="shared" ca="1" si="0"/>
        <v>0</v>
      </c>
      <c r="Q17" s="8">
        <f t="shared" ca="1" si="1"/>
        <v>0</v>
      </c>
      <c r="R17" s="3">
        <f t="shared" ca="1" si="2"/>
        <v>3.1064784794612166E-3</v>
      </c>
      <c r="S17" s="6">
        <f t="shared" ca="1" si="3"/>
        <v>-1.1724452554744899E-3</v>
      </c>
      <c r="T17" s="5">
        <f t="shared" ca="1" si="4"/>
        <v>-9.9999999994925676E-4</v>
      </c>
      <c r="U17" s="5"/>
    </row>
    <row r="18" spans="1:21" x14ac:dyDescent="0.25">
      <c r="A18" s="18">
        <f ca="1">_xll.qlDayCounterYearFraction($D$1,$D$8,D18)</f>
        <v>4.0082191780821921</v>
      </c>
      <c r="B18" s="19">
        <f t="shared" ca="1" si="6"/>
        <v>1.0054794520547947</v>
      </c>
      <c r="C18" s="43" t="s">
        <v>27</v>
      </c>
      <c r="D18" s="20">
        <f ca="1">_xll.qlCalendarAdvance($D$2,$D$8,C18)</f>
        <v>44536</v>
      </c>
      <c r="E18" s="21">
        <f t="shared" ca="1" si="5"/>
        <v>0.83848703130195046</v>
      </c>
      <c r="F18" s="22">
        <f ca="1">SUMPRODUCT($B$9:B18,$G$9:G18)/A18</f>
        <v>4.3948735475051265E-2</v>
      </c>
      <c r="G18" s="23">
        <v>4.9000000000000002E-2</v>
      </c>
      <c r="I18" s="18">
        <f ca="1"/>
        <v>4.9000000000000002E-2</v>
      </c>
      <c r="J18" s="19">
        <f ca="1"/>
        <v>4.0082191780821921</v>
      </c>
      <c r="K18" s="20">
        <f ca="1"/>
        <v>44536</v>
      </c>
      <c r="L18" s="21">
        <f ca="1"/>
        <v>0.84229064772086704</v>
      </c>
      <c r="M18" s="40">
        <f ca="1"/>
        <v>4.2819548872180459E-2</v>
      </c>
      <c r="N18" s="23">
        <f ca="1">_xll.qlYieldTSForwardRate(D$5,$D18,$D18,$D$1,"continuous","annual")</f>
        <v>4.8500000000458177E-2</v>
      </c>
      <c r="P18" s="3">
        <f t="shared" ca="1" si="0"/>
        <v>0</v>
      </c>
      <c r="Q18" s="8">
        <f t="shared" ca="1" si="1"/>
        <v>0</v>
      </c>
      <c r="R18" s="3">
        <f t="shared" ca="1" si="2"/>
        <v>3.8036164189165778E-3</v>
      </c>
      <c r="S18" s="6">
        <f t="shared" ca="1" si="3"/>
        <v>-1.1291866028708061E-3</v>
      </c>
      <c r="T18" s="5">
        <f t="shared" ca="1" si="4"/>
        <v>-4.9999999954182528E-4</v>
      </c>
      <c r="U18" s="5"/>
    </row>
    <row r="19" spans="1:21" x14ac:dyDescent="0.25">
      <c r="A19" s="18">
        <f ca="1">_xll.qlDayCounterYearFraction($D$1,$D$8,D19)</f>
        <v>5.0054794520547947</v>
      </c>
      <c r="B19" s="19">
        <f t="shared" ca="1" si="6"/>
        <v>0.99726027397260264</v>
      </c>
      <c r="C19" s="43" t="s">
        <v>28</v>
      </c>
      <c r="D19" s="20">
        <f ca="1">_xll.qlCalendarAdvance($D$2,$D$8,C19)</f>
        <v>44900</v>
      </c>
      <c r="E19" s="21">
        <f t="shared" ca="1" si="5"/>
        <v>0.79810066095075394</v>
      </c>
      <c r="F19" s="22">
        <f ca="1">SUMPRODUCT($B$9:B19,$G$9:G19)/A19</f>
        <v>4.505473453749316E-2</v>
      </c>
      <c r="G19" s="23">
        <v>4.9500000000000002E-2</v>
      </c>
      <c r="I19" s="18">
        <f ca="1"/>
        <v>4.9500000000000002E-2</v>
      </c>
      <c r="J19" s="19">
        <f ca="1"/>
        <v>5.0054794520547947</v>
      </c>
      <c r="K19" s="20">
        <f ca="1"/>
        <v>44900</v>
      </c>
      <c r="L19" s="21">
        <f ca="1"/>
        <v>0.80212093524226169</v>
      </c>
      <c r="M19" s="40">
        <f ca="1"/>
        <v>4.4050903119868638E-2</v>
      </c>
      <c r="N19" s="23">
        <f ca="1">_xll.qlYieldTSForwardRate(D$5,$D19,$D19,$D$1,"continuous","annual")</f>
        <v>4.925000000066343E-2</v>
      </c>
      <c r="P19" s="3">
        <f t="shared" ca="1" si="0"/>
        <v>0</v>
      </c>
      <c r="Q19" s="8">
        <f t="shared" ca="1" si="1"/>
        <v>0</v>
      </c>
      <c r="R19" s="3">
        <f t="shared" ca="1" si="2"/>
        <v>4.0202742915077527E-3</v>
      </c>
      <c r="S19" s="6">
        <f t="shared" ca="1" si="3"/>
        <v>-1.0038314176245219E-3</v>
      </c>
      <c r="T19" s="5">
        <f t="shared" ca="1" si="4"/>
        <v>-2.4999999933657258E-4</v>
      </c>
      <c r="U19" s="5"/>
    </row>
    <row r="20" spans="1:21" x14ac:dyDescent="0.25">
      <c r="A20" s="18">
        <f ca="1">_xll.qlDayCounterYearFraction($D$1,$D$8,D20)</f>
        <v>6.0027397260273974</v>
      </c>
      <c r="B20" s="19">
        <f t="shared" ca="1" si="6"/>
        <v>0.99726027397260264</v>
      </c>
      <c r="C20" s="43" t="s">
        <v>29</v>
      </c>
      <c r="D20" s="20">
        <f ca="1">_xll.qlCalendarAdvance($D$2,$D$8,C20)</f>
        <v>45264</v>
      </c>
      <c r="E20" s="21">
        <f t="shared" ca="1" si="5"/>
        <v>0.75943229158608216</v>
      </c>
      <c r="F20" s="22">
        <f ca="1">SUMPRODUCT($B$9:B20,$G$9:G20)/A20</f>
        <v>4.5843085349155641E-2</v>
      </c>
      <c r="G20" s="23">
        <v>4.9799999999999997E-2</v>
      </c>
      <c r="I20" s="18">
        <f ca="1"/>
        <v>4.9799999999999997E-2</v>
      </c>
      <c r="J20" s="19">
        <f ca="1"/>
        <v>6.0027397260273974</v>
      </c>
      <c r="K20" s="20">
        <f ca="1"/>
        <v>45264</v>
      </c>
      <c r="L20" s="21">
        <f ca="1"/>
        <v>0.76348616577320783</v>
      </c>
      <c r="M20" s="40">
        <f ca="1"/>
        <v>4.4956184390689186E-2</v>
      </c>
      <c r="N20" s="23">
        <f ca="1">_xll.qlYieldTSForwardRate(D$5,$D20,$D20,$D$1,"continuous","annual")</f>
        <v>4.9650000000865425E-2</v>
      </c>
      <c r="P20" s="3">
        <f t="shared" ca="1" si="0"/>
        <v>0</v>
      </c>
      <c r="Q20" s="8">
        <f t="shared" ca="1" si="1"/>
        <v>0</v>
      </c>
      <c r="R20" s="3">
        <f t="shared" ca="1" si="2"/>
        <v>4.0538741871256612E-3</v>
      </c>
      <c r="S20" s="6">
        <f t="shared" ca="1" si="3"/>
        <v>-8.86900958466455E-4</v>
      </c>
      <c r="T20" s="5">
        <f t="shared" ca="1" si="4"/>
        <v>-1.4999999913457157E-4</v>
      </c>
      <c r="U20" s="5"/>
    </row>
    <row r="21" spans="1:21" x14ac:dyDescent="0.25">
      <c r="A21" s="18">
        <f ca="1">_xll.qlDayCounterYearFraction($D$1,$D$8,D21)</f>
        <v>7.0054794520547947</v>
      </c>
      <c r="B21" s="19">
        <f t="shared" ca="1" si="6"/>
        <v>1.0027397260273974</v>
      </c>
      <c r="C21" s="43" t="s">
        <v>30</v>
      </c>
      <c r="D21" s="20">
        <f ca="1">_xll.qlCalendarAdvance($D$2,$D$8,C21)</f>
        <v>45630</v>
      </c>
      <c r="E21" s="21">
        <f t="shared" ca="1" si="5"/>
        <v>0.72236782138093025</v>
      </c>
      <c r="F21" s="22">
        <f ca="1">SUMPRODUCT($B$9:B21,$G$9:G21)/A21</f>
        <v>4.6423777864685177E-2</v>
      </c>
      <c r="G21" s="23">
        <v>4.99E-2</v>
      </c>
      <c r="I21" s="18">
        <f ca="1"/>
        <v>4.99E-2</v>
      </c>
      <c r="J21" s="19">
        <f ca="1"/>
        <v>7.0054794520547947</v>
      </c>
      <c r="K21" s="20">
        <f ca="1"/>
        <v>45630</v>
      </c>
      <c r="L21" s="21">
        <f ca="1"/>
        <v>0.72629666922579539</v>
      </c>
      <c r="M21" s="40">
        <f ca="1"/>
        <v>4.5649511145874067E-2</v>
      </c>
      <c r="N21" s="23">
        <f ca="1">_xll.qlYieldTSForwardRate(D$5,$D21,$D21,$D$1,"continuous","annual")</f>
        <v>4.9850000001627731E-2</v>
      </c>
      <c r="P21" s="3">
        <f t="shared" ca="1" si="0"/>
        <v>0</v>
      </c>
      <c r="Q21" s="8">
        <f t="shared" ca="1" si="1"/>
        <v>0</v>
      </c>
      <c r="R21" s="3">
        <f t="shared" ca="1" si="2"/>
        <v>3.9288478448651354E-3</v>
      </c>
      <c r="S21" s="6">
        <f t="shared" ca="1" si="3"/>
        <v>-7.7426671881111048E-4</v>
      </c>
      <c r="T21" s="5">
        <f t="shared" ca="1" si="4"/>
        <v>-4.9999998372268761E-5</v>
      </c>
      <c r="U21" s="5"/>
    </row>
    <row r="22" spans="1:21" x14ac:dyDescent="0.25">
      <c r="A22" s="18">
        <f ca="1">_xll.qlDayCounterYearFraction($D$1,$D$8,D22)</f>
        <v>8.0054794520547947</v>
      </c>
      <c r="B22" s="19">
        <f t="shared" ca="1" si="6"/>
        <v>1</v>
      </c>
      <c r="C22" s="43" t="s">
        <v>31</v>
      </c>
      <c r="D22" s="20">
        <f ca="1">_xll.qlCalendarAdvance($D$2,$D$8,C22)</f>
        <v>45995</v>
      </c>
      <c r="E22" s="21">
        <f t="shared" ca="1" si="5"/>
        <v>0.68713752701001685</v>
      </c>
      <c r="F22" s="22">
        <f ca="1">SUMPRODUCT($B$9:B22,$G$9:G22)/A22</f>
        <v>4.6870499657768648E-2</v>
      </c>
      <c r="G22" s="23">
        <v>0.05</v>
      </c>
      <c r="I22" s="18">
        <f ca="1"/>
        <v>0.05</v>
      </c>
      <c r="J22" s="19">
        <f ca="1"/>
        <v>8.0054794520547947</v>
      </c>
      <c r="K22" s="20">
        <f ca="1"/>
        <v>45995</v>
      </c>
      <c r="L22" s="21">
        <f ca="1"/>
        <v>0.69094385361519617</v>
      </c>
      <c r="M22" s="40">
        <f ca="1"/>
        <v>4.6180458590006843E-2</v>
      </c>
      <c r="N22" s="23">
        <f ca="1">_xll.qlYieldTSForwardRate(D$5,$D22,$D22,$D$1,"continuous","annual")</f>
        <v>4.994999999939867E-2</v>
      </c>
      <c r="P22" s="3">
        <f t="shared" ca="1" si="0"/>
        <v>0</v>
      </c>
      <c r="Q22" s="8">
        <f t="shared" ca="1" si="1"/>
        <v>0</v>
      </c>
      <c r="R22" s="3">
        <f t="shared" ca="1" si="2"/>
        <v>3.8063266051793221E-3</v>
      </c>
      <c r="S22" s="6">
        <f t="shared" ca="1" si="3"/>
        <v>-6.9004106776180546E-4</v>
      </c>
      <c r="T22" s="5">
        <f t="shared" ca="1" si="4"/>
        <v>-5.0000000601332917E-5</v>
      </c>
      <c r="U22" s="5"/>
    </row>
    <row r="23" spans="1:21" x14ac:dyDescent="0.25">
      <c r="A23" s="18">
        <f ca="1">_xll.qlDayCounterYearFraction($D$1,$D$8,D23)</f>
        <v>9.0054794520547947</v>
      </c>
      <c r="B23" s="19">
        <f t="shared" ca="1" si="6"/>
        <v>1</v>
      </c>
      <c r="C23" s="43" t="s">
        <v>32</v>
      </c>
      <c r="D23" s="20">
        <f ca="1">_xll.qlCalendarAdvance($D$2,$D$8,C23)</f>
        <v>46360</v>
      </c>
      <c r="E23" s="21">
        <f t="shared" ca="1" si="5"/>
        <v>0.65362543437058218</v>
      </c>
      <c r="F23" s="22">
        <f ca="1">SUMPRODUCT($B$9:B23,$G$9:G23)/A23</f>
        <v>4.7218010343778517E-2</v>
      </c>
      <c r="G23" s="23">
        <v>0.05</v>
      </c>
      <c r="I23" s="18">
        <f ca="1"/>
        <v>0.05</v>
      </c>
      <c r="J23" s="19">
        <f ca="1"/>
        <v>9.0054794520547947</v>
      </c>
      <c r="K23" s="20">
        <f ca="1"/>
        <v>46360</v>
      </c>
      <c r="L23" s="21">
        <f ca="1"/>
        <v>0.65724612423668871</v>
      </c>
      <c r="M23" s="40">
        <f ca="1"/>
        <v>4.660459385457863E-2</v>
      </c>
      <c r="N23" s="23">
        <f ca="1">_xll.qlYieldTSForwardRate(D$5,$D23,$D23,$D$1,"continuous","annual")</f>
        <v>5.0000000002349998E-2</v>
      </c>
      <c r="P23" s="3">
        <f t="shared" ca="1" si="0"/>
        <v>0</v>
      </c>
      <c r="Q23" s="8">
        <f t="shared" ca="1" si="1"/>
        <v>0</v>
      </c>
      <c r="R23" s="3">
        <f t="shared" ca="1" si="2"/>
        <v>3.6206898661065301E-3</v>
      </c>
      <c r="S23" s="6">
        <f t="shared" ca="1" si="3"/>
        <v>-6.134164891998875E-4</v>
      </c>
      <c r="T23" s="5">
        <f t="shared" ca="1" si="4"/>
        <v>2.349995198436261E-12</v>
      </c>
      <c r="U23" s="5"/>
    </row>
    <row r="24" spans="1:21" x14ac:dyDescent="0.25">
      <c r="A24" s="18">
        <f ca="1">_xll.qlDayCounterYearFraction($D$1,$D$8,D24)</f>
        <v>10.010958904109589</v>
      </c>
      <c r="B24" s="19">
        <f t="shared" ca="1" si="6"/>
        <v>1.0054794520547947</v>
      </c>
      <c r="C24" s="43" t="s">
        <v>33</v>
      </c>
      <c r="D24" s="20">
        <f ca="1">_xll.qlCalendarAdvance($D$2,$D$8,C24)</f>
        <v>46727</v>
      </c>
      <c r="E24" s="21">
        <f t="shared" ca="1" si="5"/>
        <v>0.62157742725956933</v>
      </c>
      <c r="F24" s="22">
        <f ca="1">SUMPRODUCT($B$9:B24,$G$9:G24)/A24</f>
        <v>4.7497427476737818E-2</v>
      </c>
      <c r="G24" s="23">
        <v>0.05</v>
      </c>
      <c r="I24" s="18">
        <f ca="1"/>
        <v>0.05</v>
      </c>
      <c r="J24" s="19">
        <f ca="1"/>
        <v>10.010958904109589</v>
      </c>
      <c r="K24" s="20">
        <f ca="1"/>
        <v>46727</v>
      </c>
      <c r="L24" s="21">
        <f ca="1"/>
        <v>0.62502059053556158</v>
      </c>
      <c r="M24" s="40">
        <f ca="1"/>
        <v>4.6945621237000558E-2</v>
      </c>
      <c r="N24" s="23">
        <f ca="1">_xll.qlYieldTSForwardRate(D$5,$D24,$D24,$D$1,"continuous","annual")</f>
        <v>5.0000000000129566E-2</v>
      </c>
      <c r="P24" s="3">
        <f t="shared" ca="1" si="0"/>
        <v>0</v>
      </c>
      <c r="Q24" s="8">
        <f t="shared" ca="1" si="1"/>
        <v>0</v>
      </c>
      <c r="R24" s="3">
        <f t="shared" ca="1" si="2"/>
        <v>3.4431632759922559E-3</v>
      </c>
      <c r="S24" s="6">
        <f t="shared" ca="1" si="3"/>
        <v>-5.5180623973725973E-4</v>
      </c>
      <c r="T24" s="5">
        <f t="shared" ca="1" si="4"/>
        <v>1.2956302697375577E-13</v>
      </c>
      <c r="U24" s="5"/>
    </row>
    <row r="25" spans="1:21" x14ac:dyDescent="0.25">
      <c r="A25" s="18">
        <f ca="1">_xll.qlDayCounterYearFraction($D$1,$D$8,D25)</f>
        <v>15.016438356164384</v>
      </c>
      <c r="B25" s="19">
        <f t="shared" ca="1" si="6"/>
        <v>5.0054794520547947</v>
      </c>
      <c r="C25" s="43" t="s">
        <v>34</v>
      </c>
      <c r="D25" s="20">
        <f ca="1">_xll.qlCalendarAdvance($D$2,$D$8,C25)</f>
        <v>48554</v>
      </c>
      <c r="E25" s="21">
        <f t="shared" ca="1" si="5"/>
        <v>0.4839523792316911</v>
      </c>
      <c r="F25" s="22">
        <f ca="1">SUMPRODUCT($B$9:B25,$G$9:G25)/A25</f>
        <v>4.8331618317825217E-2</v>
      </c>
      <c r="G25" s="23">
        <v>0.05</v>
      </c>
      <c r="I25" s="18">
        <f ca="1"/>
        <v>0.05</v>
      </c>
      <c r="J25" s="19">
        <f ca="1"/>
        <v>15.016438356164384</v>
      </c>
      <c r="K25" s="20">
        <f ca="1"/>
        <v>48554</v>
      </c>
      <c r="L25" s="21">
        <f ca="1"/>
        <v>0.4866331829198916</v>
      </c>
      <c r="M25" s="40">
        <f ca="1"/>
        <v>4.7963747491333704E-2</v>
      </c>
      <c r="N25" s="23">
        <f ca="1">_xll.qlYieldTSForwardRate(D$5,$D25,$D25,$D$1,"continuous","annual")</f>
        <v>5.0000000002349998E-2</v>
      </c>
      <c r="P25" s="3">
        <f t="shared" ca="1" si="0"/>
        <v>0</v>
      </c>
      <c r="Q25" s="8">
        <f t="shared" ca="1" si="1"/>
        <v>0</v>
      </c>
      <c r="R25" s="3">
        <f t="shared" ca="1" si="2"/>
        <v>2.680803688200506E-3</v>
      </c>
      <c r="S25" s="6">
        <f t="shared" ca="1" si="3"/>
        <v>-3.6787082649151343E-4</v>
      </c>
      <c r="T25" s="5">
        <f t="shared" ca="1" si="4"/>
        <v>2.349995198436261E-12</v>
      </c>
      <c r="U25" s="5"/>
    </row>
    <row r="26" spans="1:21" x14ac:dyDescent="0.25">
      <c r="A26" s="18">
        <f ca="1">_xll.qlDayCounterYearFraction($D$1,$D$8,D26)</f>
        <v>20.013698630136986</v>
      </c>
      <c r="B26" s="19">
        <f t="shared" ca="1" si="6"/>
        <v>4.9972602739726018</v>
      </c>
      <c r="C26" s="43" t="s">
        <v>35</v>
      </c>
      <c r="D26" s="20">
        <f ca="1">_xll.qlCalendarAdvance($D$2,$D$8,C26)</f>
        <v>50378</v>
      </c>
      <c r="E26" s="21">
        <f t="shared" ca="1" si="5"/>
        <v>0.39627012038528436</v>
      </c>
      <c r="F26" s="22">
        <f ca="1">SUMPRODUCT($B$9:B26,$G$9:G26)/A26</f>
        <v>4.6251279945242987E-2</v>
      </c>
      <c r="G26" s="23">
        <v>0.04</v>
      </c>
      <c r="I26" s="18">
        <f ca="1"/>
        <v>0.04</v>
      </c>
      <c r="J26" s="19">
        <f ca="1"/>
        <v>20.013698630136986</v>
      </c>
      <c r="K26" s="20">
        <f ca="1"/>
        <v>50378</v>
      </c>
      <c r="L26" s="21">
        <f ca="1"/>
        <v>0.37904222396261739</v>
      </c>
      <c r="M26" s="40">
        <f ca="1"/>
        <v>4.8472183436002743E-2</v>
      </c>
      <c r="N26" s="23">
        <f ca="1">_xll.qlYieldTSForwardRate(D$5,$D26,$D26,$D$1,"continuous","annual")</f>
        <v>4.5000000001816629E-2</v>
      </c>
      <c r="P26" s="3">
        <f t="shared" ca="1" si="0"/>
        <v>0</v>
      </c>
      <c r="Q26" s="8">
        <f t="shared" ca="1" si="1"/>
        <v>0</v>
      </c>
      <c r="R26" s="3">
        <f t="shared" ca="1" si="2"/>
        <v>-1.7227896422666977E-2</v>
      </c>
      <c r="S26" s="6">
        <f t="shared" ca="1" si="3"/>
        <v>2.2209034907597555E-3</v>
      </c>
      <c r="T26" s="5">
        <f t="shared" ca="1" si="4"/>
        <v>5.0000000018166277E-3</v>
      </c>
      <c r="U26" s="5"/>
    </row>
    <row r="27" spans="1:21" x14ac:dyDescent="0.25">
      <c r="A27" s="18">
        <f ca="1">_xll.qlDayCounterYearFraction($D$1,$D$8,D27)</f>
        <v>25.016438356164382</v>
      </c>
      <c r="B27" s="19">
        <f t="shared" ca="1" si="6"/>
        <v>5.0027397260273965</v>
      </c>
      <c r="C27" s="43" t="s">
        <v>36</v>
      </c>
      <c r="D27" s="20">
        <f ca="1">_xll.qlCalendarAdvance($D$2,$D$8,C27)</f>
        <v>52204</v>
      </c>
      <c r="E27" s="21">
        <f t="shared" ca="1" si="5"/>
        <v>0.34104482120134366</v>
      </c>
      <c r="F27" s="22">
        <f ca="1">SUMPRODUCT($B$9:B27,$G$9:G27)/A27</f>
        <v>4.3001379914576726E-2</v>
      </c>
      <c r="G27" s="23">
        <v>0.03</v>
      </c>
      <c r="I27" s="18">
        <f ca="1"/>
        <v>0.03</v>
      </c>
      <c r="J27" s="19">
        <f ca="1"/>
        <v>25.016438356164382</v>
      </c>
      <c r="K27" s="20">
        <f ca="1"/>
        <v>52204</v>
      </c>
      <c r="L27" s="21">
        <f ca="1"/>
        <v>0.31029951818323748</v>
      </c>
      <c r="M27" s="40">
        <f ca="1"/>
        <v>4.6777932318475525E-2</v>
      </c>
      <c r="N27" s="23">
        <f ca="1">_xll.qlYieldTSForwardRate(D$5,$D27,$D27,$D$1,"continuous","annual")</f>
        <v>3.5000000001384139E-2</v>
      </c>
      <c r="P27" s="3">
        <f t="shared" ca="1" si="0"/>
        <v>0</v>
      </c>
      <c r="Q27" s="8">
        <f t="shared" ca="1" si="1"/>
        <v>0</v>
      </c>
      <c r="R27" s="3">
        <f t="shared" ca="1" si="2"/>
        <v>-3.0745303018106185E-2</v>
      </c>
      <c r="S27" s="6">
        <f t="shared" ca="1" si="3"/>
        <v>3.7765524038987988E-3</v>
      </c>
      <c r="T27" s="5">
        <f t="shared" ca="1" si="4"/>
        <v>5.0000000013841403E-3</v>
      </c>
      <c r="U27" s="5"/>
    </row>
    <row r="28" spans="1:21" x14ac:dyDescent="0.25">
      <c r="A28" s="24">
        <f ca="1">_xll.qlDayCounterYearFraction($D$1,$D$8,D28)</f>
        <v>30.019178082191782</v>
      </c>
      <c r="B28" s="25">
        <f t="shared" ca="1" si="6"/>
        <v>5.0027397260274</v>
      </c>
      <c r="C28" s="43" t="s">
        <v>37</v>
      </c>
      <c r="D28" s="26">
        <f ca="1">_xll.qlCalendarAdvance($D$2,$D$8,C28)</f>
        <v>54030</v>
      </c>
      <c r="E28" s="27">
        <f t="shared" ca="1" si="5"/>
        <v>0.30857320686619039</v>
      </c>
      <c r="F28" s="28">
        <f ca="1">SUMPRODUCT($B$9:B28,$G$9:G28)/A28</f>
        <v>3.916816646892398E-2</v>
      </c>
      <c r="G28" s="29">
        <v>0.02</v>
      </c>
      <c r="I28" s="24">
        <f ca="1"/>
        <v>0.02</v>
      </c>
      <c r="J28" s="25">
        <f ca="1"/>
        <v>30.019178082191782</v>
      </c>
      <c r="K28" s="26">
        <f ca="1"/>
        <v>54030</v>
      </c>
      <c r="L28" s="27">
        <f ca="1"/>
        <v>0.26705531972678914</v>
      </c>
      <c r="M28" s="41">
        <f ca="1"/>
        <v>4.3981865474126129E-2</v>
      </c>
      <c r="N28" s="29">
        <f ca="1">_xll.qlYieldTSForwardRate(D$5,$D28,$D28,$D$1,"continuous","annual")</f>
        <v>2.4999999997364773E-2</v>
      </c>
      <c r="P28" s="3">
        <f t="shared" ca="1" si="0"/>
        <v>0</v>
      </c>
      <c r="Q28" s="8">
        <f t="shared" ca="1" si="1"/>
        <v>0</v>
      </c>
      <c r="R28" s="3">
        <f t="shared" ca="1" si="2"/>
        <v>-4.1517887139401244E-2</v>
      </c>
      <c r="S28" s="6">
        <f t="shared" ca="1" si="3"/>
        <v>4.8136990052021489E-3</v>
      </c>
      <c r="T28" s="5">
        <f t="shared" ca="1" si="4"/>
        <v>4.9999999973647721E-3</v>
      </c>
      <c r="U28" s="5"/>
    </row>
    <row r="29" spans="1:21" x14ac:dyDescent="0.25">
      <c r="A29" s="30"/>
      <c r="B29" s="31"/>
      <c r="C29" s="44" t="s">
        <v>38</v>
      </c>
      <c r="D29" s="14">
        <f ca="1">_xll.qlCalendarAdvance($D$2,$D$8,C29)</f>
        <v>54396</v>
      </c>
      <c r="E29" s="31"/>
      <c r="F29" s="31"/>
      <c r="G29" s="32"/>
      <c r="I29" s="30"/>
      <c r="J29" s="31"/>
      <c r="K29" s="31"/>
      <c r="L29" s="15">
        <f ca="1">_xll.qlYieldTSDiscount(D$5,$D29,TRUE)</f>
        <v>0.26175292707661302</v>
      </c>
      <c r="M29" s="39">
        <f ca="1">_xll.qlYieldTSZeroRate(D$5,$D29,$D$1,,,TRUE)</f>
        <v>4.3206685507374373E-2</v>
      </c>
      <c r="N29" s="17">
        <f ca="1">_xll.qlYieldTSForwardRate(D$5,$D29,$D29,$D$1,"continuous","annual",TRUE)</f>
        <v>2.0000000000119346E-2</v>
      </c>
      <c r="R29" s="4"/>
      <c r="S29" s="6"/>
      <c r="T29" s="5"/>
      <c r="U29" s="5"/>
    </row>
    <row r="30" spans="1:21" x14ac:dyDescent="0.25">
      <c r="A30" s="33"/>
      <c r="B30" s="34"/>
      <c r="C30" s="45" t="s">
        <v>42</v>
      </c>
      <c r="D30" s="20">
        <f ca="1">_xll.qlCalendarAdvance($D$2,$D$8,C30)</f>
        <v>55857</v>
      </c>
      <c r="E30" s="34"/>
      <c r="F30" s="34"/>
      <c r="G30" s="35"/>
      <c r="I30" s="33"/>
      <c r="J30" s="34"/>
      <c r="K30" s="34"/>
      <c r="L30" s="21">
        <f ca="1">_xll.qlYieldTSDiscount(D$5,$D30,TRUE)</f>
        <v>0.2416151661490602</v>
      </c>
      <c r="M30" s="40">
        <f ca="1">_xll.qlYieldTSZeroRate(D$5,$D30,$D$1,,,TRUE)</f>
        <v>4.0554544743429295E-2</v>
      </c>
      <c r="N30" s="23">
        <f ca="1">_xll.qlYieldTSForwardRate(D$5,$D30,$D30,$D$1,"continuous","annual",TRUE)</f>
        <v>1.9999999997898903E-2</v>
      </c>
      <c r="R30" s="4"/>
      <c r="S30" s="6"/>
      <c r="T30" s="5"/>
      <c r="U30" s="5"/>
    </row>
    <row r="31" spans="1:21" x14ac:dyDescent="0.25">
      <c r="A31" s="33"/>
      <c r="B31" s="34"/>
      <c r="C31" s="45" t="s">
        <v>39</v>
      </c>
      <c r="D31" s="20">
        <f ca="1">_xll.qlCalendarAdvance($D$2,$D$8,C31)</f>
        <v>57683</v>
      </c>
      <c r="E31" s="34"/>
      <c r="F31" s="34"/>
      <c r="G31" s="35"/>
      <c r="I31" s="33"/>
      <c r="J31" s="34"/>
      <c r="K31" s="34"/>
      <c r="L31" s="21">
        <f ca="1">_xll.qlYieldTSDiscount(D$5,$D31,TRUE)</f>
        <v>0.21861046411288884</v>
      </c>
      <c r="M31" s="40">
        <f ca="1">_xll.qlYieldTSZeroRate(D$5,$D31,$D$1,,,TRUE)</f>
        <v>3.7985578370978781E-2</v>
      </c>
      <c r="N31" s="23">
        <f ca="1">_xll.qlYieldTSForwardRate(D$5,$D31,$D31,$D$1,"continuous","annual",TRUE)</f>
        <v>2.0000000000119346E-2</v>
      </c>
      <c r="R31" s="4"/>
      <c r="S31" s="6"/>
      <c r="T31" s="5"/>
      <c r="U31" s="5"/>
    </row>
    <row r="32" spans="1:21" x14ac:dyDescent="0.25">
      <c r="A32" s="33"/>
      <c r="B32" s="34"/>
      <c r="C32" s="45" t="s">
        <v>40</v>
      </c>
      <c r="D32" s="20">
        <f ca="1">_xll.qlCalendarAdvance($D$2,$D$8,C32)</f>
        <v>61336</v>
      </c>
      <c r="E32" s="34"/>
      <c r="F32" s="34"/>
      <c r="G32" s="35"/>
      <c r="I32" s="33"/>
      <c r="J32" s="34"/>
      <c r="K32" s="34"/>
      <c r="L32" s="21">
        <f ca="1">_xll.qlYieldTSDiscount(D$5,$D32,TRUE)</f>
        <v>0.17895369045089515</v>
      </c>
      <c r="M32" s="40">
        <f ca="1">_xll.qlYieldTSZeroRate(D$5,$D32,$D$1,,,TRUE)</f>
        <v>3.4388068772928874E-2</v>
      </c>
      <c r="N32" s="23">
        <f ca="1">_xll.qlYieldTSForwardRate(D$5,$D32,$D32,$D$1,"continuous","annual",TRUE)</f>
        <v>1.9999999995678461E-2</v>
      </c>
      <c r="R32" s="4"/>
      <c r="S32" s="6"/>
      <c r="T32" s="5"/>
      <c r="U32" s="5"/>
    </row>
    <row r="33" spans="1:21" x14ac:dyDescent="0.25">
      <c r="A33" s="36"/>
      <c r="B33" s="37"/>
      <c r="C33" s="46" t="s">
        <v>41</v>
      </c>
      <c r="D33" s="26">
        <f ca="1">_xll.qlCalendarAdvance($D$2,$D$8,C33)</f>
        <v>64990</v>
      </c>
      <c r="E33" s="37"/>
      <c r="F33" s="37"/>
      <c r="G33" s="38"/>
      <c r="I33" s="36"/>
      <c r="J33" s="37"/>
      <c r="K33" s="37"/>
      <c r="L33" s="27">
        <f ca="1">_xll.qlYieldTSDiscount(D$5,$D33,TRUE)</f>
        <v>0.14648278041535739</v>
      </c>
      <c r="M33" s="41">
        <f ca="1">_xll.qlYieldTSZeroRate(D$5,$D33,$D$1,,,TRUE)</f>
        <v>3.1989291417621024E-2</v>
      </c>
      <c r="N33" s="29">
        <f ca="1">_xll.qlYieldTSForwardRate(D$5,$D33,$D33,$D$1,"continuous","annual",TRUE)</f>
        <v>1.9999999995678461E-2</v>
      </c>
      <c r="R33" s="4"/>
      <c r="S33" s="6"/>
      <c r="T33" s="5"/>
      <c r="U33" s="5"/>
    </row>
    <row r="34" spans="1:21" x14ac:dyDescent="0.25">
      <c r="D34" s="2"/>
    </row>
    <row r="35" spans="1:21" x14ac:dyDescent="0.25">
      <c r="D35" s="2"/>
    </row>
    <row r="36" spans="1:21" x14ac:dyDescent="0.25">
      <c r="D36" s="2"/>
    </row>
    <row r="37" spans="1:21" x14ac:dyDescent="0.25">
      <c r="D37" s="2"/>
    </row>
  </sheetData>
  <phoneticPr fontId="2" type="noConversion"/>
  <dataValidations count="4">
    <dataValidation type="list" allowBlank="1" showInputMessage="1" showErrorMessage="1" sqref="D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 D6">
      <formula1>Interpolations</formula1>
    </dataValidation>
    <dataValidation type="list" allowBlank="1" showInputMessage="1" showErrorMessage="1" sqref="D3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QuantLib 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Harms, Cord</cp:lastModifiedBy>
  <dcterms:created xsi:type="dcterms:W3CDTF">2009-03-25T15:56:22Z</dcterms:created>
  <dcterms:modified xsi:type="dcterms:W3CDTF">2017-11-30T22:23:34Z</dcterms:modified>
</cp:coreProperties>
</file>