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91454\workspace\quantlib-old\QuantLibXL\Workbooks\Experimental\MultiAssetModels\"/>
    </mc:Choice>
  </mc:AlternateContent>
  <bookViews>
    <workbookView xWindow="480" yWindow="144" windowWidth="17220" windowHeight="8616" firstSheet="1" activeTab="5"/>
  </bookViews>
  <sheets>
    <sheet name="HowTo" sheetId="19" r:id="rId1"/>
    <sheet name="I_ValuationDate" sheetId="4" r:id="rId2"/>
    <sheet name="II_VolSurface_GasWinter" sheetId="10" r:id="rId3"/>
    <sheet name="II_VolSurface_GasSummer" sheetId="11" r:id="rId4"/>
    <sheet name="II_VolSurface_Calender" sheetId="12" r:id="rId5"/>
    <sheet name="II_Vanillas" sheetId="9" r:id="rId6"/>
    <sheet name="III_VanillasCross" sheetId="14" r:id="rId7"/>
    <sheet name="III_VisualizationLocalCorr" sheetId="16" r:id="rId8"/>
    <sheet name="III_Simulation" sheetId="17" r:id="rId9"/>
    <sheet name="Sheet1" sheetId="18" state="hidden" r:id="rId10"/>
  </sheets>
  <externalReferences>
    <externalReference r:id="rId11"/>
    <externalReference r:id="rId12"/>
  </externalReferences>
  <definedNames>
    <definedName name="__IntlFixup" hidden="1">TRUE</definedName>
    <definedName name="bdf">[1]EURUSDLocalVol!$G$8</definedName>
    <definedName name="calendar">[1]EURUSDLocalVol!$G$7</definedName>
    <definedName name="dcc">[1]EURUSDLocalVol!$G$11</definedName>
    <definedName name="RefDate">'[1]QL Curve'!$D$6</definedName>
    <definedName name="setting">[2]Sheet1!$A$2:$A$5</definedName>
    <definedName name="spotUL1">[1]EURUSDLocalVol!$G$12</definedName>
  </definedNames>
  <calcPr calcId="162913" calcMode="manual"/>
</workbook>
</file>

<file path=xl/calcChain.xml><?xml version="1.0" encoding="utf-8"?>
<calcChain xmlns="http://schemas.openxmlformats.org/spreadsheetml/2006/main">
  <c r="K54" i="9" l="1"/>
  <c r="K62" i="9" s="1"/>
  <c r="K70" i="9" s="1"/>
  <c r="K78" i="9" s="1"/>
  <c r="K86" i="9" s="1"/>
  <c r="K45" i="9"/>
  <c r="K53" i="9" s="1"/>
  <c r="K61" i="9" s="1"/>
  <c r="K69" i="9" s="1"/>
  <c r="K77" i="9" s="1"/>
  <c r="K85" i="9" s="1"/>
  <c r="K40" i="9"/>
  <c r="K48" i="9" s="1"/>
  <c r="K56" i="9" s="1"/>
  <c r="K64" i="9" s="1"/>
  <c r="K72" i="9" s="1"/>
  <c r="K80" i="9" s="1"/>
  <c r="K88" i="9" s="1"/>
  <c r="K36" i="9"/>
  <c r="K44" i="9" s="1"/>
  <c r="K52" i="9" s="1"/>
  <c r="K60" i="9" s="1"/>
  <c r="K68" i="9" s="1"/>
  <c r="K76" i="9" s="1"/>
  <c r="K84" i="9" s="1"/>
  <c r="K32" i="9"/>
  <c r="K31" i="9"/>
  <c r="K39" i="9" s="1"/>
  <c r="K47" i="9" s="1"/>
  <c r="K55" i="9" s="1"/>
  <c r="K63" i="9" s="1"/>
  <c r="K71" i="9" s="1"/>
  <c r="K79" i="9" s="1"/>
  <c r="K87" i="9" s="1"/>
  <c r="K30" i="9"/>
  <c r="K38" i="9" s="1"/>
  <c r="K46" i="9" s="1"/>
  <c r="K29" i="9"/>
  <c r="K37" i="9" s="1"/>
  <c r="K28" i="9"/>
  <c r="C14" i="9"/>
  <c r="K12" i="9" a="1"/>
  <c r="K12" i="9"/>
  <c r="D75" i="11"/>
  <c r="D74" i="11"/>
  <c r="D73" i="11"/>
  <c r="D72" i="11"/>
  <c r="D71" i="11"/>
  <c r="C38" i="11"/>
  <c r="AC28" i="11" s="1"/>
  <c r="M31" i="11"/>
  <c r="L31" i="11"/>
  <c r="K31" i="11"/>
  <c r="J31" i="11"/>
  <c r="I31" i="11"/>
  <c r="H31" i="11"/>
  <c r="G31" i="11"/>
  <c r="F31" i="11"/>
  <c r="E31" i="11"/>
  <c r="D31" i="11"/>
  <c r="C31" i="11"/>
  <c r="AC24" i="11"/>
  <c r="AC23" i="11"/>
  <c r="AC15" i="11"/>
  <c r="AC14" i="11"/>
  <c r="AC10" i="11"/>
  <c r="AC8" i="11"/>
  <c r="I6" i="9"/>
  <c r="L52" i="11"/>
  <c r="F49" i="11"/>
  <c r="N19" i="9" a="1"/>
  <c r="E90" i="11"/>
  <c r="C49" i="11"/>
  <c r="I54" i="11"/>
  <c r="I5" i="9"/>
  <c r="I49" i="11"/>
  <c r="C3" i="11"/>
  <c r="O16" i="11"/>
  <c r="O12" i="11"/>
  <c r="O28" i="11"/>
  <c r="O11" i="11"/>
  <c r="O20" i="11"/>
  <c r="O29" i="11"/>
  <c r="O21" i="11"/>
  <c r="O8" i="11"/>
  <c r="O13" i="11"/>
  <c r="O9" i="11"/>
  <c r="O15" i="11"/>
  <c r="O17" i="11"/>
  <c r="O25" i="11"/>
  <c r="O24" i="11"/>
  <c r="O10" i="11"/>
  <c r="O14" i="11"/>
  <c r="O18" i="11"/>
  <c r="O22" i="11"/>
  <c r="O26" i="11"/>
  <c r="O30" i="11"/>
  <c r="O19" i="11"/>
  <c r="O23" i="11"/>
  <c r="O27" i="11"/>
  <c r="P27" i="11" l="1"/>
  <c r="P23" i="11"/>
  <c r="P19" i="11"/>
  <c r="P30" i="11"/>
  <c r="P26" i="11"/>
  <c r="P22" i="11"/>
  <c r="P18" i="11"/>
  <c r="P14" i="11"/>
  <c r="P10" i="11"/>
  <c r="C82" i="11"/>
  <c r="P24" i="11"/>
  <c r="P25" i="11"/>
  <c r="P17" i="11"/>
  <c r="P15" i="11"/>
  <c r="P9" i="11"/>
  <c r="P13" i="11"/>
  <c r="P8" i="11"/>
  <c r="P21" i="11"/>
  <c r="P29" i="11"/>
  <c r="P20" i="11"/>
  <c r="P11" i="11"/>
  <c r="P28" i="11"/>
  <c r="P12" i="11"/>
  <c r="P16" i="11"/>
  <c r="L50" i="11"/>
  <c r="C63" i="11"/>
  <c r="P19" i="9"/>
  <c r="P27" i="9" s="1"/>
  <c r="P35" i="9" s="1"/>
  <c r="P43" i="9" s="1"/>
  <c r="P51" i="9" s="1"/>
  <c r="P59" i="9" s="1"/>
  <c r="P67" i="9" s="1"/>
  <c r="P75" i="9" s="1"/>
  <c r="P83" i="9" s="1"/>
  <c r="T19" i="9"/>
  <c r="T27" i="9" s="1"/>
  <c r="T35" i="9" s="1"/>
  <c r="T43" i="9" s="1"/>
  <c r="T51" i="9" s="1"/>
  <c r="T59" i="9" s="1"/>
  <c r="T67" i="9" s="1"/>
  <c r="T75" i="9" s="1"/>
  <c r="T83" i="9" s="1"/>
  <c r="X19" i="9"/>
  <c r="X27" i="9" s="1"/>
  <c r="X35" i="9" s="1"/>
  <c r="X43" i="9" s="1"/>
  <c r="X51" i="9" s="1"/>
  <c r="X59" i="9" s="1"/>
  <c r="X67" i="9" s="1"/>
  <c r="X75" i="9" s="1"/>
  <c r="X83" i="9" s="1"/>
  <c r="Q19" i="9"/>
  <c r="Q27" i="9" s="1"/>
  <c r="Q35" i="9" s="1"/>
  <c r="Q43" i="9" s="1"/>
  <c r="Q51" i="9" s="1"/>
  <c r="Q59" i="9" s="1"/>
  <c r="Q67" i="9" s="1"/>
  <c r="Q75" i="9" s="1"/>
  <c r="Q83" i="9" s="1"/>
  <c r="U19" i="9"/>
  <c r="U27" i="9" s="1"/>
  <c r="U35" i="9" s="1"/>
  <c r="U43" i="9" s="1"/>
  <c r="U51" i="9" s="1"/>
  <c r="U59" i="9" s="1"/>
  <c r="U67" i="9" s="1"/>
  <c r="U75" i="9" s="1"/>
  <c r="U83" i="9" s="1"/>
  <c r="R19" i="9"/>
  <c r="R27" i="9" s="1"/>
  <c r="R35" i="9" s="1"/>
  <c r="R43" i="9" s="1"/>
  <c r="R51" i="9" s="1"/>
  <c r="R59" i="9" s="1"/>
  <c r="R67" i="9" s="1"/>
  <c r="R75" i="9" s="1"/>
  <c r="R83" i="9" s="1"/>
  <c r="S19" i="9"/>
  <c r="S27" i="9" s="1"/>
  <c r="S35" i="9" s="1"/>
  <c r="S43" i="9" s="1"/>
  <c r="S51" i="9" s="1"/>
  <c r="S59" i="9" s="1"/>
  <c r="S67" i="9" s="1"/>
  <c r="S75" i="9" s="1"/>
  <c r="S83" i="9" s="1"/>
  <c r="O19" i="9"/>
  <c r="W19" i="9"/>
  <c r="W27" i="9" s="1"/>
  <c r="W35" i="9" s="1"/>
  <c r="W43" i="9" s="1"/>
  <c r="W51" i="9" s="1"/>
  <c r="W59" i="9" s="1"/>
  <c r="W67" i="9" s="1"/>
  <c r="W75" i="9" s="1"/>
  <c r="W83" i="9" s="1"/>
  <c r="N19" i="9"/>
  <c r="V19" i="9"/>
  <c r="V27" i="9" s="1"/>
  <c r="V35" i="9" s="1"/>
  <c r="V43" i="9" s="1"/>
  <c r="V51" i="9" s="1"/>
  <c r="V59" i="9" s="1"/>
  <c r="V67" i="9" s="1"/>
  <c r="V75" i="9" s="1"/>
  <c r="V83" i="9" s="1"/>
  <c r="C62" i="11"/>
  <c r="K13" i="9"/>
  <c r="K14" i="9"/>
  <c r="AC11" i="11"/>
  <c r="AC16" i="11"/>
  <c r="AC12" i="11"/>
  <c r="AC20" i="11"/>
  <c r="K15" i="9"/>
  <c r="AC30" i="11"/>
  <c r="AC26" i="11"/>
  <c r="AC22" i="11"/>
  <c r="AC18" i="11"/>
  <c r="D19" i="9"/>
  <c r="AC29" i="11"/>
  <c r="AC25" i="11"/>
  <c r="AC21" i="11"/>
  <c r="AC17" i="11"/>
  <c r="AC13" i="11"/>
  <c r="AC9" i="11"/>
  <c r="AC19" i="11"/>
  <c r="AC27" i="11"/>
  <c r="K16" i="9"/>
  <c r="D75" i="10"/>
  <c r="D74" i="10"/>
  <c r="D73" i="10"/>
  <c r="D72" i="10"/>
  <c r="D71" i="10"/>
  <c r="C38" i="10"/>
  <c r="AC30" i="10"/>
  <c r="AC27" i="10"/>
  <c r="AC26" i="10"/>
  <c r="AC23" i="10"/>
  <c r="AC22" i="10"/>
  <c r="AC19" i="10"/>
  <c r="AC18" i="10"/>
  <c r="AC15" i="10"/>
  <c r="AC14" i="10"/>
  <c r="AC11" i="10"/>
  <c r="AC10" i="10"/>
  <c r="M98" i="14"/>
  <c r="M80" i="14"/>
  <c r="M88" i="14" s="1"/>
  <c r="M96" i="14" s="1"/>
  <c r="M104" i="14" s="1"/>
  <c r="M75" i="14"/>
  <c r="M83" i="14" s="1"/>
  <c r="M91" i="14" s="1"/>
  <c r="M99" i="14" s="1"/>
  <c r="M115" i="14" s="1"/>
  <c r="M123" i="14" s="1"/>
  <c r="D74" i="14"/>
  <c r="D75" i="14" s="1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D101" i="14" s="1"/>
  <c r="D102" i="14" s="1"/>
  <c r="D103" i="14" s="1"/>
  <c r="D104" i="14" s="1"/>
  <c r="D105" i="14" s="1"/>
  <c r="D106" i="14" s="1"/>
  <c r="D107" i="14" s="1"/>
  <c r="D108" i="14" s="1"/>
  <c r="D109" i="14" s="1"/>
  <c r="D110" i="14" s="1"/>
  <c r="D111" i="14" s="1"/>
  <c r="D112" i="14" s="1"/>
  <c r="D113" i="14" s="1"/>
  <c r="D114" i="14" s="1"/>
  <c r="D115" i="14" s="1"/>
  <c r="D116" i="14" s="1"/>
  <c r="D117" i="14" s="1"/>
  <c r="D118" i="14" s="1"/>
  <c r="D119" i="14" s="1"/>
  <c r="D120" i="14" s="1"/>
  <c r="D121" i="14" s="1"/>
  <c r="D122" i="14" s="1"/>
  <c r="D123" i="14" s="1"/>
  <c r="D124" i="14" s="1"/>
  <c r="D125" i="14" s="1"/>
  <c r="D126" i="14" s="1"/>
  <c r="D127" i="14" s="1"/>
  <c r="D128" i="14" s="1"/>
  <c r="D129" i="14" s="1"/>
  <c r="D130" i="14" s="1"/>
  <c r="D131" i="14" s="1"/>
  <c r="D132" i="14" s="1"/>
  <c r="D133" i="14" s="1"/>
  <c r="D134" i="14" s="1"/>
  <c r="D135" i="14" s="1"/>
  <c r="D136" i="14" s="1"/>
  <c r="D137" i="14" s="1"/>
  <c r="D138" i="14" s="1"/>
  <c r="D139" i="14" s="1"/>
  <c r="D140" i="14" s="1"/>
  <c r="D141" i="14" s="1"/>
  <c r="D142" i="14" s="1"/>
  <c r="D143" i="14" s="1"/>
  <c r="D144" i="14" s="1"/>
  <c r="D145" i="14" s="1"/>
  <c r="D146" i="14" s="1"/>
  <c r="D147" i="14" s="1"/>
  <c r="D148" i="14" s="1"/>
  <c r="D149" i="14" s="1"/>
  <c r="D150" i="14" s="1"/>
  <c r="D151" i="14" s="1"/>
  <c r="D73" i="14"/>
  <c r="M66" i="14"/>
  <c r="M74" i="14" s="1"/>
  <c r="M82" i="14" s="1"/>
  <c r="M90" i="14" s="1"/>
  <c r="M64" i="14"/>
  <c r="M72" i="14" s="1"/>
  <c r="X63" i="14"/>
  <c r="X71" i="14" s="1"/>
  <c r="X79" i="14" s="1"/>
  <c r="X87" i="14" s="1"/>
  <c r="X95" i="14" s="1"/>
  <c r="T63" i="14"/>
  <c r="T71" i="14" s="1"/>
  <c r="T79" i="14" s="1"/>
  <c r="T87" i="14" s="1"/>
  <c r="T95" i="14" s="1"/>
  <c r="P63" i="14"/>
  <c r="P71" i="14" s="1"/>
  <c r="P79" i="14" s="1"/>
  <c r="P87" i="14" s="1"/>
  <c r="P95" i="14" s="1"/>
  <c r="M60" i="14"/>
  <c r="M68" i="14" s="1"/>
  <c r="M76" i="14" s="1"/>
  <c r="M84" i="14" s="1"/>
  <c r="M92" i="14" s="1"/>
  <c r="M100" i="14" s="1"/>
  <c r="M59" i="14"/>
  <c r="M67" i="14" s="1"/>
  <c r="M58" i="14"/>
  <c r="M57" i="14"/>
  <c r="M65" i="14" s="1"/>
  <c r="M73" i="14" s="1"/>
  <c r="M81" i="14" s="1"/>
  <c r="M89" i="14" s="1"/>
  <c r="M97" i="14" s="1"/>
  <c r="M56" i="14"/>
  <c r="W55" i="14"/>
  <c r="W63" i="14" s="1"/>
  <c r="W71" i="14" s="1"/>
  <c r="W79" i="14" s="1"/>
  <c r="W87" i="14" s="1"/>
  <c r="W95" i="14" s="1"/>
  <c r="Z47" i="14"/>
  <c r="Z55" i="14" s="1"/>
  <c r="Z63" i="14" s="1"/>
  <c r="Z71" i="14" s="1"/>
  <c r="Z79" i="14" s="1"/>
  <c r="Z87" i="14" s="1"/>
  <c r="Z95" i="14" s="1"/>
  <c r="Y47" i="14"/>
  <c r="Y55" i="14" s="1"/>
  <c r="Y63" i="14" s="1"/>
  <c r="Y71" i="14" s="1"/>
  <c r="Y79" i="14" s="1"/>
  <c r="Y87" i="14" s="1"/>
  <c r="Y95" i="14" s="1"/>
  <c r="X47" i="14"/>
  <c r="X55" i="14" s="1"/>
  <c r="W47" i="14"/>
  <c r="V47" i="14"/>
  <c r="V55" i="14" s="1"/>
  <c r="V63" i="14" s="1"/>
  <c r="V71" i="14" s="1"/>
  <c r="V79" i="14" s="1"/>
  <c r="V87" i="14" s="1"/>
  <c r="V95" i="14" s="1"/>
  <c r="U47" i="14"/>
  <c r="U55" i="14" s="1"/>
  <c r="U63" i="14" s="1"/>
  <c r="U71" i="14" s="1"/>
  <c r="U79" i="14" s="1"/>
  <c r="U87" i="14" s="1"/>
  <c r="U95" i="14" s="1"/>
  <c r="T47" i="14"/>
  <c r="T55" i="14" s="1"/>
  <c r="S47" i="14"/>
  <c r="S55" i="14" s="1"/>
  <c r="S63" i="14" s="1"/>
  <c r="S71" i="14" s="1"/>
  <c r="S79" i="14" s="1"/>
  <c r="S87" i="14" s="1"/>
  <c r="S95" i="14" s="1"/>
  <c r="R47" i="14"/>
  <c r="R55" i="14" s="1"/>
  <c r="R63" i="14" s="1"/>
  <c r="R71" i="14" s="1"/>
  <c r="R79" i="14" s="1"/>
  <c r="R87" i="14" s="1"/>
  <c r="R95" i="14" s="1"/>
  <c r="Q47" i="14"/>
  <c r="Q55" i="14" s="1"/>
  <c r="Q63" i="14" s="1"/>
  <c r="Q71" i="14" s="1"/>
  <c r="Q79" i="14" s="1"/>
  <c r="Q87" i="14" s="1"/>
  <c r="Q95" i="14" s="1"/>
  <c r="P47" i="14"/>
  <c r="P55" i="14" s="1"/>
  <c r="D39" i="14"/>
  <c r="D36" i="14"/>
  <c r="D32" i="14"/>
  <c r="D18" i="14"/>
  <c r="D17" i="14"/>
  <c r="C12" i="14"/>
  <c r="AD29" i="12"/>
  <c r="AD27" i="12"/>
  <c r="AD26" i="12"/>
  <c r="AD25" i="12"/>
  <c r="AD23" i="12"/>
  <c r="AD22" i="12"/>
  <c r="AD21" i="12"/>
  <c r="AD19" i="12"/>
  <c r="AD18" i="12"/>
  <c r="AD17" i="12"/>
  <c r="AD15" i="12"/>
  <c r="AD14" i="12"/>
  <c r="AD13" i="12"/>
  <c r="AD11" i="12"/>
  <c r="AD10" i="12"/>
  <c r="AD9" i="12"/>
  <c r="C12" i="4"/>
  <c r="AD30" i="12" s="1"/>
  <c r="H6" i="4"/>
  <c r="H5" i="4"/>
  <c r="L49" i="11"/>
  <c r="C49" i="10"/>
  <c r="L52" i="10"/>
  <c r="F49" i="10"/>
  <c r="N6" i="14"/>
  <c r="D8" i="4"/>
  <c r="D5" i="4"/>
  <c r="I54" i="10"/>
  <c r="N5" i="14"/>
  <c r="D7" i="4"/>
  <c r="C3" i="10"/>
  <c r="D30" i="14"/>
  <c r="D31" i="14" s="1"/>
  <c r="O19" i="10"/>
  <c r="O11" i="10"/>
  <c r="I49" i="10"/>
  <c r="C3" i="12"/>
  <c r="C3" i="4"/>
  <c r="D2" i="9" s="1"/>
  <c r="D2" i="14"/>
  <c r="O16" i="12"/>
  <c r="D6" i="4"/>
  <c r="N72" i="14"/>
  <c r="N43" i="14"/>
  <c r="O26" i="12"/>
  <c r="O20" i="12"/>
  <c r="O10" i="12"/>
  <c r="O27" i="10"/>
  <c r="N99" i="14"/>
  <c r="N65" i="14"/>
  <c r="N59" i="14"/>
  <c r="N57" i="14"/>
  <c r="N41" i="14"/>
  <c r="O30" i="12"/>
  <c r="O24" i="12"/>
  <c r="O14" i="12"/>
  <c r="O8" i="12"/>
  <c r="E5" i="4"/>
  <c r="O15" i="10"/>
  <c r="O23" i="10"/>
  <c r="O8" i="10"/>
  <c r="O16" i="10"/>
  <c r="O24" i="10"/>
  <c r="O12" i="10"/>
  <c r="O20" i="10"/>
  <c r="O28" i="10"/>
  <c r="O10" i="10"/>
  <c r="O14" i="10"/>
  <c r="O18" i="10"/>
  <c r="O22" i="10"/>
  <c r="O26" i="10"/>
  <c r="O30" i="10"/>
  <c r="O9" i="10"/>
  <c r="O13" i="10"/>
  <c r="O17" i="10"/>
  <c r="O21" i="10"/>
  <c r="O25" i="10"/>
  <c r="O29" i="10"/>
  <c r="O12" i="12"/>
  <c r="O18" i="12"/>
  <c r="O28" i="12"/>
  <c r="O22" i="12"/>
  <c r="O9" i="12"/>
  <c r="O13" i="12"/>
  <c r="O17" i="12"/>
  <c r="O21" i="12"/>
  <c r="O25" i="12"/>
  <c r="O29" i="12"/>
  <c r="O11" i="12"/>
  <c r="O15" i="12"/>
  <c r="O19" i="12"/>
  <c r="O23" i="12"/>
  <c r="O27" i="12"/>
  <c r="L21" i="9"/>
  <c r="L76" i="9"/>
  <c r="L32" i="9"/>
  <c r="L13" i="9"/>
  <c r="L30" i="9"/>
  <c r="L54" i="9"/>
  <c r="L56" i="9"/>
  <c r="L15" i="9"/>
  <c r="L37" i="9"/>
  <c r="L69" i="9"/>
  <c r="L84" i="9"/>
  <c r="L14" i="9"/>
  <c r="L23" i="9"/>
  <c r="D29" i="9"/>
  <c r="B40" i="9" s="1" a="1"/>
  <c r="L39" i="9"/>
  <c r="L40" i="9"/>
  <c r="L46" i="9"/>
  <c r="L52" i="9"/>
  <c r="L63" i="9"/>
  <c r="L80" i="9"/>
  <c r="L44" i="9"/>
  <c r="L48" i="9"/>
  <c r="L61" i="9"/>
  <c r="L78" i="9"/>
  <c r="L87" i="9"/>
  <c r="L71" i="9"/>
  <c r="L12" i="9"/>
  <c r="L24" i="9"/>
  <c r="L29" i="9"/>
  <c r="L31" i="9"/>
  <c r="L36" i="9"/>
  <c r="L45" i="9"/>
  <c r="L47" i="9"/>
  <c r="L60" i="9"/>
  <c r="L62" i="9"/>
  <c r="L64" i="9"/>
  <c r="L77" i="9"/>
  <c r="L79" i="9"/>
  <c r="L86" i="9"/>
  <c r="L16" i="9"/>
  <c r="L20" i="9"/>
  <c r="L22" i="9"/>
  <c r="L28" i="9"/>
  <c r="L38" i="9"/>
  <c r="L53" i="9"/>
  <c r="L55" i="9"/>
  <c r="L68" i="9"/>
  <c r="L70" i="9"/>
  <c r="L72" i="9"/>
  <c r="L85" i="9"/>
  <c r="L88" i="9"/>
  <c r="N67" i="14"/>
  <c r="N104" i="14"/>
  <c r="N56" i="14"/>
  <c r="N58" i="14"/>
  <c r="N81" i="14"/>
  <c r="N64" i="14"/>
  <c r="N76" i="14"/>
  <c r="N48" i="14"/>
  <c r="N68" i="14"/>
  <c r="N90" i="14"/>
  <c r="N42" i="14"/>
  <c r="N49" i="14"/>
  <c r="N51" i="14"/>
  <c r="D60" i="14"/>
  <c r="B72" i="14" s="1" a="1"/>
  <c r="N66" i="14"/>
  <c r="N80" i="14"/>
  <c r="N89" i="14"/>
  <c r="N98" i="14"/>
  <c r="N40" i="14"/>
  <c r="N44" i="14"/>
  <c r="N50" i="14"/>
  <c r="N52" i="14"/>
  <c r="N60" i="14"/>
  <c r="N75" i="14"/>
  <c r="N84" i="14"/>
  <c r="N73" i="14"/>
  <c r="N82" i="14"/>
  <c r="N91" i="14"/>
  <c r="N96" i="14"/>
  <c r="N100" i="14"/>
  <c r="N123" i="14"/>
  <c r="N74" i="14"/>
  <c r="N83" i="14"/>
  <c r="N88" i="14"/>
  <c r="N92" i="14"/>
  <c r="N97" i="14"/>
  <c r="N115" i="14"/>
  <c r="O115" i="14" l="1"/>
  <c r="O97" i="14"/>
  <c r="O92" i="14"/>
  <c r="O88" i="14"/>
  <c r="O83" i="14"/>
  <c r="O74" i="14"/>
  <c r="O123" i="14"/>
  <c r="O100" i="14"/>
  <c r="O96" i="14"/>
  <c r="O91" i="14"/>
  <c r="O82" i="14"/>
  <c r="O73" i="14"/>
  <c r="O84" i="14"/>
  <c r="O75" i="14"/>
  <c r="O60" i="14"/>
  <c r="O52" i="14"/>
  <c r="O50" i="14"/>
  <c r="O44" i="14"/>
  <c r="O40" i="14"/>
  <c r="O98" i="14"/>
  <c r="O89" i="14"/>
  <c r="O80" i="14"/>
  <c r="O66" i="14"/>
  <c r="B75" i="14"/>
  <c r="B79" i="14"/>
  <c r="B83" i="14"/>
  <c r="B87" i="14"/>
  <c r="B91" i="14"/>
  <c r="B95" i="14"/>
  <c r="B99" i="14"/>
  <c r="B103" i="14"/>
  <c r="B107" i="14"/>
  <c r="B111" i="14"/>
  <c r="B115" i="14"/>
  <c r="B119" i="14"/>
  <c r="B123" i="14"/>
  <c r="B127" i="14"/>
  <c r="B131" i="14"/>
  <c r="B135" i="14"/>
  <c r="B139" i="14"/>
  <c r="B143" i="14"/>
  <c r="B147" i="14"/>
  <c r="B151" i="14"/>
  <c r="B155" i="14"/>
  <c r="B159" i="14"/>
  <c r="B163" i="14"/>
  <c r="B167" i="14"/>
  <c r="B171" i="14"/>
  <c r="B175" i="14"/>
  <c r="B179" i="14"/>
  <c r="B183" i="14"/>
  <c r="B187" i="14"/>
  <c r="B191" i="14"/>
  <c r="B195" i="14"/>
  <c r="B199" i="14"/>
  <c r="B203" i="14"/>
  <c r="B207" i="14"/>
  <c r="B211" i="14"/>
  <c r="B215" i="14"/>
  <c r="B219" i="14"/>
  <c r="B223" i="14"/>
  <c r="B227" i="14"/>
  <c r="B231" i="14"/>
  <c r="B235" i="14"/>
  <c r="B239" i="14"/>
  <c r="B243" i="14"/>
  <c r="B247" i="14"/>
  <c r="B251" i="14"/>
  <c r="B255" i="14"/>
  <c r="B259" i="14"/>
  <c r="B263" i="14"/>
  <c r="B267" i="14"/>
  <c r="B271" i="14"/>
  <c r="B275" i="14"/>
  <c r="B279" i="14"/>
  <c r="B283" i="14"/>
  <c r="B287" i="14"/>
  <c r="B291" i="14"/>
  <c r="B295" i="14"/>
  <c r="B299" i="14"/>
  <c r="B303" i="14"/>
  <c r="B307" i="14"/>
  <c r="B311" i="14"/>
  <c r="B315" i="14"/>
  <c r="B319" i="14"/>
  <c r="B323" i="14"/>
  <c r="B327" i="14"/>
  <c r="B331" i="14"/>
  <c r="B335" i="14"/>
  <c r="B339" i="14"/>
  <c r="B343" i="14"/>
  <c r="B347" i="14"/>
  <c r="B351" i="14"/>
  <c r="B355" i="14"/>
  <c r="B359" i="14"/>
  <c r="B363" i="14"/>
  <c r="B367" i="14"/>
  <c r="B371" i="14"/>
  <c r="B375" i="14"/>
  <c r="B379" i="14"/>
  <c r="B383" i="14"/>
  <c r="B387" i="14"/>
  <c r="B391" i="14"/>
  <c r="B395" i="14"/>
  <c r="B399" i="14"/>
  <c r="B403" i="14"/>
  <c r="B74" i="14"/>
  <c r="B78" i="14"/>
  <c r="B82" i="14"/>
  <c r="B86" i="14"/>
  <c r="B90" i="14"/>
  <c r="B94" i="14"/>
  <c r="B98" i="14"/>
  <c r="B102" i="14"/>
  <c r="B106" i="14"/>
  <c r="B110" i="14"/>
  <c r="B114" i="14"/>
  <c r="B118" i="14"/>
  <c r="B122" i="14"/>
  <c r="B126" i="14"/>
  <c r="B130" i="14"/>
  <c r="B134" i="14"/>
  <c r="B138" i="14"/>
  <c r="B142" i="14"/>
  <c r="B146" i="14"/>
  <c r="B150" i="14"/>
  <c r="B154" i="14"/>
  <c r="B158" i="14"/>
  <c r="B162" i="14"/>
  <c r="B166" i="14"/>
  <c r="B170" i="14"/>
  <c r="B174" i="14"/>
  <c r="B178" i="14"/>
  <c r="B182" i="14"/>
  <c r="B186" i="14"/>
  <c r="B190" i="14"/>
  <c r="B194" i="14"/>
  <c r="B198" i="14"/>
  <c r="B202" i="14"/>
  <c r="B206" i="14"/>
  <c r="B210" i="14"/>
  <c r="B214" i="14"/>
  <c r="B218" i="14"/>
  <c r="B222" i="14"/>
  <c r="B226" i="14"/>
  <c r="B230" i="14"/>
  <c r="B234" i="14"/>
  <c r="B238" i="14"/>
  <c r="B242" i="14"/>
  <c r="B246" i="14"/>
  <c r="B250" i="14"/>
  <c r="B254" i="14"/>
  <c r="B258" i="14"/>
  <c r="B262" i="14"/>
  <c r="B266" i="14"/>
  <c r="B270" i="14"/>
  <c r="B274" i="14"/>
  <c r="B278" i="14"/>
  <c r="B282" i="14"/>
  <c r="B286" i="14"/>
  <c r="B290" i="14"/>
  <c r="B294" i="14"/>
  <c r="B298" i="14"/>
  <c r="B302" i="14"/>
  <c r="B306" i="14"/>
  <c r="B310" i="14"/>
  <c r="B314" i="14"/>
  <c r="B318" i="14"/>
  <c r="B322" i="14"/>
  <c r="B326" i="14"/>
  <c r="B330" i="14"/>
  <c r="B334" i="14"/>
  <c r="B338" i="14"/>
  <c r="B342" i="14"/>
  <c r="B346" i="14"/>
  <c r="B350" i="14"/>
  <c r="B354" i="14"/>
  <c r="B358" i="14"/>
  <c r="B362" i="14"/>
  <c r="B366" i="14"/>
  <c r="B370" i="14"/>
  <c r="B374" i="14"/>
  <c r="B378" i="14"/>
  <c r="B382" i="14"/>
  <c r="B386" i="14"/>
  <c r="B390" i="14"/>
  <c r="B394" i="14"/>
  <c r="B398" i="14"/>
  <c r="B402" i="14"/>
  <c r="B406" i="14"/>
  <c r="B410" i="14"/>
  <c r="B414" i="14"/>
  <c r="B418" i="14"/>
  <c r="B422" i="14"/>
  <c r="B426" i="14"/>
  <c r="B430" i="14"/>
  <c r="B434" i="14"/>
  <c r="B438" i="14"/>
  <c r="B442" i="14"/>
  <c r="B446" i="14"/>
  <c r="B450" i="14"/>
  <c r="B454" i="14"/>
  <c r="B458" i="14"/>
  <c r="B462" i="14"/>
  <c r="B466" i="14"/>
  <c r="B470" i="14"/>
  <c r="B474" i="14"/>
  <c r="B478" i="14"/>
  <c r="B482" i="14"/>
  <c r="B486" i="14"/>
  <c r="B490" i="14"/>
  <c r="B494" i="14"/>
  <c r="B498" i="14"/>
  <c r="B502" i="14"/>
  <c r="B506" i="14"/>
  <c r="B510" i="14"/>
  <c r="B514" i="14"/>
  <c r="B518" i="14"/>
  <c r="B522" i="14"/>
  <c r="B526" i="14"/>
  <c r="B530" i="14"/>
  <c r="B534" i="14"/>
  <c r="B538" i="14"/>
  <c r="B542" i="14"/>
  <c r="B546" i="14"/>
  <c r="B550" i="14"/>
  <c r="B554" i="14"/>
  <c r="B558" i="14"/>
  <c r="B562" i="14"/>
  <c r="B566" i="14"/>
  <c r="B570" i="14"/>
  <c r="B574" i="14"/>
  <c r="B578" i="14"/>
  <c r="B582" i="14"/>
  <c r="B586" i="14"/>
  <c r="B590" i="14"/>
  <c r="B594" i="14"/>
  <c r="B598" i="14"/>
  <c r="B602" i="14"/>
  <c r="B606" i="14"/>
  <c r="B610" i="14"/>
  <c r="B614" i="14"/>
  <c r="B618" i="14"/>
  <c r="B622" i="14"/>
  <c r="B626" i="14"/>
  <c r="B630" i="14"/>
  <c r="B634" i="14"/>
  <c r="B638" i="14"/>
  <c r="B642" i="14"/>
  <c r="B646" i="14"/>
  <c r="B650" i="14"/>
  <c r="B654" i="14"/>
  <c r="B658" i="14"/>
  <c r="B662" i="14"/>
  <c r="B666" i="14"/>
  <c r="B670" i="14"/>
  <c r="B674" i="14"/>
  <c r="B678" i="14"/>
  <c r="B682" i="14"/>
  <c r="B686" i="14"/>
  <c r="B690" i="14"/>
  <c r="B694" i="14"/>
  <c r="B698" i="14"/>
  <c r="B72" i="14"/>
  <c r="B80" i="14"/>
  <c r="B88" i="14"/>
  <c r="B96" i="14"/>
  <c r="B104" i="14"/>
  <c r="B112" i="14"/>
  <c r="B120" i="14"/>
  <c r="B128" i="14"/>
  <c r="B136" i="14"/>
  <c r="B144" i="14"/>
  <c r="B152" i="14"/>
  <c r="B160" i="14"/>
  <c r="B168" i="14"/>
  <c r="B176" i="14"/>
  <c r="B184" i="14"/>
  <c r="B192" i="14"/>
  <c r="B200" i="14"/>
  <c r="B208" i="14"/>
  <c r="B216" i="14"/>
  <c r="B224" i="14"/>
  <c r="B232" i="14"/>
  <c r="B240" i="14"/>
  <c r="B248" i="14"/>
  <c r="B256" i="14"/>
  <c r="B264" i="14"/>
  <c r="B272" i="14"/>
  <c r="B280" i="14"/>
  <c r="B288" i="14"/>
  <c r="B296" i="14"/>
  <c r="B304" i="14"/>
  <c r="B312" i="14"/>
  <c r="B320" i="14"/>
  <c r="B328" i="14"/>
  <c r="B336" i="14"/>
  <c r="B344" i="14"/>
  <c r="B352" i="14"/>
  <c r="B360" i="14"/>
  <c r="B368" i="14"/>
  <c r="B376" i="14"/>
  <c r="B384" i="14"/>
  <c r="B392" i="14"/>
  <c r="B400" i="14"/>
  <c r="B407" i="14"/>
  <c r="B412" i="14"/>
  <c r="B417" i="14"/>
  <c r="B423" i="14"/>
  <c r="B428" i="14"/>
  <c r="B433" i="14"/>
  <c r="B439" i="14"/>
  <c r="B444" i="14"/>
  <c r="B449" i="14"/>
  <c r="B455" i="14"/>
  <c r="B460" i="14"/>
  <c r="B465" i="14"/>
  <c r="B471" i="14"/>
  <c r="B476" i="14"/>
  <c r="B481" i="14"/>
  <c r="B487" i="14"/>
  <c r="B492" i="14"/>
  <c r="B497" i="14"/>
  <c r="B503" i="14"/>
  <c r="B508" i="14"/>
  <c r="B513" i="14"/>
  <c r="B519" i="14"/>
  <c r="B524" i="14"/>
  <c r="B529" i="14"/>
  <c r="B535" i="14"/>
  <c r="B540" i="14"/>
  <c r="B545" i="14"/>
  <c r="B551" i="14"/>
  <c r="B556" i="14"/>
  <c r="B561" i="14"/>
  <c r="B567" i="14"/>
  <c r="B572" i="14"/>
  <c r="B577" i="14"/>
  <c r="B583" i="14"/>
  <c r="B588" i="14"/>
  <c r="B593" i="14"/>
  <c r="B599" i="14"/>
  <c r="B604" i="14"/>
  <c r="B609" i="14"/>
  <c r="B615" i="14"/>
  <c r="B620" i="14"/>
  <c r="B625" i="14"/>
  <c r="B631" i="14"/>
  <c r="B636" i="14"/>
  <c r="B641" i="14"/>
  <c r="B647" i="14"/>
  <c r="B652" i="14"/>
  <c r="B657" i="14"/>
  <c r="B663" i="14"/>
  <c r="B668" i="14"/>
  <c r="B673" i="14"/>
  <c r="B679" i="14"/>
  <c r="B684" i="14"/>
  <c r="B689" i="14"/>
  <c r="B695" i="14"/>
  <c r="B700" i="14"/>
  <c r="B704" i="14"/>
  <c r="B708" i="14"/>
  <c r="B712" i="14"/>
  <c r="B716" i="14"/>
  <c r="B720" i="14"/>
  <c r="B724" i="14"/>
  <c r="B728" i="14"/>
  <c r="B732" i="14"/>
  <c r="B736" i="14"/>
  <c r="B740" i="14"/>
  <c r="B744" i="14"/>
  <c r="B748" i="14"/>
  <c r="B752" i="14"/>
  <c r="B756" i="14"/>
  <c r="B760" i="14"/>
  <c r="B764" i="14"/>
  <c r="B768" i="14"/>
  <c r="B772" i="14"/>
  <c r="B776" i="14"/>
  <c r="B780" i="14"/>
  <c r="B784" i="14"/>
  <c r="B788" i="14"/>
  <c r="B792" i="14"/>
  <c r="B76" i="14"/>
  <c r="B84" i="14"/>
  <c r="B92" i="14"/>
  <c r="B100" i="14"/>
  <c r="B108" i="14"/>
  <c r="B116" i="14"/>
  <c r="B124" i="14"/>
  <c r="B132" i="14"/>
  <c r="B140" i="14"/>
  <c r="B148" i="14"/>
  <c r="B156" i="14"/>
  <c r="B164" i="14"/>
  <c r="B172" i="14"/>
  <c r="B180" i="14"/>
  <c r="B188" i="14"/>
  <c r="B196" i="14"/>
  <c r="B204" i="14"/>
  <c r="B212" i="14"/>
  <c r="B220" i="14"/>
  <c r="B228" i="14"/>
  <c r="B236" i="14"/>
  <c r="B244" i="14"/>
  <c r="B252" i="14"/>
  <c r="B260" i="14"/>
  <c r="B268" i="14"/>
  <c r="B276" i="14"/>
  <c r="B284" i="14"/>
  <c r="B292" i="14"/>
  <c r="B300" i="14"/>
  <c r="B308" i="14"/>
  <c r="B316" i="14"/>
  <c r="B324" i="14"/>
  <c r="B332" i="14"/>
  <c r="B340" i="14"/>
  <c r="B348" i="14"/>
  <c r="B356" i="14"/>
  <c r="B364" i="14"/>
  <c r="B372" i="14"/>
  <c r="B380" i="14"/>
  <c r="B388" i="14"/>
  <c r="B396" i="14"/>
  <c r="B404" i="14"/>
  <c r="B409" i="14"/>
  <c r="B415" i="14"/>
  <c r="B420" i="14"/>
  <c r="B425" i="14"/>
  <c r="B431" i="14"/>
  <c r="B436" i="14"/>
  <c r="B441" i="14"/>
  <c r="B447" i="14"/>
  <c r="B452" i="14"/>
  <c r="B457" i="14"/>
  <c r="B463" i="14"/>
  <c r="B468" i="14"/>
  <c r="B473" i="14"/>
  <c r="B479" i="14"/>
  <c r="B484" i="14"/>
  <c r="B489" i="14"/>
  <c r="B495" i="14"/>
  <c r="B500" i="14"/>
  <c r="B505" i="14"/>
  <c r="B511" i="14"/>
  <c r="B516" i="14"/>
  <c r="B521" i="14"/>
  <c r="B527" i="14"/>
  <c r="B532" i="14"/>
  <c r="B537" i="14"/>
  <c r="B543" i="14"/>
  <c r="B548" i="14"/>
  <c r="B553" i="14"/>
  <c r="B559" i="14"/>
  <c r="B564" i="14"/>
  <c r="B569" i="14"/>
  <c r="B575" i="14"/>
  <c r="B580" i="14"/>
  <c r="B585" i="14"/>
  <c r="B591" i="14"/>
  <c r="B596" i="14"/>
  <c r="B601" i="14"/>
  <c r="B607" i="14"/>
  <c r="B612" i="14"/>
  <c r="B617" i="14"/>
  <c r="B623" i="14"/>
  <c r="B628" i="14"/>
  <c r="B633" i="14"/>
  <c r="B639" i="14"/>
  <c r="B644" i="14"/>
  <c r="B649" i="14"/>
  <c r="B655" i="14"/>
  <c r="B660" i="14"/>
  <c r="B665" i="14"/>
  <c r="B671" i="14"/>
  <c r="B676" i="14"/>
  <c r="B681" i="14"/>
  <c r="B687" i="14"/>
  <c r="B692" i="14"/>
  <c r="B697" i="14"/>
  <c r="B702" i="14"/>
  <c r="B706" i="14"/>
  <c r="B710" i="14"/>
  <c r="B714" i="14"/>
  <c r="B718" i="14"/>
  <c r="B722" i="14"/>
  <c r="B726" i="14"/>
  <c r="B730" i="14"/>
  <c r="B734" i="14"/>
  <c r="B738" i="14"/>
  <c r="B742" i="14"/>
  <c r="B746" i="14"/>
  <c r="B750" i="14"/>
  <c r="B754" i="14"/>
  <c r="B758" i="14"/>
  <c r="B762" i="14"/>
  <c r="B766" i="14"/>
  <c r="B770" i="14"/>
  <c r="B774" i="14"/>
  <c r="B778" i="14"/>
  <c r="B782" i="14"/>
  <c r="B786" i="14"/>
  <c r="B790" i="14"/>
  <c r="B794" i="14"/>
  <c r="B81" i="14"/>
  <c r="B97" i="14"/>
  <c r="B113" i="14"/>
  <c r="B129" i="14"/>
  <c r="B145" i="14"/>
  <c r="B161" i="14"/>
  <c r="B177" i="14"/>
  <c r="B193" i="14"/>
  <c r="B209" i="14"/>
  <c r="B225" i="14"/>
  <c r="B241" i="14"/>
  <c r="B257" i="14"/>
  <c r="B273" i="14"/>
  <c r="B289" i="14"/>
  <c r="B305" i="14"/>
  <c r="B321" i="14"/>
  <c r="B337" i="14"/>
  <c r="B353" i="14"/>
  <c r="B369" i="14"/>
  <c r="B385" i="14"/>
  <c r="B401" i="14"/>
  <c r="B413" i="14"/>
  <c r="B424" i="14"/>
  <c r="B435" i="14"/>
  <c r="B445" i="14"/>
  <c r="B456" i="14"/>
  <c r="B467" i="14"/>
  <c r="B477" i="14"/>
  <c r="B488" i="14"/>
  <c r="B499" i="14"/>
  <c r="B509" i="14"/>
  <c r="B520" i="14"/>
  <c r="B531" i="14"/>
  <c r="B541" i="14"/>
  <c r="B552" i="14"/>
  <c r="B563" i="14"/>
  <c r="B573" i="14"/>
  <c r="B584" i="14"/>
  <c r="B595" i="14"/>
  <c r="B605" i="14"/>
  <c r="B616" i="14"/>
  <c r="B627" i="14"/>
  <c r="B637" i="14"/>
  <c r="B648" i="14"/>
  <c r="B659" i="14"/>
  <c r="B669" i="14"/>
  <c r="B680" i="14"/>
  <c r="B691" i="14"/>
  <c r="B701" i="14"/>
  <c r="B709" i="14"/>
  <c r="B717" i="14"/>
  <c r="B725" i="14"/>
  <c r="B733" i="14"/>
  <c r="B741" i="14"/>
  <c r="B749" i="14"/>
  <c r="B757" i="14"/>
  <c r="B765" i="14"/>
  <c r="B773" i="14"/>
  <c r="B781" i="14"/>
  <c r="B789" i="14"/>
  <c r="B245" i="14"/>
  <c r="B427" i="14"/>
  <c r="B533" i="14"/>
  <c r="B597" i="14"/>
  <c r="B640" i="14"/>
  <c r="B683" i="14"/>
  <c r="B711" i="14"/>
  <c r="B727" i="14"/>
  <c r="B751" i="14"/>
  <c r="B767" i="14"/>
  <c r="B791" i="14"/>
  <c r="B73" i="14"/>
  <c r="B105" i="14"/>
  <c r="B137" i="14"/>
  <c r="B169" i="14"/>
  <c r="B217" i="14"/>
  <c r="B265" i="14"/>
  <c r="B313" i="14"/>
  <c r="B361" i="14"/>
  <c r="B408" i="14"/>
  <c r="B440" i="14"/>
  <c r="B472" i="14"/>
  <c r="B504" i="14"/>
  <c r="B525" i="14"/>
  <c r="B547" i="14"/>
  <c r="B568" i="14"/>
  <c r="B600" i="14"/>
  <c r="B621" i="14"/>
  <c r="B643" i="14"/>
  <c r="B664" i="14"/>
  <c r="B685" i="14"/>
  <c r="B713" i="14"/>
  <c r="B729" i="14"/>
  <c r="B745" i="14"/>
  <c r="B769" i="14"/>
  <c r="B793" i="14"/>
  <c r="B77" i="14"/>
  <c r="B93" i="14"/>
  <c r="B109" i="14"/>
  <c r="B125" i="14"/>
  <c r="B141" i="14"/>
  <c r="B157" i="14"/>
  <c r="B173" i="14"/>
  <c r="B189" i="14"/>
  <c r="B205" i="14"/>
  <c r="B221" i="14"/>
  <c r="B237" i="14"/>
  <c r="B253" i="14"/>
  <c r="B269" i="14"/>
  <c r="B285" i="14"/>
  <c r="B301" i="14"/>
  <c r="B317" i="14"/>
  <c r="B333" i="14"/>
  <c r="B349" i="14"/>
  <c r="B365" i="14"/>
  <c r="B381" i="14"/>
  <c r="B397" i="14"/>
  <c r="B411" i="14"/>
  <c r="B421" i="14"/>
  <c r="B432" i="14"/>
  <c r="B443" i="14"/>
  <c r="B453" i="14"/>
  <c r="B464" i="14"/>
  <c r="B475" i="14"/>
  <c r="B485" i="14"/>
  <c r="B496" i="14"/>
  <c r="B507" i="14"/>
  <c r="B517" i="14"/>
  <c r="B528" i="14"/>
  <c r="B539" i="14"/>
  <c r="B549" i="14"/>
  <c r="B560" i="14"/>
  <c r="B571" i="14"/>
  <c r="B581" i="14"/>
  <c r="B592" i="14"/>
  <c r="B603" i="14"/>
  <c r="B613" i="14"/>
  <c r="B624" i="14"/>
  <c r="B635" i="14"/>
  <c r="B645" i="14"/>
  <c r="B656" i="14"/>
  <c r="B667" i="14"/>
  <c r="B677" i="14"/>
  <c r="B688" i="14"/>
  <c r="B699" i="14"/>
  <c r="B707" i="14"/>
  <c r="B715" i="14"/>
  <c r="B723" i="14"/>
  <c r="B731" i="14"/>
  <c r="B739" i="14"/>
  <c r="B747" i="14"/>
  <c r="B755" i="14"/>
  <c r="B763" i="14"/>
  <c r="B771" i="14"/>
  <c r="B779" i="14"/>
  <c r="B787" i="14"/>
  <c r="B85" i="14"/>
  <c r="B101" i="14"/>
  <c r="B117" i="14"/>
  <c r="B133" i="14"/>
  <c r="B149" i="14"/>
  <c r="B165" i="14"/>
  <c r="B181" i="14"/>
  <c r="B197" i="14"/>
  <c r="B213" i="14"/>
  <c r="B229" i="14"/>
  <c r="B261" i="14"/>
  <c r="B277" i="14"/>
  <c r="B293" i="14"/>
  <c r="B309" i="14"/>
  <c r="B325" i="14"/>
  <c r="B341" i="14"/>
  <c r="B357" i="14"/>
  <c r="B373" i="14"/>
  <c r="B389" i="14"/>
  <c r="B405" i="14"/>
  <c r="B416" i="14"/>
  <c r="B437" i="14"/>
  <c r="B448" i="14"/>
  <c r="B459" i="14"/>
  <c r="B469" i="14"/>
  <c r="B480" i="14"/>
  <c r="B491" i="14"/>
  <c r="B501" i="14"/>
  <c r="B512" i="14"/>
  <c r="B523" i="14"/>
  <c r="B544" i="14"/>
  <c r="B555" i="14"/>
  <c r="B565" i="14"/>
  <c r="B576" i="14"/>
  <c r="B587" i="14"/>
  <c r="B608" i="14"/>
  <c r="B619" i="14"/>
  <c r="B629" i="14"/>
  <c r="B651" i="14"/>
  <c r="B661" i="14"/>
  <c r="B672" i="14"/>
  <c r="B693" i="14"/>
  <c r="B703" i="14"/>
  <c r="B719" i="14"/>
  <c r="B735" i="14"/>
  <c r="B743" i="14"/>
  <c r="B759" i="14"/>
  <c r="B775" i="14"/>
  <c r="B783" i="14"/>
  <c r="B89" i="14"/>
  <c r="B121" i="14"/>
  <c r="B153" i="14"/>
  <c r="B185" i="14"/>
  <c r="B201" i="14"/>
  <c r="B233" i="14"/>
  <c r="B249" i="14"/>
  <c r="B281" i="14"/>
  <c r="B297" i="14"/>
  <c r="B329" i="14"/>
  <c r="B345" i="14"/>
  <c r="B377" i="14"/>
  <c r="B393" i="14"/>
  <c r="B419" i="14"/>
  <c r="B429" i="14"/>
  <c r="B451" i="14"/>
  <c r="B461" i="14"/>
  <c r="B483" i="14"/>
  <c r="B493" i="14"/>
  <c r="B515" i="14"/>
  <c r="B536" i="14"/>
  <c r="B557" i="14"/>
  <c r="B579" i="14"/>
  <c r="B589" i="14"/>
  <c r="B611" i="14"/>
  <c r="B632" i="14"/>
  <c r="B653" i="14"/>
  <c r="B675" i="14"/>
  <c r="B696" i="14"/>
  <c r="B705" i="14"/>
  <c r="B721" i="14"/>
  <c r="B737" i="14"/>
  <c r="B753" i="14"/>
  <c r="B761" i="14"/>
  <c r="B777" i="14"/>
  <c r="B785" i="14"/>
  <c r="O51" i="14"/>
  <c r="O49" i="14"/>
  <c r="O42" i="14"/>
  <c r="O90" i="14"/>
  <c r="O68" i="14"/>
  <c r="O48" i="14"/>
  <c r="O76" i="14"/>
  <c r="O64" i="14"/>
  <c r="O81" i="14"/>
  <c r="O58" i="14"/>
  <c r="O56" i="14"/>
  <c r="O104" i="14"/>
  <c r="O67" i="14"/>
  <c r="M88" i="9"/>
  <c r="M85" i="9"/>
  <c r="M72" i="9"/>
  <c r="M70" i="9"/>
  <c r="M68" i="9"/>
  <c r="M55" i="9"/>
  <c r="M53" i="9"/>
  <c r="M38" i="9"/>
  <c r="M28" i="9"/>
  <c r="M22" i="9"/>
  <c r="M20" i="9"/>
  <c r="M16" i="9"/>
  <c r="M86" i="9"/>
  <c r="M79" i="9"/>
  <c r="M77" i="9"/>
  <c r="M64" i="9"/>
  <c r="M62" i="9"/>
  <c r="M60" i="9"/>
  <c r="M47" i="9"/>
  <c r="M45" i="9"/>
  <c r="M36" i="9"/>
  <c r="M31" i="9"/>
  <c r="M29" i="9"/>
  <c r="M24" i="9"/>
  <c r="M12" i="9"/>
  <c r="M71" i="9"/>
  <c r="M87" i="9"/>
  <c r="M78" i="9"/>
  <c r="M61" i="9"/>
  <c r="M48" i="9"/>
  <c r="M44" i="9"/>
  <c r="M80" i="9"/>
  <c r="M63" i="9"/>
  <c r="M52" i="9"/>
  <c r="M46" i="9"/>
  <c r="M40" i="9"/>
  <c r="M39" i="9"/>
  <c r="B43" i="9"/>
  <c r="B47" i="9"/>
  <c r="B51" i="9"/>
  <c r="B55" i="9"/>
  <c r="B59" i="9"/>
  <c r="B63" i="9"/>
  <c r="B67" i="9"/>
  <c r="B71" i="9"/>
  <c r="B75" i="9"/>
  <c r="B79" i="9"/>
  <c r="B83" i="9"/>
  <c r="B87" i="9"/>
  <c r="B91" i="9"/>
  <c r="B95" i="9"/>
  <c r="B99" i="9"/>
  <c r="B103" i="9"/>
  <c r="B107" i="9"/>
  <c r="B111" i="9"/>
  <c r="B115" i="9"/>
  <c r="B119" i="9"/>
  <c r="B123" i="9"/>
  <c r="B127" i="9"/>
  <c r="B131" i="9"/>
  <c r="B135" i="9"/>
  <c r="B139" i="9"/>
  <c r="B143" i="9"/>
  <c r="B147" i="9"/>
  <c r="B151" i="9"/>
  <c r="B155" i="9"/>
  <c r="B159" i="9"/>
  <c r="B163" i="9"/>
  <c r="B167" i="9"/>
  <c r="B171" i="9"/>
  <c r="B175" i="9"/>
  <c r="B179" i="9"/>
  <c r="B183" i="9"/>
  <c r="B187" i="9"/>
  <c r="B191" i="9"/>
  <c r="B195" i="9"/>
  <c r="B199" i="9"/>
  <c r="B203" i="9"/>
  <c r="B207" i="9"/>
  <c r="B211" i="9"/>
  <c r="B215" i="9"/>
  <c r="B219" i="9"/>
  <c r="B223" i="9"/>
  <c r="B227" i="9"/>
  <c r="B231" i="9"/>
  <c r="B235" i="9"/>
  <c r="B239" i="9"/>
  <c r="B243" i="9"/>
  <c r="B247" i="9"/>
  <c r="B251" i="9"/>
  <c r="B255" i="9"/>
  <c r="B259" i="9"/>
  <c r="B263" i="9"/>
  <c r="B267" i="9"/>
  <c r="B40" i="9"/>
  <c r="B44" i="9"/>
  <c r="B48" i="9"/>
  <c r="B52" i="9"/>
  <c r="B56" i="9"/>
  <c r="B60" i="9"/>
  <c r="B64" i="9"/>
  <c r="B68" i="9"/>
  <c r="B72" i="9"/>
  <c r="B76" i="9"/>
  <c r="B80" i="9"/>
  <c r="B84" i="9"/>
  <c r="B88" i="9"/>
  <c r="B92" i="9"/>
  <c r="B96" i="9"/>
  <c r="B100" i="9"/>
  <c r="B104" i="9"/>
  <c r="B108" i="9"/>
  <c r="B112" i="9"/>
  <c r="B116" i="9"/>
  <c r="B120" i="9"/>
  <c r="B124" i="9"/>
  <c r="B128" i="9"/>
  <c r="B132" i="9"/>
  <c r="B136" i="9"/>
  <c r="B140" i="9"/>
  <c r="B144" i="9"/>
  <c r="B148" i="9"/>
  <c r="B152" i="9"/>
  <c r="B156" i="9"/>
  <c r="B160" i="9"/>
  <c r="B164" i="9"/>
  <c r="B168" i="9"/>
  <c r="B172" i="9"/>
  <c r="B176" i="9"/>
  <c r="B180" i="9"/>
  <c r="B184" i="9"/>
  <c r="B188" i="9"/>
  <c r="B192" i="9"/>
  <c r="B196" i="9"/>
  <c r="B200" i="9"/>
  <c r="B204" i="9"/>
  <c r="B208" i="9"/>
  <c r="B212" i="9"/>
  <c r="B216" i="9"/>
  <c r="B220" i="9"/>
  <c r="B224" i="9"/>
  <c r="B228" i="9"/>
  <c r="B232" i="9"/>
  <c r="B236" i="9"/>
  <c r="B240" i="9"/>
  <c r="B244" i="9"/>
  <c r="B248" i="9"/>
  <c r="B252" i="9"/>
  <c r="B256" i="9"/>
  <c r="B260" i="9"/>
  <c r="B264" i="9"/>
  <c r="B268" i="9"/>
  <c r="B42" i="9"/>
  <c r="B50" i="9"/>
  <c r="B58" i="9"/>
  <c r="B66" i="9"/>
  <c r="B74" i="9"/>
  <c r="B82" i="9"/>
  <c r="B90" i="9"/>
  <c r="B98" i="9"/>
  <c r="B106" i="9"/>
  <c r="B114" i="9"/>
  <c r="B122" i="9"/>
  <c r="B130" i="9"/>
  <c r="B138" i="9"/>
  <c r="B146" i="9"/>
  <c r="B154" i="9"/>
  <c r="B162" i="9"/>
  <c r="B170" i="9"/>
  <c r="B178" i="9"/>
  <c r="B186" i="9"/>
  <c r="B194" i="9"/>
  <c r="B202" i="9"/>
  <c r="B210" i="9"/>
  <c r="B218" i="9"/>
  <c r="B226" i="9"/>
  <c r="B234" i="9"/>
  <c r="B242" i="9"/>
  <c r="B250" i="9"/>
  <c r="B258" i="9"/>
  <c r="B266" i="9"/>
  <c r="B46" i="9"/>
  <c r="B57" i="9"/>
  <c r="B69" i="9"/>
  <c r="B78" i="9"/>
  <c r="B89" i="9"/>
  <c r="B101" i="9"/>
  <c r="B110" i="9"/>
  <c r="B121" i="9"/>
  <c r="B133" i="9"/>
  <c r="B142" i="9"/>
  <c r="B153" i="9"/>
  <c r="B165" i="9"/>
  <c r="B174" i="9"/>
  <c r="B185" i="9"/>
  <c r="B197" i="9"/>
  <c r="B206" i="9"/>
  <c r="B217" i="9"/>
  <c r="B229" i="9"/>
  <c r="B238" i="9"/>
  <c r="B249" i="9"/>
  <c r="B261" i="9"/>
  <c r="B93" i="9"/>
  <c r="B177" i="9"/>
  <c r="B241" i="9"/>
  <c r="B45" i="9"/>
  <c r="B54" i="9"/>
  <c r="B65" i="9"/>
  <c r="B77" i="9"/>
  <c r="B86" i="9"/>
  <c r="B97" i="9"/>
  <c r="B109" i="9"/>
  <c r="B118" i="9"/>
  <c r="B129" i="9"/>
  <c r="B141" i="9"/>
  <c r="B150" i="9"/>
  <c r="B161" i="9"/>
  <c r="B173" i="9"/>
  <c r="B182" i="9"/>
  <c r="B193" i="9"/>
  <c r="B205" i="9"/>
  <c r="B214" i="9"/>
  <c r="B225" i="9"/>
  <c r="B237" i="9"/>
  <c r="B246" i="9"/>
  <c r="B257" i="9"/>
  <c r="B49" i="9"/>
  <c r="B61" i="9"/>
  <c r="B70" i="9"/>
  <c r="B81" i="9"/>
  <c r="B102" i="9"/>
  <c r="B113" i="9"/>
  <c r="B125" i="9"/>
  <c r="B134" i="9"/>
  <c r="B145" i="9"/>
  <c r="B157" i="9"/>
  <c r="B166" i="9"/>
  <c r="B189" i="9"/>
  <c r="B198" i="9"/>
  <c r="B209" i="9"/>
  <c r="B221" i="9"/>
  <c r="B230" i="9"/>
  <c r="B253" i="9"/>
  <c r="B262" i="9"/>
  <c r="B41" i="9"/>
  <c r="B85" i="9"/>
  <c r="B126" i="9"/>
  <c r="B169" i="9"/>
  <c r="B213" i="9"/>
  <c r="B254" i="9"/>
  <c r="B53" i="9"/>
  <c r="B94" i="9"/>
  <c r="B137" i="9"/>
  <c r="B181" i="9"/>
  <c r="B222" i="9"/>
  <c r="B265" i="9"/>
  <c r="B62" i="9"/>
  <c r="B105" i="9"/>
  <c r="B149" i="9"/>
  <c r="B190" i="9"/>
  <c r="B233" i="9"/>
  <c r="B73" i="9"/>
  <c r="B117" i="9"/>
  <c r="B158" i="9"/>
  <c r="B201" i="9"/>
  <c r="B245" i="9"/>
  <c r="M23" i="9"/>
  <c r="M14" i="9"/>
  <c r="M84" i="9"/>
  <c r="M69" i="9"/>
  <c r="M37" i="9"/>
  <c r="M15" i="9"/>
  <c r="M56" i="9"/>
  <c r="M54" i="9"/>
  <c r="M30" i="9"/>
  <c r="M13" i="9"/>
  <c r="M32" i="9"/>
  <c r="M76" i="9"/>
  <c r="M21" i="9"/>
  <c r="P27" i="12"/>
  <c r="P23" i="12"/>
  <c r="P19" i="12"/>
  <c r="P15" i="12"/>
  <c r="P11" i="12"/>
  <c r="P29" i="12"/>
  <c r="P25" i="12"/>
  <c r="P21" i="12"/>
  <c r="P17" i="12"/>
  <c r="P13" i="12"/>
  <c r="P9" i="12"/>
  <c r="P22" i="12"/>
  <c r="P28" i="12"/>
  <c r="P18" i="12"/>
  <c r="P12" i="12"/>
  <c r="P29" i="10"/>
  <c r="P25" i="10"/>
  <c r="P21" i="10"/>
  <c r="P17" i="10"/>
  <c r="P13" i="10"/>
  <c r="P9" i="10"/>
  <c r="P30" i="10"/>
  <c r="P26" i="10"/>
  <c r="P22" i="10"/>
  <c r="P18" i="10"/>
  <c r="P14" i="10"/>
  <c r="P10" i="10"/>
  <c r="P28" i="10"/>
  <c r="P20" i="10"/>
  <c r="P12" i="10"/>
  <c r="P24" i="10"/>
  <c r="C82" i="10"/>
  <c r="P16" i="10"/>
  <c r="P8" i="10"/>
  <c r="P23" i="10"/>
  <c r="P15" i="10"/>
  <c r="E6" i="4"/>
  <c r="P8" i="12"/>
  <c r="P14" i="12"/>
  <c r="P24" i="12"/>
  <c r="P30" i="12"/>
  <c r="O41" i="14"/>
  <c r="O57" i="14"/>
  <c r="O59" i="14"/>
  <c r="O65" i="14"/>
  <c r="O99" i="14"/>
  <c r="P27" i="10"/>
  <c r="P10" i="12"/>
  <c r="P20" i="12"/>
  <c r="P26" i="12"/>
  <c r="O43" i="14"/>
  <c r="O72" i="14"/>
  <c r="D5" i="9"/>
  <c r="D5" i="14"/>
  <c r="P16" i="12"/>
  <c r="L50" i="10"/>
  <c r="P11" i="10"/>
  <c r="P19" i="10"/>
  <c r="D6" i="9"/>
  <c r="D6" i="14"/>
  <c r="C62" i="10"/>
  <c r="D4" i="9"/>
  <c r="D4" i="14"/>
  <c r="D47" i="14" s="1"/>
  <c r="D7" i="9"/>
  <c r="C63" i="10"/>
  <c r="Q111" i="14"/>
  <c r="Q119" i="14" s="1"/>
  <c r="Q103" i="14"/>
  <c r="U111" i="14"/>
  <c r="U119" i="14" s="1"/>
  <c r="U103" i="14"/>
  <c r="M105" i="14"/>
  <c r="M113" i="14"/>
  <c r="S103" i="14"/>
  <c r="S111" i="14"/>
  <c r="S119" i="14" s="1"/>
  <c r="W103" i="14"/>
  <c r="W111" i="14"/>
  <c r="W119" i="14" s="1"/>
  <c r="X103" i="14"/>
  <c r="X111" i="14"/>
  <c r="X119" i="14" s="1"/>
  <c r="M108" i="14"/>
  <c r="M116" i="14"/>
  <c r="Y111" i="14"/>
  <c r="Y119" i="14" s="1"/>
  <c r="Y103" i="14"/>
  <c r="P103" i="14"/>
  <c r="P111" i="14"/>
  <c r="P119" i="14" s="1"/>
  <c r="R111" i="14"/>
  <c r="R119" i="14" s="1"/>
  <c r="R103" i="14"/>
  <c r="V111" i="14"/>
  <c r="V119" i="14" s="1"/>
  <c r="V103" i="14"/>
  <c r="Z111" i="14"/>
  <c r="Z119" i="14" s="1"/>
  <c r="Z103" i="14"/>
  <c r="T103" i="14"/>
  <c r="T111" i="14"/>
  <c r="T119" i="14" s="1"/>
  <c r="O27" i="9"/>
  <c r="O35" i="9" s="1"/>
  <c r="O43" i="9" s="1"/>
  <c r="O51" i="9" s="1"/>
  <c r="O59" i="9" s="1"/>
  <c r="O67" i="9" s="1"/>
  <c r="O75" i="9" s="1"/>
  <c r="O83" i="9" s="1"/>
  <c r="E1" i="16" a="1"/>
  <c r="M114" i="14"/>
  <c r="M106" i="14"/>
  <c r="M112" i="14"/>
  <c r="M107" i="14"/>
  <c r="D2" i="16" a="1"/>
  <c r="AD8" i="12"/>
  <c r="AD12" i="12"/>
  <c r="AD16" i="12"/>
  <c r="AD20" i="12"/>
  <c r="AD24" i="12"/>
  <c r="AD28" i="12"/>
  <c r="D18" i="9"/>
  <c r="AC28" i="10"/>
  <c r="AC24" i="10"/>
  <c r="AC20" i="10"/>
  <c r="AC16" i="10"/>
  <c r="AC12" i="10"/>
  <c r="AC8" i="10"/>
  <c r="AC29" i="10"/>
  <c r="AC25" i="10"/>
  <c r="AC21" i="10"/>
  <c r="AC17" i="10"/>
  <c r="AC13" i="10"/>
  <c r="AC9" i="10"/>
  <c r="N27" i="9"/>
  <c r="N35" i="9" s="1"/>
  <c r="N43" i="9" s="1"/>
  <c r="N51" i="9" s="1"/>
  <c r="N59" i="9" s="1"/>
  <c r="N67" i="9" s="1"/>
  <c r="N75" i="9" s="1"/>
  <c r="N83" i="9" s="1"/>
  <c r="N11" i="9" a="1"/>
  <c r="R28" i="11"/>
  <c r="AW28" i="11" s="1"/>
  <c r="W28" i="11"/>
  <c r="BB28" i="11" s="1"/>
  <c r="AA21" i="11"/>
  <c r="BF21" i="11" s="1"/>
  <c r="U15" i="11"/>
  <c r="AZ15" i="11" s="1"/>
  <c r="R23" i="11"/>
  <c r="AW23" i="11" s="1"/>
  <c r="Y22" i="11"/>
  <c r="BD22" i="11" s="1"/>
  <c r="W19" i="11"/>
  <c r="BB19" i="11" s="1"/>
  <c r="Q16" i="11"/>
  <c r="AV16" i="11" s="1"/>
  <c r="V16" i="11"/>
  <c r="BA16" i="11" s="1"/>
  <c r="S20" i="11"/>
  <c r="AX20" i="11" s="1"/>
  <c r="W13" i="11"/>
  <c r="BB13" i="11" s="1"/>
  <c r="R25" i="11"/>
  <c r="AW25" i="11" s="1"/>
  <c r="T14" i="11"/>
  <c r="Z11" i="11"/>
  <c r="BE11" i="11" s="1"/>
  <c r="U8" i="11"/>
  <c r="AZ8" i="11" s="1"/>
  <c r="W8" i="11"/>
  <c r="BB8" i="11" s="1"/>
  <c r="R17" i="11"/>
  <c r="AW17" i="11" s="1"/>
  <c r="X26" i="11"/>
  <c r="BC26" i="11" s="1"/>
  <c r="Y26" i="11"/>
  <c r="BD26" i="11" s="1"/>
  <c r="Q27" i="11"/>
  <c r="AV27" i="11" s="1"/>
  <c r="N105" i="14"/>
  <c r="Y28" i="11"/>
  <c r="BD28" i="11" s="1"/>
  <c r="S28" i="11"/>
  <c r="AX28" i="11" s="1"/>
  <c r="Y21" i="11"/>
  <c r="BD21" i="11" s="1"/>
  <c r="T21" i="11"/>
  <c r="S21" i="11"/>
  <c r="AX21" i="11" s="1"/>
  <c r="V15" i="11"/>
  <c r="BA15" i="11" s="1"/>
  <c r="X15" i="11"/>
  <c r="BC15" i="11" s="1"/>
  <c r="Q15" i="11"/>
  <c r="AV15" i="11" s="1"/>
  <c r="S23" i="11"/>
  <c r="AX23" i="11" s="1"/>
  <c r="X23" i="11"/>
  <c r="BC23" i="11" s="1"/>
  <c r="T23" i="11"/>
  <c r="N106" i="14"/>
  <c r="AA22" i="11"/>
  <c r="BF22" i="11" s="1"/>
  <c r="Q22" i="11"/>
  <c r="AV22" i="11" s="1"/>
  <c r="U22" i="11"/>
  <c r="AZ22" i="11" s="1"/>
  <c r="U12" i="11"/>
  <c r="AZ12" i="11" s="1"/>
  <c r="R12" i="11"/>
  <c r="AW12" i="11" s="1"/>
  <c r="S12" i="11"/>
  <c r="AX12" i="11" s="1"/>
  <c r="Q29" i="11"/>
  <c r="AV29" i="11" s="1"/>
  <c r="R29" i="11"/>
  <c r="AW29" i="11" s="1"/>
  <c r="V29" i="11"/>
  <c r="BA29" i="11" s="1"/>
  <c r="S9" i="11"/>
  <c r="AX9" i="11" s="1"/>
  <c r="AA9" i="11"/>
  <c r="BF9" i="11" s="1"/>
  <c r="Z24" i="11"/>
  <c r="BE24" i="11" s="1"/>
  <c r="U24" i="11"/>
  <c r="AZ24" i="11" s="1"/>
  <c r="AA24" i="11"/>
  <c r="BF24" i="11" s="1"/>
  <c r="T18" i="11"/>
  <c r="V18" i="11"/>
  <c r="BA18" i="11" s="1"/>
  <c r="Y18" i="11"/>
  <c r="BD18" i="11" s="1"/>
  <c r="S19" i="11"/>
  <c r="AX19" i="11" s="1"/>
  <c r="T19" i="11"/>
  <c r="Y19" i="11"/>
  <c r="BD19" i="11" s="1"/>
  <c r="R16" i="11"/>
  <c r="AW16" i="11" s="1"/>
  <c r="T16" i="11"/>
  <c r="Z20" i="11"/>
  <c r="BE20" i="11" s="1"/>
  <c r="U20" i="11"/>
  <c r="AZ20" i="11" s="1"/>
  <c r="T20" i="11"/>
  <c r="T13" i="11"/>
  <c r="Z13" i="11"/>
  <c r="BE13" i="11" s="1"/>
  <c r="S13" i="11"/>
  <c r="AX13" i="11" s="1"/>
  <c r="Q25" i="11"/>
  <c r="AV25" i="11" s="1"/>
  <c r="W25" i="11"/>
  <c r="BB25" i="11" s="1"/>
  <c r="S25" i="11"/>
  <c r="AX25" i="11" s="1"/>
  <c r="Y14" i="11"/>
  <c r="BD14" i="11" s="1"/>
  <c r="R14" i="11"/>
  <c r="AW14" i="11" s="1"/>
  <c r="X30" i="11"/>
  <c r="BC30" i="11" s="1"/>
  <c r="S30" i="11"/>
  <c r="AX30" i="11" s="1"/>
  <c r="R30" i="11"/>
  <c r="AW30" i="11" s="1"/>
  <c r="V11" i="11"/>
  <c r="BA11" i="11" s="1"/>
  <c r="S11" i="11"/>
  <c r="AX11" i="11" s="1"/>
  <c r="U11" i="11"/>
  <c r="AZ11" i="11" s="1"/>
  <c r="Q8" i="11"/>
  <c r="AV8" i="11" s="1"/>
  <c r="T8" i="11"/>
  <c r="S8" i="11"/>
  <c r="AX8" i="11" s="1"/>
  <c r="X17" i="11"/>
  <c r="BC17" i="11" s="1"/>
  <c r="S17" i="11"/>
  <c r="AX17" i="11" s="1"/>
  <c r="AA10" i="11"/>
  <c r="BF10" i="11" s="1"/>
  <c r="T10" i="11"/>
  <c r="Z10" i="11"/>
  <c r="BE10" i="11" s="1"/>
  <c r="T26" i="11"/>
  <c r="U26" i="11"/>
  <c r="AZ26" i="11" s="1"/>
  <c r="Q26" i="11"/>
  <c r="AV26" i="11" s="1"/>
  <c r="S27" i="11"/>
  <c r="AX27" i="11" s="1"/>
  <c r="T27" i="11"/>
  <c r="X27" i="11"/>
  <c r="BC27" i="11" s="1"/>
  <c r="N113" i="14"/>
  <c r="N108" i="14"/>
  <c r="Z28" i="11"/>
  <c r="BE28" i="11" s="1"/>
  <c r="U28" i="11"/>
  <c r="AZ28" i="11" s="1"/>
  <c r="T28" i="11"/>
  <c r="U21" i="11"/>
  <c r="AZ21" i="11" s="1"/>
  <c r="Z21" i="11"/>
  <c r="BE21" i="11" s="1"/>
  <c r="V21" i="11"/>
  <c r="BA21" i="11" s="1"/>
  <c r="R15" i="11"/>
  <c r="AW15" i="11" s="1"/>
  <c r="S15" i="11"/>
  <c r="AX15" i="11" s="1"/>
  <c r="W15" i="11"/>
  <c r="BB15" i="11" s="1"/>
  <c r="Z23" i="11"/>
  <c r="BE23" i="11" s="1"/>
  <c r="Y23" i="11"/>
  <c r="BD23" i="11" s="1"/>
  <c r="N112" i="14"/>
  <c r="W22" i="11"/>
  <c r="BB22" i="11" s="1"/>
  <c r="Z22" i="11"/>
  <c r="BE22" i="11" s="1"/>
  <c r="Q12" i="11"/>
  <c r="AV12" i="11" s="1"/>
  <c r="V12" i="11"/>
  <c r="BA12" i="11" s="1"/>
  <c r="Z12" i="11"/>
  <c r="BE12" i="11" s="1"/>
  <c r="X29" i="11"/>
  <c r="BC29" i="11" s="1"/>
  <c r="AA29" i="11"/>
  <c r="BF29" i="11" s="1"/>
  <c r="X9" i="11"/>
  <c r="BC9" i="11" s="1"/>
  <c r="Z9" i="11"/>
  <c r="BE9" i="11" s="1"/>
  <c r="Q9" i="11"/>
  <c r="AV9" i="11" s="1"/>
  <c r="V24" i="11"/>
  <c r="BA24" i="11" s="1"/>
  <c r="Q24" i="11"/>
  <c r="AV24" i="11" s="1"/>
  <c r="T24" i="11"/>
  <c r="AA18" i="11"/>
  <c r="BF18" i="11" s="1"/>
  <c r="U18" i="11"/>
  <c r="AZ18" i="11" s="1"/>
  <c r="Z18" i="11"/>
  <c r="BE18" i="11" s="1"/>
  <c r="Z19" i="11"/>
  <c r="BE19" i="11" s="1"/>
  <c r="U19" i="11"/>
  <c r="AZ19" i="11" s="1"/>
  <c r="Y16" i="11"/>
  <c r="BD16" i="11" s="1"/>
  <c r="X16" i="11"/>
  <c r="BC16" i="11" s="1"/>
  <c r="AA16" i="11"/>
  <c r="BF16" i="11" s="1"/>
  <c r="V20" i="11"/>
  <c r="BA20" i="11" s="1"/>
  <c r="Q20" i="11"/>
  <c r="AV20" i="11" s="1"/>
  <c r="W20" i="11"/>
  <c r="BB20" i="11" s="1"/>
  <c r="AA13" i="11"/>
  <c r="BF13" i="11" s="1"/>
  <c r="U13" i="11"/>
  <c r="AZ13" i="11" s="1"/>
  <c r="Y13" i="11"/>
  <c r="BD13" i="11" s="1"/>
  <c r="X25" i="11"/>
  <c r="BC25" i="11" s="1"/>
  <c r="AA25" i="11"/>
  <c r="BF25" i="11" s="1"/>
  <c r="AA14" i="11"/>
  <c r="BF14" i="11" s="1"/>
  <c r="Z14" i="11"/>
  <c r="BE14" i="11" s="1"/>
  <c r="Q14" i="11"/>
  <c r="AV14" i="11" s="1"/>
  <c r="T30" i="11"/>
  <c r="Y30" i="11"/>
  <c r="BD30" i="11" s="1"/>
  <c r="V30" i="11"/>
  <c r="BA30" i="11" s="1"/>
  <c r="R11" i="11"/>
  <c r="AW11" i="11" s="1"/>
  <c r="W11" i="11"/>
  <c r="BB11" i="11" s="1"/>
  <c r="T11" i="11"/>
  <c r="Z8" i="11"/>
  <c r="BE8" i="11" s="1"/>
  <c r="R8" i="11"/>
  <c r="AW8" i="11" s="1"/>
  <c r="Y17" i="11"/>
  <c r="BD17" i="11" s="1"/>
  <c r="T17" i="11"/>
  <c r="AA17" i="11"/>
  <c r="BF17" i="11" s="1"/>
  <c r="W10" i="11"/>
  <c r="BB10" i="11" s="1"/>
  <c r="X10" i="11"/>
  <c r="BC10" i="11" s="1"/>
  <c r="V10" i="11"/>
  <c r="BA10" i="11" s="1"/>
  <c r="AA26" i="11"/>
  <c r="BF26" i="11" s="1"/>
  <c r="V26" i="11"/>
  <c r="BA26" i="11" s="1"/>
  <c r="R26" i="11"/>
  <c r="AW26" i="11" s="1"/>
  <c r="Z27" i="11"/>
  <c r="BE27" i="11" s="1"/>
  <c r="U27" i="11"/>
  <c r="AZ27" i="11" s="1"/>
  <c r="Y12" i="11"/>
  <c r="BD12" i="11" s="1"/>
  <c r="T12" i="11"/>
  <c r="Z29" i="11"/>
  <c r="BE29" i="11" s="1"/>
  <c r="Y9" i="11"/>
  <c r="BD9" i="11" s="1"/>
  <c r="V9" i="11"/>
  <c r="BA9" i="11" s="1"/>
  <c r="X24" i="11"/>
  <c r="BC24" i="11" s="1"/>
  <c r="S18" i="11"/>
  <c r="AX18" i="11" s="1"/>
  <c r="R19" i="11"/>
  <c r="AW19" i="11" s="1"/>
  <c r="Q13" i="11"/>
  <c r="AV13" i="11" s="1"/>
  <c r="V25" i="11"/>
  <c r="BA25" i="11" s="1"/>
  <c r="X14" i="11"/>
  <c r="BC14" i="11" s="1"/>
  <c r="Z30" i="11"/>
  <c r="BE30" i="11" s="1"/>
  <c r="X11" i="11"/>
  <c r="BC11" i="11" s="1"/>
  <c r="V8" i="11"/>
  <c r="BA8" i="11" s="1"/>
  <c r="W17" i="11"/>
  <c r="BB17" i="11" s="1"/>
  <c r="Q10" i="11"/>
  <c r="AV10" i="11" s="1"/>
  <c r="W27" i="11"/>
  <c r="BB27" i="11" s="1"/>
  <c r="C37" i="11"/>
  <c r="C45" i="11" s="1"/>
  <c r="C37" i="10"/>
  <c r="C45" i="10" s="1"/>
  <c r="L49" i="10"/>
  <c r="N116" i="14"/>
  <c r="V28" i="11"/>
  <c r="BA28" i="11" s="1"/>
  <c r="Q28" i="11"/>
  <c r="AV28" i="11" s="1"/>
  <c r="X28" i="11"/>
  <c r="BC28" i="11" s="1"/>
  <c r="Q21" i="11"/>
  <c r="AV21" i="11" s="1"/>
  <c r="R21" i="11"/>
  <c r="AW21" i="11" s="1"/>
  <c r="W21" i="11"/>
  <c r="BB21" i="11" s="1"/>
  <c r="Y15" i="11"/>
  <c r="BD15" i="11" s="1"/>
  <c r="AA15" i="11"/>
  <c r="BF15" i="11" s="1"/>
  <c r="AA23" i="11"/>
  <c r="BF23" i="11" s="1"/>
  <c r="V23" i="11"/>
  <c r="BA23" i="11" s="1"/>
  <c r="Q23" i="11"/>
  <c r="AV23" i="11" s="1"/>
  <c r="X22" i="11"/>
  <c r="BC22" i="11" s="1"/>
  <c r="S22" i="11"/>
  <c r="AX22" i="11" s="1"/>
  <c r="R22" i="11"/>
  <c r="AW22" i="11" s="1"/>
  <c r="N107" i="14"/>
  <c r="AA12" i="11"/>
  <c r="BF12" i="11" s="1"/>
  <c r="X12" i="11"/>
  <c r="BC12" i="11" s="1"/>
  <c r="Y29" i="11"/>
  <c r="BD29" i="11" s="1"/>
  <c r="T29" i="11"/>
  <c r="S29" i="11"/>
  <c r="AX29" i="11" s="1"/>
  <c r="T9" i="11"/>
  <c r="U9" i="11"/>
  <c r="AZ9" i="11" s="1"/>
  <c r="W9" i="11"/>
  <c r="BB9" i="11" s="1"/>
  <c r="R24" i="11"/>
  <c r="AW24" i="11" s="1"/>
  <c r="W24" i="11"/>
  <c r="BB24" i="11" s="1"/>
  <c r="S24" i="11"/>
  <c r="AX24" i="11" s="1"/>
  <c r="W18" i="11"/>
  <c r="BB18" i="11" s="1"/>
  <c r="R18" i="11"/>
  <c r="AW18" i="11" s="1"/>
  <c r="AA19" i="11"/>
  <c r="BF19" i="11" s="1"/>
  <c r="V19" i="11"/>
  <c r="BA19" i="11" s="1"/>
  <c r="Q19" i="11"/>
  <c r="AV19" i="11" s="1"/>
  <c r="U16" i="11"/>
  <c r="AZ16" i="11" s="1"/>
  <c r="S16" i="11"/>
  <c r="AX16" i="11" s="1"/>
  <c r="Z16" i="11"/>
  <c r="BE16" i="11" s="1"/>
  <c r="R20" i="11"/>
  <c r="AW20" i="11" s="1"/>
  <c r="AA20" i="11"/>
  <c r="BF20" i="11" s="1"/>
  <c r="X20" i="11"/>
  <c r="BC20" i="11" s="1"/>
  <c r="V13" i="11"/>
  <c r="BA13" i="11" s="1"/>
  <c r="R13" i="11"/>
  <c r="AW13" i="11" s="1"/>
  <c r="Y25" i="11"/>
  <c r="BD25" i="11" s="1"/>
  <c r="T25" i="11"/>
  <c r="Z25" i="11"/>
  <c r="BE25" i="11" s="1"/>
  <c r="W14" i="11"/>
  <c r="BB14" i="11" s="1"/>
  <c r="U14" i="11"/>
  <c r="AZ14" i="11" s="1"/>
  <c r="V14" i="11"/>
  <c r="BA14" i="11" s="1"/>
  <c r="AA30" i="11"/>
  <c r="BF30" i="11" s="1"/>
  <c r="Q30" i="11"/>
  <c r="AV30" i="11" s="1"/>
  <c r="U30" i="11"/>
  <c r="AZ30" i="11" s="1"/>
  <c r="Q11" i="11"/>
  <c r="AV11" i="11" s="1"/>
  <c r="AA11" i="11"/>
  <c r="BF11" i="11" s="1"/>
  <c r="Y8" i="11"/>
  <c r="BD8" i="11" s="1"/>
  <c r="AA8" i="11"/>
  <c r="BF8" i="11" s="1"/>
  <c r="X8" i="11"/>
  <c r="BC8" i="11" s="1"/>
  <c r="U17" i="11"/>
  <c r="AZ17" i="11" s="1"/>
  <c r="V17" i="11"/>
  <c r="BA17" i="11" s="1"/>
  <c r="Z17" i="11"/>
  <c r="BE17" i="11" s="1"/>
  <c r="S10" i="11"/>
  <c r="AX10" i="11" s="1"/>
  <c r="R10" i="11"/>
  <c r="AW10" i="11" s="1"/>
  <c r="U10" i="11"/>
  <c r="AZ10" i="11" s="1"/>
  <c r="W26" i="11"/>
  <c r="BB26" i="11" s="1"/>
  <c r="Z26" i="11"/>
  <c r="BE26" i="11" s="1"/>
  <c r="AA27" i="11"/>
  <c r="BF27" i="11" s="1"/>
  <c r="V27" i="11"/>
  <c r="BA27" i="11" s="1"/>
  <c r="Y27" i="11"/>
  <c r="BD27" i="11" s="1"/>
  <c r="AA28" i="11"/>
  <c r="BF28" i="11" s="1"/>
  <c r="X21" i="11"/>
  <c r="BC21" i="11" s="1"/>
  <c r="Z15" i="11"/>
  <c r="BE15" i="11" s="1"/>
  <c r="T15" i="11"/>
  <c r="W23" i="11"/>
  <c r="BB23" i="11" s="1"/>
  <c r="U23" i="11"/>
  <c r="AZ23" i="11" s="1"/>
  <c r="N114" i="14"/>
  <c r="T22" i="11"/>
  <c r="V22" i="11"/>
  <c r="BA22" i="11" s="1"/>
  <c r="W12" i="11"/>
  <c r="BB12" i="11" s="1"/>
  <c r="U29" i="11"/>
  <c r="AZ29" i="11" s="1"/>
  <c r="W29" i="11"/>
  <c r="BB29" i="11" s="1"/>
  <c r="R9" i="11"/>
  <c r="AW9" i="11" s="1"/>
  <c r="Y24" i="11"/>
  <c r="BD24" i="11" s="1"/>
  <c r="X18" i="11"/>
  <c r="BC18" i="11" s="1"/>
  <c r="Q18" i="11"/>
  <c r="AV18" i="11" s="1"/>
  <c r="X19" i="11"/>
  <c r="BC19" i="11" s="1"/>
  <c r="W16" i="11"/>
  <c r="BB16" i="11" s="1"/>
  <c r="Y20" i="11"/>
  <c r="BD20" i="11" s="1"/>
  <c r="X13" i="11"/>
  <c r="BC13" i="11" s="1"/>
  <c r="U25" i="11"/>
  <c r="AZ25" i="11" s="1"/>
  <c r="S14" i="11"/>
  <c r="AX14" i="11" s="1"/>
  <c r="W30" i="11"/>
  <c r="BB30" i="11" s="1"/>
  <c r="Y11" i="11"/>
  <c r="BD11" i="11" s="1"/>
  <c r="Q17" i="11"/>
  <c r="AV17" i="11" s="1"/>
  <c r="Y10" i="11"/>
  <c r="BD10" i="11" s="1"/>
  <c r="S26" i="11"/>
  <c r="AX26" i="11" s="1"/>
  <c r="R27" i="11"/>
  <c r="AW27" i="11" s="1"/>
  <c r="AY14" i="11"/>
  <c r="AY21" i="11"/>
  <c r="AY23" i="11"/>
  <c r="AY18" i="11"/>
  <c r="AY19" i="11"/>
  <c r="AY16" i="11"/>
  <c r="AY20" i="11"/>
  <c r="AY13" i="11"/>
  <c r="AY8" i="11"/>
  <c r="AY10" i="11"/>
  <c r="AY26" i="11"/>
  <c r="AY27" i="11"/>
  <c r="AY28" i="11"/>
  <c r="AY24" i="11"/>
  <c r="AY30" i="11"/>
  <c r="AY11" i="11"/>
  <c r="AY17" i="11"/>
  <c r="AY12" i="11"/>
  <c r="AY29" i="11"/>
  <c r="AY9" i="11"/>
  <c r="AY25" i="11"/>
  <c r="AY15" i="11"/>
  <c r="AY22" i="11"/>
  <c r="AU22" i="11" l="1"/>
  <c r="O114" i="14"/>
  <c r="AU15" i="11"/>
  <c r="O57" i="11"/>
  <c r="AU25" i="11"/>
  <c r="O55" i="11"/>
  <c r="O54" i="11"/>
  <c r="O56" i="11"/>
  <c r="AU9" i="11"/>
  <c r="AU29" i="11"/>
  <c r="O107" i="14"/>
  <c r="O116" i="14"/>
  <c r="C60" i="10"/>
  <c r="C60" i="11"/>
  <c r="AU12" i="11"/>
  <c r="AU17" i="11"/>
  <c r="AU11" i="11"/>
  <c r="AU30" i="11"/>
  <c r="AU24" i="11"/>
  <c r="O53" i="11"/>
  <c r="O112" i="14"/>
  <c r="AU28" i="11"/>
  <c r="O108" i="14"/>
  <c r="O113" i="14"/>
  <c r="AU27" i="11"/>
  <c r="AU26" i="11"/>
  <c r="AU10" i="11"/>
  <c r="AU8" i="11"/>
  <c r="AU13" i="11"/>
  <c r="AU20" i="11"/>
  <c r="AU16" i="11"/>
  <c r="AU19" i="11"/>
  <c r="AU18" i="11"/>
  <c r="O106" i="14"/>
  <c r="AU23" i="11"/>
  <c r="AU21" i="11"/>
  <c r="O105" i="14"/>
  <c r="AU14" i="11"/>
  <c r="M122" i="14"/>
  <c r="M124" i="14"/>
  <c r="E7" i="4"/>
  <c r="E8" i="4" s="1"/>
  <c r="M120" i="14"/>
  <c r="M121" i="14"/>
  <c r="Q11" i="9"/>
  <c r="U11" i="9"/>
  <c r="N11" i="9"/>
  <c r="R11" i="9"/>
  <c r="V11" i="9"/>
  <c r="T11" i="9"/>
  <c r="O11" i="9"/>
  <c r="W11" i="9"/>
  <c r="S11" i="9"/>
  <c r="X11" i="9"/>
  <c r="P11" i="9"/>
  <c r="X33" i="12"/>
  <c r="T33" i="12"/>
  <c r="Z33" i="12"/>
  <c r="V33" i="12"/>
  <c r="R33" i="12"/>
  <c r="W33" i="12"/>
  <c r="Y33" i="12"/>
  <c r="Q33" i="12"/>
  <c r="U33" i="12"/>
  <c r="AA33" i="12"/>
  <c r="S33" i="12"/>
  <c r="H1" i="16"/>
  <c r="L1" i="16"/>
  <c r="P1" i="16"/>
  <c r="G1" i="16"/>
  <c r="K1" i="16"/>
  <c r="O1" i="16"/>
  <c r="I1" i="16"/>
  <c r="Q1" i="16"/>
  <c r="E1" i="16"/>
  <c r="M1" i="16"/>
  <c r="N1" i="16"/>
  <c r="J1" i="16"/>
  <c r="F1" i="16"/>
  <c r="D3" i="16"/>
  <c r="D7" i="16"/>
  <c r="D11" i="16"/>
  <c r="D15" i="16"/>
  <c r="D19" i="16"/>
  <c r="D2" i="16"/>
  <c r="D6" i="16"/>
  <c r="D10" i="16"/>
  <c r="D14" i="16"/>
  <c r="D18" i="16"/>
  <c r="D22" i="16"/>
  <c r="D4" i="16"/>
  <c r="D12" i="16"/>
  <c r="D20" i="16"/>
  <c r="D8" i="16"/>
  <c r="D16" i="16"/>
  <c r="D17" i="16"/>
  <c r="D5" i="16"/>
  <c r="D9" i="16"/>
  <c r="D13" i="16"/>
  <c r="D21" i="16"/>
  <c r="A5" i="17" a="1"/>
  <c r="E74" i="10"/>
  <c r="E73" i="10"/>
  <c r="E72" i="10"/>
  <c r="E71" i="10"/>
  <c r="E75" i="10"/>
  <c r="C93" i="10" s="1"/>
  <c r="U11" i="10"/>
  <c r="AZ11" i="10" s="1"/>
  <c r="R11" i="10"/>
  <c r="AW11" i="10" s="1"/>
  <c r="S11" i="10"/>
  <c r="AX11" i="10" s="1"/>
  <c r="X16" i="10"/>
  <c r="BC16" i="10" s="1"/>
  <c r="Q16" i="10"/>
  <c r="AV16" i="10" s="1"/>
  <c r="V16" i="10"/>
  <c r="BA16" i="10" s="1"/>
  <c r="T20" i="10"/>
  <c r="W20" i="10"/>
  <c r="BB20" i="10" s="1"/>
  <c r="R20" i="10"/>
  <c r="AW20" i="10" s="1"/>
  <c r="R18" i="10"/>
  <c r="AW18" i="10" s="1"/>
  <c r="Y18" i="10"/>
  <c r="BD18" i="10" s="1"/>
  <c r="X18" i="10"/>
  <c r="BC18" i="10" s="1"/>
  <c r="X9" i="10"/>
  <c r="BC9" i="10" s="1"/>
  <c r="V9" i="10"/>
  <c r="BA9" i="10" s="1"/>
  <c r="AA25" i="10"/>
  <c r="BF25" i="10" s="1"/>
  <c r="T25" i="10"/>
  <c r="U25" i="10"/>
  <c r="AZ25" i="10" s="1"/>
  <c r="N120" i="14"/>
  <c r="Q27" i="10"/>
  <c r="AV27" i="10" s="1"/>
  <c r="X27" i="10"/>
  <c r="BC27" i="10" s="1"/>
  <c r="W27" i="10"/>
  <c r="BB27" i="10" s="1"/>
  <c r="Z15" i="10"/>
  <c r="BE15" i="10" s="1"/>
  <c r="X15" i="10"/>
  <c r="BC15" i="10" s="1"/>
  <c r="X28" i="10"/>
  <c r="BC28" i="10" s="1"/>
  <c r="Q28" i="10"/>
  <c r="AV28" i="10" s="1"/>
  <c r="Z28" i="10"/>
  <c r="BE28" i="10" s="1"/>
  <c r="V22" i="10"/>
  <c r="BA22" i="10" s="1"/>
  <c r="S22" i="10"/>
  <c r="AX22" i="10" s="1"/>
  <c r="X22" i="10"/>
  <c r="BC22" i="10" s="1"/>
  <c r="S13" i="10"/>
  <c r="AX13" i="10" s="1"/>
  <c r="Z13" i="10"/>
  <c r="BE13" i="10" s="1"/>
  <c r="U13" i="10"/>
  <c r="AZ13" i="10" s="1"/>
  <c r="X29" i="10"/>
  <c r="BC29" i="10" s="1"/>
  <c r="R29" i="10"/>
  <c r="AW29" i="10" s="1"/>
  <c r="Q19" i="10"/>
  <c r="AV19" i="10" s="1"/>
  <c r="X19" i="10"/>
  <c r="BC19" i="10" s="1"/>
  <c r="W19" i="10"/>
  <c r="BB19" i="10" s="1"/>
  <c r="Z23" i="10"/>
  <c r="BE23" i="10" s="1"/>
  <c r="X23" i="10"/>
  <c r="BC23" i="10" s="1"/>
  <c r="X24" i="10"/>
  <c r="BC24" i="10" s="1"/>
  <c r="Q24" i="10"/>
  <c r="AV24" i="10" s="1"/>
  <c r="V24" i="10"/>
  <c r="BA24" i="10" s="1"/>
  <c r="V10" i="10"/>
  <c r="BA10" i="10" s="1"/>
  <c r="S10" i="10"/>
  <c r="AX10" i="10" s="1"/>
  <c r="T10" i="10"/>
  <c r="R26" i="10"/>
  <c r="AW26" i="10" s="1"/>
  <c r="Y26" i="10"/>
  <c r="BD26" i="10" s="1"/>
  <c r="X26" i="10"/>
  <c r="BC26" i="10" s="1"/>
  <c r="X17" i="10"/>
  <c r="BC17" i="10" s="1"/>
  <c r="V17" i="10"/>
  <c r="BA17" i="10" s="1"/>
  <c r="U8" i="10"/>
  <c r="AZ8" i="10" s="1"/>
  <c r="W8" i="10"/>
  <c r="BB8" i="10" s="1"/>
  <c r="X12" i="10"/>
  <c r="BC12" i="10" s="1"/>
  <c r="Q12" i="10"/>
  <c r="AV12" i="10" s="1"/>
  <c r="Z12" i="10"/>
  <c r="BE12" i="10" s="1"/>
  <c r="V14" i="10"/>
  <c r="BA14" i="10" s="1"/>
  <c r="S14" i="10"/>
  <c r="AX14" i="10" s="1"/>
  <c r="X14" i="10"/>
  <c r="BC14" i="10" s="1"/>
  <c r="R30" i="10"/>
  <c r="AW30" i="10" s="1"/>
  <c r="U30" i="10"/>
  <c r="AZ30" i="10" s="1"/>
  <c r="T30" i="10"/>
  <c r="X21" i="10"/>
  <c r="BC21" i="10" s="1"/>
  <c r="R21" i="10"/>
  <c r="AW21" i="10" s="1"/>
  <c r="AA17" i="10"/>
  <c r="BF17" i="10" s="1"/>
  <c r="U17" i="10"/>
  <c r="AZ17" i="10" s="1"/>
  <c r="Q8" i="10"/>
  <c r="AV8" i="10" s="1"/>
  <c r="V8" i="10"/>
  <c r="BA8" i="10" s="1"/>
  <c r="W12" i="10"/>
  <c r="BB12" i="10" s="1"/>
  <c r="R12" i="10"/>
  <c r="AW12" i="10" s="1"/>
  <c r="U14" i="10"/>
  <c r="AZ14" i="10" s="1"/>
  <c r="AA30" i="10"/>
  <c r="BF30" i="10" s="1"/>
  <c r="Y30" i="10"/>
  <c r="BD30" i="10" s="1"/>
  <c r="T21" i="10"/>
  <c r="Y21" i="10"/>
  <c r="BD21" i="10" s="1"/>
  <c r="V12" i="10"/>
  <c r="BA12" i="10" s="1"/>
  <c r="Z30" i="10"/>
  <c r="BE30" i="10" s="1"/>
  <c r="W21" i="10"/>
  <c r="BB21" i="10" s="1"/>
  <c r="V21" i="10"/>
  <c r="BA21" i="10" s="1"/>
  <c r="Y11" i="10"/>
  <c r="BD11" i="10" s="1"/>
  <c r="AA11" i="10"/>
  <c r="BF11" i="10" s="1"/>
  <c r="W16" i="10"/>
  <c r="BB16" i="10" s="1"/>
  <c r="Q20" i="10"/>
  <c r="AV20" i="10" s="1"/>
  <c r="V18" i="10"/>
  <c r="BA18" i="10" s="1"/>
  <c r="S18" i="10"/>
  <c r="AX18" i="10" s="1"/>
  <c r="S9" i="10"/>
  <c r="AX9" i="10" s="1"/>
  <c r="Y9" i="10"/>
  <c r="BD9" i="10" s="1"/>
  <c r="X25" i="10"/>
  <c r="BC25" i="10" s="1"/>
  <c r="R27" i="10"/>
  <c r="AW27" i="10" s="1"/>
  <c r="S27" i="10"/>
  <c r="AX27" i="10" s="1"/>
  <c r="T15" i="10"/>
  <c r="AA15" i="10"/>
  <c r="BF15" i="10" s="1"/>
  <c r="S28" i="10"/>
  <c r="AX28" i="10" s="1"/>
  <c r="Z22" i="10"/>
  <c r="BE22" i="10" s="1"/>
  <c r="Q22" i="10"/>
  <c r="AV22" i="10" s="1"/>
  <c r="V13" i="10"/>
  <c r="BA13" i="10" s="1"/>
  <c r="Q13" i="10"/>
  <c r="AV13" i="10" s="1"/>
  <c r="Z29" i="10"/>
  <c r="BE29" i="10" s="1"/>
  <c r="U29" i="10"/>
  <c r="AZ29" i="10" s="1"/>
  <c r="U19" i="10"/>
  <c r="AZ19" i="10" s="1"/>
  <c r="S19" i="10"/>
  <c r="AX19" i="10" s="1"/>
  <c r="Q23" i="10"/>
  <c r="AV23" i="10" s="1"/>
  <c r="AA23" i="10"/>
  <c r="BF23" i="10" s="1"/>
  <c r="W24" i="10"/>
  <c r="BB24" i="10" s="1"/>
  <c r="Z10" i="10"/>
  <c r="BE10" i="10" s="1"/>
  <c r="U10" i="10"/>
  <c r="AZ10" i="10" s="1"/>
  <c r="V26" i="10"/>
  <c r="BA26" i="10" s="1"/>
  <c r="T26" i="10"/>
  <c r="R17" i="10"/>
  <c r="AW17" i="10" s="1"/>
  <c r="Y17" i="10"/>
  <c r="BD17" i="10" s="1"/>
  <c r="Y8" i="10"/>
  <c r="BD8" i="10" s="1"/>
  <c r="Z8" i="10"/>
  <c r="BE8" i="10" s="1"/>
  <c r="S12" i="10"/>
  <c r="AX12" i="10" s="1"/>
  <c r="Z14" i="10"/>
  <c r="BE14" i="10" s="1"/>
  <c r="Q14" i="10"/>
  <c r="AV14" i="10" s="1"/>
  <c r="S30" i="10"/>
  <c r="AX30" i="10" s="1"/>
  <c r="X30" i="10"/>
  <c r="BC30" i="10" s="1"/>
  <c r="Z21" i="10"/>
  <c r="BE21" i="10" s="1"/>
  <c r="E74" i="11"/>
  <c r="E72" i="11"/>
  <c r="C67" i="11"/>
  <c r="E71" i="11"/>
  <c r="E73" i="11"/>
  <c r="E75" i="11"/>
  <c r="C93" i="11" s="1"/>
  <c r="Q11" i="10"/>
  <c r="AV11" i="10" s="1"/>
  <c r="X11" i="10"/>
  <c r="BC11" i="10" s="1"/>
  <c r="W11" i="10"/>
  <c r="BB11" i="10" s="1"/>
  <c r="T16" i="10"/>
  <c r="AA16" i="10"/>
  <c r="BF16" i="10" s="1"/>
  <c r="R16" i="10"/>
  <c r="AW16" i="10" s="1"/>
  <c r="Y20" i="10"/>
  <c r="BD20" i="10" s="1"/>
  <c r="AA20" i="10"/>
  <c r="BF20" i="10" s="1"/>
  <c r="V20" i="10"/>
  <c r="BA20" i="10" s="1"/>
  <c r="AA18" i="10"/>
  <c r="BF18" i="10" s="1"/>
  <c r="Q18" i="10"/>
  <c r="AV18" i="10" s="1"/>
  <c r="AA9" i="10"/>
  <c r="BF9" i="10" s="1"/>
  <c r="T9" i="10"/>
  <c r="U9" i="10"/>
  <c r="AZ9" i="10" s="1"/>
  <c r="W25" i="10"/>
  <c r="BB25" i="10" s="1"/>
  <c r="Z25" i="10"/>
  <c r="BE25" i="10" s="1"/>
  <c r="Q25" i="10"/>
  <c r="AV25" i="10" s="1"/>
  <c r="N121" i="14"/>
  <c r="Z27" i="10"/>
  <c r="BE27" i="10" s="1"/>
  <c r="T27" i="10"/>
  <c r="Y15" i="10"/>
  <c r="BD15" i="10" s="1"/>
  <c r="V15" i="10"/>
  <c r="BA15" i="10" s="1"/>
  <c r="W15" i="10"/>
  <c r="BB15" i="10" s="1"/>
  <c r="T28" i="10"/>
  <c r="W28" i="10"/>
  <c r="BB28" i="10" s="1"/>
  <c r="R28" i="10"/>
  <c r="AW28" i="10" s="1"/>
  <c r="R22" i="10"/>
  <c r="AW22" i="10" s="1"/>
  <c r="U22" i="10"/>
  <c r="AZ22" i="10" s="1"/>
  <c r="T22" i="10"/>
  <c r="X13" i="10"/>
  <c r="BC13" i="10" s="1"/>
  <c r="R13" i="10"/>
  <c r="AW13" i="10" s="1"/>
  <c r="AA29" i="10"/>
  <c r="BF29" i="10" s="1"/>
  <c r="T29" i="10"/>
  <c r="Y29" i="10"/>
  <c r="BD29" i="10" s="1"/>
  <c r="Z19" i="10"/>
  <c r="BE19" i="10" s="1"/>
  <c r="T19" i="10"/>
  <c r="Y23" i="10"/>
  <c r="BD23" i="10" s="1"/>
  <c r="V23" i="10"/>
  <c r="BA23" i="10" s="1"/>
  <c r="W23" i="10"/>
  <c r="BB23" i="10" s="1"/>
  <c r="T24" i="10"/>
  <c r="AA24" i="10"/>
  <c r="BF24" i="10" s="1"/>
  <c r="Z24" i="10"/>
  <c r="BE24" i="10" s="1"/>
  <c r="R10" i="10"/>
  <c r="AW10" i="10" s="1"/>
  <c r="Y10" i="10"/>
  <c r="BD10" i="10" s="1"/>
  <c r="X10" i="10"/>
  <c r="BC10" i="10" s="1"/>
  <c r="AA26" i="10"/>
  <c r="BF26" i="10" s="1"/>
  <c r="Q26" i="10"/>
  <c r="AV26" i="10" s="1"/>
  <c r="T17" i="10"/>
  <c r="X8" i="10"/>
  <c r="BC8" i="10" s="1"/>
  <c r="T12" i="10"/>
  <c r="R14" i="10"/>
  <c r="AW14" i="10" s="1"/>
  <c r="T14" i="10"/>
  <c r="AA21" i="10"/>
  <c r="BF21" i="10" s="1"/>
  <c r="Y14" i="10"/>
  <c r="BD14" i="10" s="1"/>
  <c r="Q30" i="10"/>
  <c r="AV30" i="10" s="1"/>
  <c r="N122" i="14"/>
  <c r="Z11" i="10"/>
  <c r="BE11" i="10" s="1"/>
  <c r="T11" i="10"/>
  <c r="N124" i="14"/>
  <c r="Y16" i="10"/>
  <c r="BD16" i="10" s="1"/>
  <c r="S16" i="10"/>
  <c r="AX16" i="10" s="1"/>
  <c r="Z16" i="10"/>
  <c r="BE16" i="10" s="1"/>
  <c r="U20" i="10"/>
  <c r="AZ20" i="10" s="1"/>
  <c r="S20" i="10"/>
  <c r="AX20" i="10" s="1"/>
  <c r="Z18" i="10"/>
  <c r="BE18" i="10" s="1"/>
  <c r="W18" i="10"/>
  <c r="BB18" i="10" s="1"/>
  <c r="U18" i="10"/>
  <c r="AZ18" i="10" s="1"/>
  <c r="W9" i="10"/>
  <c r="BB9" i="10" s="1"/>
  <c r="Z9" i="10"/>
  <c r="BE9" i="10" s="1"/>
  <c r="Q9" i="10"/>
  <c r="AV9" i="10" s="1"/>
  <c r="S25" i="10"/>
  <c r="AX25" i="10" s="1"/>
  <c r="R25" i="10"/>
  <c r="AW25" i="10" s="1"/>
  <c r="Y25" i="10"/>
  <c r="BD25" i="10" s="1"/>
  <c r="Y27" i="10"/>
  <c r="BD27" i="10" s="1"/>
  <c r="V27" i="10"/>
  <c r="BA27" i="10" s="1"/>
  <c r="AA27" i="10"/>
  <c r="BF27" i="10" s="1"/>
  <c r="U15" i="10"/>
  <c r="AZ15" i="10" s="1"/>
  <c r="R15" i="10"/>
  <c r="AW15" i="10" s="1"/>
  <c r="S15" i="10"/>
  <c r="AX15" i="10" s="1"/>
  <c r="Y28" i="10"/>
  <c r="BD28" i="10" s="1"/>
  <c r="AA28" i="10"/>
  <c r="BF28" i="10" s="1"/>
  <c r="V28" i="10"/>
  <c r="BA28" i="10" s="1"/>
  <c r="AA22" i="10"/>
  <c r="BF22" i="10" s="1"/>
  <c r="Y22" i="10"/>
  <c r="BD22" i="10" s="1"/>
  <c r="AA13" i="10"/>
  <c r="BF13" i="10" s="1"/>
  <c r="T13" i="10"/>
  <c r="Y13" i="10"/>
  <c r="BD13" i="10" s="1"/>
  <c r="W29" i="10"/>
  <c r="BB29" i="10" s="1"/>
  <c r="V29" i="10"/>
  <c r="BA29" i="10" s="1"/>
  <c r="Q29" i="10"/>
  <c r="AV29" i="10" s="1"/>
  <c r="Y19" i="10"/>
  <c r="BD19" i="10" s="1"/>
  <c r="V19" i="10"/>
  <c r="BA19" i="10" s="1"/>
  <c r="AA19" i="10"/>
  <c r="BF19" i="10" s="1"/>
  <c r="U23" i="10"/>
  <c r="AZ23" i="10" s="1"/>
  <c r="R23" i="10"/>
  <c r="AW23" i="10" s="1"/>
  <c r="S23" i="10"/>
  <c r="AX23" i="10" s="1"/>
  <c r="Y24" i="10"/>
  <c r="BD24" i="10" s="1"/>
  <c r="S24" i="10"/>
  <c r="AX24" i="10" s="1"/>
  <c r="R24" i="10"/>
  <c r="AW24" i="10" s="1"/>
  <c r="AA10" i="10"/>
  <c r="BF10" i="10" s="1"/>
  <c r="Q10" i="10"/>
  <c r="AV10" i="10" s="1"/>
  <c r="Z26" i="10"/>
  <c r="BE26" i="10" s="1"/>
  <c r="W26" i="10"/>
  <c r="BB26" i="10" s="1"/>
  <c r="U26" i="10"/>
  <c r="AZ26" i="10" s="1"/>
  <c r="W17" i="10"/>
  <c r="BB17" i="10" s="1"/>
  <c r="Z17" i="10"/>
  <c r="BE17" i="10" s="1"/>
  <c r="Q17" i="10"/>
  <c r="AV17" i="10" s="1"/>
  <c r="T8" i="10"/>
  <c r="AA8" i="10"/>
  <c r="BF8" i="10" s="1"/>
  <c r="R8" i="10"/>
  <c r="AW8" i="10" s="1"/>
  <c r="Y12" i="10"/>
  <c r="BD12" i="10" s="1"/>
  <c r="AA12" i="10"/>
  <c r="BF12" i="10" s="1"/>
  <c r="AA14" i="10"/>
  <c r="BF14" i="10" s="1"/>
  <c r="W30" i="10"/>
  <c r="BB30" i="10" s="1"/>
  <c r="Q21" i="10"/>
  <c r="AV21" i="10" s="1"/>
  <c r="V11" i="10"/>
  <c r="BA11" i="10" s="1"/>
  <c r="U16" i="10"/>
  <c r="AZ16" i="10" s="1"/>
  <c r="X20" i="10"/>
  <c r="BC20" i="10" s="1"/>
  <c r="Z20" i="10"/>
  <c r="BE20" i="10" s="1"/>
  <c r="T18" i="10"/>
  <c r="R9" i="10"/>
  <c r="AW9" i="10" s="1"/>
  <c r="V25" i="10"/>
  <c r="BA25" i="10" s="1"/>
  <c r="U27" i="10"/>
  <c r="AZ27" i="10" s="1"/>
  <c r="Q15" i="10"/>
  <c r="AV15" i="10" s="1"/>
  <c r="U28" i="10"/>
  <c r="AZ28" i="10" s="1"/>
  <c r="W22" i="10"/>
  <c r="BB22" i="10" s="1"/>
  <c r="W13" i="10"/>
  <c r="BB13" i="10" s="1"/>
  <c r="S29" i="10"/>
  <c r="AX29" i="10" s="1"/>
  <c r="R19" i="10"/>
  <c r="AW19" i="10" s="1"/>
  <c r="T23" i="10"/>
  <c r="U24" i="10"/>
  <c r="AZ24" i="10" s="1"/>
  <c r="W10" i="10"/>
  <c r="BB10" i="10" s="1"/>
  <c r="S26" i="10"/>
  <c r="AX26" i="10" s="1"/>
  <c r="S17" i="10"/>
  <c r="AX17" i="10" s="1"/>
  <c r="S8" i="10"/>
  <c r="AX8" i="10" s="1"/>
  <c r="U12" i="10"/>
  <c r="AZ12" i="10" s="1"/>
  <c r="W14" i="10"/>
  <c r="BB14" i="10" s="1"/>
  <c r="V30" i="10"/>
  <c r="BA30" i="10" s="1"/>
  <c r="S21" i="10"/>
  <c r="AX21" i="10" s="1"/>
  <c r="U21" i="10"/>
  <c r="AZ21" i="10" s="1"/>
  <c r="AY20" i="10"/>
  <c r="AY25" i="10"/>
  <c r="AY10" i="10"/>
  <c r="AY30" i="10"/>
  <c r="AY21" i="10"/>
  <c r="AY15" i="10"/>
  <c r="AY26" i="10"/>
  <c r="AY16" i="10"/>
  <c r="AY9" i="10"/>
  <c r="AY27" i="10"/>
  <c r="AY28" i="10"/>
  <c r="AY22" i="10"/>
  <c r="AY29" i="10"/>
  <c r="AY19" i="10"/>
  <c r="AY24" i="10"/>
  <c r="AY17" i="10"/>
  <c r="AY12" i="10"/>
  <c r="AY14" i="10"/>
  <c r="AY11" i="10"/>
  <c r="AY13" i="10"/>
  <c r="AY8" i="10"/>
  <c r="AY18" i="10"/>
  <c r="AY23" i="10"/>
  <c r="AU23" i="10" l="1"/>
  <c r="O55" i="10"/>
  <c r="AU18" i="10"/>
  <c r="AU8" i="10"/>
  <c r="O54" i="10"/>
  <c r="AU13" i="10"/>
  <c r="O57" i="10"/>
  <c r="O124" i="14"/>
  <c r="AU11" i="10"/>
  <c r="O122" i="14"/>
  <c r="AU14" i="10"/>
  <c r="AU12" i="10"/>
  <c r="AU17" i="10"/>
  <c r="AU24" i="10"/>
  <c r="AU19" i="10"/>
  <c r="O56" i="10"/>
  <c r="AU29" i="10"/>
  <c r="AU22" i="10"/>
  <c r="AU28" i="10"/>
  <c r="AU27" i="10"/>
  <c r="O121" i="14"/>
  <c r="AU9" i="10"/>
  <c r="AU16" i="10"/>
  <c r="C86" i="11"/>
  <c r="D14" i="14"/>
  <c r="F12" i="14"/>
  <c r="AU26" i="10"/>
  <c r="AU15" i="10"/>
  <c r="O53" i="10"/>
  <c r="AU21" i="10"/>
  <c r="AU30" i="10"/>
  <c r="AU10" i="10"/>
  <c r="O120" i="14"/>
  <c r="AU25" i="10"/>
  <c r="AU20" i="10"/>
  <c r="C16" i="9"/>
  <c r="F13" i="9"/>
  <c r="C13" i="14"/>
  <c r="E11" i="14"/>
  <c r="AA27" i="12"/>
  <c r="AA23" i="12"/>
  <c r="AA19" i="12"/>
  <c r="Z44" i="14" s="1"/>
  <c r="AA15" i="12"/>
  <c r="AA11" i="12"/>
  <c r="AA34" i="12"/>
  <c r="AA29" i="12"/>
  <c r="AA25" i="12"/>
  <c r="AA21" i="12"/>
  <c r="AA17" i="12"/>
  <c r="Z42" i="14" s="1"/>
  <c r="AA13" i="12"/>
  <c r="AA9" i="12"/>
  <c r="AA24" i="12"/>
  <c r="AA16" i="12"/>
  <c r="AA26" i="12"/>
  <c r="AA20" i="12"/>
  <c r="AA10" i="12"/>
  <c r="AA30" i="12"/>
  <c r="AA14" i="12"/>
  <c r="Z41" i="14" s="1"/>
  <c r="AA8" i="12"/>
  <c r="AA28" i="12"/>
  <c r="AA18" i="12"/>
  <c r="Z43" i="14" s="1"/>
  <c r="AA12" i="12"/>
  <c r="Z40" i="14" s="1"/>
  <c r="AA22" i="12"/>
  <c r="T30" i="12"/>
  <c r="T26" i="12"/>
  <c r="T22" i="12"/>
  <c r="T18" i="12"/>
  <c r="S43" i="14" s="1"/>
  <c r="T14" i="12"/>
  <c r="S41" i="14" s="1"/>
  <c r="T10" i="12"/>
  <c r="T28" i="12"/>
  <c r="T24" i="12"/>
  <c r="T20" i="12"/>
  <c r="T16" i="12"/>
  <c r="T12" i="12"/>
  <c r="S40" i="14" s="1"/>
  <c r="T8" i="12"/>
  <c r="T23" i="12"/>
  <c r="T27" i="12"/>
  <c r="T17" i="12"/>
  <c r="S42" i="14" s="1"/>
  <c r="T11" i="12"/>
  <c r="T34" i="12"/>
  <c r="T21" i="12"/>
  <c r="T15" i="12"/>
  <c r="T25" i="12"/>
  <c r="T19" i="12"/>
  <c r="S44" i="14" s="1"/>
  <c r="T9" i="12"/>
  <c r="T29" i="12"/>
  <c r="T13" i="12"/>
  <c r="U34" i="12"/>
  <c r="U29" i="12"/>
  <c r="U25" i="12"/>
  <c r="U21" i="12"/>
  <c r="U17" i="12"/>
  <c r="T42" i="14" s="1"/>
  <c r="U13" i="12"/>
  <c r="U9" i="12"/>
  <c r="U27" i="12"/>
  <c r="U23" i="12"/>
  <c r="U19" i="12"/>
  <c r="T44" i="14" s="1"/>
  <c r="U15" i="12"/>
  <c r="U11" i="12"/>
  <c r="U18" i="12"/>
  <c r="T43" i="14" s="1"/>
  <c r="U12" i="12"/>
  <c r="T40" i="14" s="1"/>
  <c r="U20" i="12"/>
  <c r="U30" i="12"/>
  <c r="U24" i="12"/>
  <c r="U14" i="12"/>
  <c r="T41" i="14" s="1"/>
  <c r="U8" i="12"/>
  <c r="U28" i="12"/>
  <c r="U22" i="12"/>
  <c r="U16" i="12"/>
  <c r="U26" i="12"/>
  <c r="U10" i="12"/>
  <c r="R28" i="12"/>
  <c r="R24" i="12"/>
  <c r="R20" i="12"/>
  <c r="R16" i="12"/>
  <c r="R12" i="12"/>
  <c r="Q40" i="14" s="1"/>
  <c r="R8" i="12"/>
  <c r="R30" i="12"/>
  <c r="R26" i="12"/>
  <c r="R22" i="12"/>
  <c r="R18" i="12"/>
  <c r="Q43" i="14" s="1"/>
  <c r="R14" i="12"/>
  <c r="Q41" i="14" s="1"/>
  <c r="R10" i="12"/>
  <c r="R29" i="12"/>
  <c r="R23" i="12"/>
  <c r="R13" i="12"/>
  <c r="R27" i="12"/>
  <c r="R17" i="12"/>
  <c r="Q42" i="14" s="1"/>
  <c r="R11" i="12"/>
  <c r="R34" i="12"/>
  <c r="R21" i="12"/>
  <c r="R15" i="12"/>
  <c r="R25" i="12"/>
  <c r="R19" i="12"/>
  <c r="Q44" i="14" s="1"/>
  <c r="R9" i="12"/>
  <c r="X30" i="12"/>
  <c r="X26" i="12"/>
  <c r="X22" i="12"/>
  <c r="X18" i="12"/>
  <c r="W43" i="14" s="1"/>
  <c r="X14" i="12"/>
  <c r="W41" i="14" s="1"/>
  <c r="X10" i="12"/>
  <c r="X28" i="12"/>
  <c r="X24" i="12"/>
  <c r="X20" i="12"/>
  <c r="X16" i="12"/>
  <c r="X12" i="12"/>
  <c r="W40" i="14" s="1"/>
  <c r="X8" i="12"/>
  <c r="X23" i="12"/>
  <c r="X13" i="12"/>
  <c r="X17" i="12"/>
  <c r="W42" i="14" s="1"/>
  <c r="X34" i="12"/>
  <c r="X21" i="12"/>
  <c r="X25" i="12"/>
  <c r="X19" i="12"/>
  <c r="W44" i="14" s="1"/>
  <c r="X9" i="12"/>
  <c r="X29" i="12"/>
  <c r="X27" i="12"/>
  <c r="X11" i="12"/>
  <c r="X15" i="12"/>
  <c r="A5" i="17"/>
  <c r="A9" i="17"/>
  <c r="A13" i="17"/>
  <c r="A17" i="17"/>
  <c r="A21" i="17"/>
  <c r="A25" i="17"/>
  <c r="A29" i="17"/>
  <c r="A33" i="17"/>
  <c r="A37" i="17"/>
  <c r="A41" i="17"/>
  <c r="A45" i="17"/>
  <c r="A49" i="17"/>
  <c r="A53" i="17"/>
  <c r="A57" i="17"/>
  <c r="A61" i="17"/>
  <c r="A65" i="17"/>
  <c r="A69" i="17"/>
  <c r="A73" i="17"/>
  <c r="A77" i="17"/>
  <c r="A81" i="17"/>
  <c r="A85" i="17"/>
  <c r="A89" i="17"/>
  <c r="A93" i="17"/>
  <c r="A97" i="17"/>
  <c r="A101" i="17"/>
  <c r="A105" i="17"/>
  <c r="A109" i="17"/>
  <c r="A113" i="17"/>
  <c r="A117" i="17"/>
  <c r="A121" i="17"/>
  <c r="A125" i="17"/>
  <c r="A129" i="17"/>
  <c r="A133" i="17"/>
  <c r="A137" i="17"/>
  <c r="A141" i="17"/>
  <c r="A145" i="17"/>
  <c r="A149" i="17"/>
  <c r="A153" i="17"/>
  <c r="A157" i="17"/>
  <c r="A161" i="17"/>
  <c r="A165" i="17"/>
  <c r="A169" i="17"/>
  <c r="A173" i="17"/>
  <c r="A177" i="17"/>
  <c r="A181" i="17"/>
  <c r="A185" i="17"/>
  <c r="A189" i="17"/>
  <c r="A193" i="17"/>
  <c r="A197" i="17"/>
  <c r="A201" i="17"/>
  <c r="A205" i="17"/>
  <c r="A209" i="17"/>
  <c r="A213" i="17"/>
  <c r="A217" i="17"/>
  <c r="A221" i="17"/>
  <c r="A225" i="17"/>
  <c r="A229" i="17"/>
  <c r="A233" i="17"/>
  <c r="A237" i="17"/>
  <c r="A241" i="17"/>
  <c r="A245" i="17"/>
  <c r="A249" i="17"/>
  <c r="A253" i="17"/>
  <c r="A257" i="17"/>
  <c r="A261" i="17"/>
  <c r="A265" i="17"/>
  <c r="A269" i="17"/>
  <c r="A273" i="17"/>
  <c r="A277" i="17"/>
  <c r="A281" i="17"/>
  <c r="A285" i="17"/>
  <c r="A289" i="17"/>
  <c r="A293" i="17"/>
  <c r="A297" i="17"/>
  <c r="A301" i="17"/>
  <c r="A305" i="17"/>
  <c r="A309" i="17"/>
  <c r="A313" i="17"/>
  <c r="A317" i="17"/>
  <c r="A321" i="17"/>
  <c r="A325" i="17"/>
  <c r="A329" i="17"/>
  <c r="A333" i="17"/>
  <c r="A337" i="17"/>
  <c r="A341" i="17"/>
  <c r="A345" i="17"/>
  <c r="A349" i="17"/>
  <c r="A353" i="17"/>
  <c r="A357" i="17"/>
  <c r="A361" i="17"/>
  <c r="A365" i="17"/>
  <c r="A369" i="17"/>
  <c r="A373" i="17"/>
  <c r="A377" i="17"/>
  <c r="A381" i="17"/>
  <c r="A385" i="17"/>
  <c r="A389" i="17"/>
  <c r="A393" i="17"/>
  <c r="A397" i="17"/>
  <c r="A401" i="17"/>
  <c r="A405" i="17"/>
  <c r="A409" i="17"/>
  <c r="A413" i="17"/>
  <c r="A417" i="17"/>
  <c r="A421" i="17"/>
  <c r="A425" i="17"/>
  <c r="A429" i="17"/>
  <c r="A433" i="17"/>
  <c r="A437" i="17"/>
  <c r="A441" i="17"/>
  <c r="A445" i="17"/>
  <c r="A449" i="17"/>
  <c r="A453" i="17"/>
  <c r="A457" i="17"/>
  <c r="A461" i="17"/>
  <c r="A465" i="17"/>
  <c r="A469" i="17"/>
  <c r="A473" i="17"/>
  <c r="A477" i="17"/>
  <c r="A481" i="17"/>
  <c r="A485" i="17"/>
  <c r="A489" i="17"/>
  <c r="A493" i="17"/>
  <c r="A497" i="17"/>
  <c r="A501" i="17"/>
  <c r="A505" i="17"/>
  <c r="A509" i="17"/>
  <c r="A513" i="17"/>
  <c r="A517" i="17"/>
  <c r="A521" i="17"/>
  <c r="A525" i="17"/>
  <c r="A529" i="17"/>
  <c r="A533" i="17"/>
  <c r="A537" i="17"/>
  <c r="A541" i="17"/>
  <c r="A545" i="17"/>
  <c r="A549" i="17"/>
  <c r="A553" i="17"/>
  <c r="A557" i="17"/>
  <c r="A561" i="17"/>
  <c r="A565" i="17"/>
  <c r="A569" i="17"/>
  <c r="A573" i="17"/>
  <c r="A577" i="17"/>
  <c r="A581" i="17"/>
  <c r="A585" i="17"/>
  <c r="A589" i="17"/>
  <c r="A593" i="17"/>
  <c r="A597" i="17"/>
  <c r="A601" i="17"/>
  <c r="A605" i="17"/>
  <c r="A609" i="17"/>
  <c r="A613" i="17"/>
  <c r="A617" i="17"/>
  <c r="A621" i="17"/>
  <c r="A625" i="17"/>
  <c r="A629" i="17"/>
  <c r="A633" i="17"/>
  <c r="A637" i="17"/>
  <c r="A641" i="17"/>
  <c r="A645" i="17"/>
  <c r="A649" i="17"/>
  <c r="A653" i="17"/>
  <c r="A657" i="17"/>
  <c r="A661" i="17"/>
  <c r="A665" i="17"/>
  <c r="A669" i="17"/>
  <c r="A8" i="17"/>
  <c r="A12" i="17"/>
  <c r="A16" i="17"/>
  <c r="A20" i="17"/>
  <c r="A24" i="17"/>
  <c r="A28" i="17"/>
  <c r="A32" i="17"/>
  <c r="A36" i="17"/>
  <c r="A40" i="17"/>
  <c r="A44" i="17"/>
  <c r="A48" i="17"/>
  <c r="A52" i="17"/>
  <c r="A56" i="17"/>
  <c r="A60" i="17"/>
  <c r="A64" i="17"/>
  <c r="A68" i="17"/>
  <c r="A72" i="17"/>
  <c r="A76" i="17"/>
  <c r="A80" i="17"/>
  <c r="A84" i="17"/>
  <c r="A88" i="17"/>
  <c r="A92" i="17"/>
  <c r="A96" i="17"/>
  <c r="A100" i="17"/>
  <c r="A104" i="17"/>
  <c r="A108" i="17"/>
  <c r="A112" i="17"/>
  <c r="A116" i="17"/>
  <c r="A120" i="17"/>
  <c r="A124" i="17"/>
  <c r="A128" i="17"/>
  <c r="A132" i="17"/>
  <c r="A136" i="17"/>
  <c r="A140" i="17"/>
  <c r="A144" i="17"/>
  <c r="A148" i="17"/>
  <c r="A152" i="17"/>
  <c r="A156" i="17"/>
  <c r="A160" i="17"/>
  <c r="A164" i="17"/>
  <c r="A168" i="17"/>
  <c r="A172" i="17"/>
  <c r="A176" i="17"/>
  <c r="A180" i="17"/>
  <c r="A184" i="17"/>
  <c r="A188" i="17"/>
  <c r="A192" i="17"/>
  <c r="A196" i="17"/>
  <c r="A200" i="17"/>
  <c r="A204" i="17"/>
  <c r="A208" i="17"/>
  <c r="A212" i="17"/>
  <c r="A216" i="17"/>
  <c r="A220" i="17"/>
  <c r="A224" i="17"/>
  <c r="A228" i="17"/>
  <c r="A232" i="17"/>
  <c r="A236" i="17"/>
  <c r="A240" i="17"/>
  <c r="A244" i="17"/>
  <c r="A248" i="17"/>
  <c r="A252" i="17"/>
  <c r="A256" i="17"/>
  <c r="A260" i="17"/>
  <c r="A264" i="17"/>
  <c r="A268" i="17"/>
  <c r="A272" i="17"/>
  <c r="A276" i="17"/>
  <c r="A280" i="17"/>
  <c r="A284" i="17"/>
  <c r="A288" i="17"/>
  <c r="A292" i="17"/>
  <c r="A296" i="17"/>
  <c r="A300" i="17"/>
  <c r="A304" i="17"/>
  <c r="A308" i="17"/>
  <c r="A312" i="17"/>
  <c r="A316" i="17"/>
  <c r="A320" i="17"/>
  <c r="A324" i="17"/>
  <c r="A328" i="17"/>
  <c r="A332" i="17"/>
  <c r="A336" i="17"/>
  <c r="A340" i="17"/>
  <c r="A344" i="17"/>
  <c r="A348" i="17"/>
  <c r="A352" i="17"/>
  <c r="A356" i="17"/>
  <c r="A360" i="17"/>
  <c r="A364" i="17"/>
  <c r="A368" i="17"/>
  <c r="A372" i="17"/>
  <c r="A376" i="17"/>
  <c r="A380" i="17"/>
  <c r="A384" i="17"/>
  <c r="A388" i="17"/>
  <c r="A392" i="17"/>
  <c r="A396" i="17"/>
  <c r="A400" i="17"/>
  <c r="A404" i="17"/>
  <c r="A408" i="17"/>
  <c r="A412" i="17"/>
  <c r="A416" i="17"/>
  <c r="A420" i="17"/>
  <c r="A424" i="17"/>
  <c r="A428" i="17"/>
  <c r="A432" i="17"/>
  <c r="A436" i="17"/>
  <c r="A440" i="17"/>
  <c r="A444" i="17"/>
  <c r="A448" i="17"/>
  <c r="A452" i="17"/>
  <c r="A456" i="17"/>
  <c r="A460" i="17"/>
  <c r="A464" i="17"/>
  <c r="A468" i="17"/>
  <c r="A472" i="17"/>
  <c r="A476" i="17"/>
  <c r="A480" i="17"/>
  <c r="A484" i="17"/>
  <c r="A488" i="17"/>
  <c r="A492" i="17"/>
  <c r="A496" i="17"/>
  <c r="A500" i="17"/>
  <c r="A504" i="17"/>
  <c r="A508" i="17"/>
  <c r="A512" i="17"/>
  <c r="A516" i="17"/>
  <c r="A520" i="17"/>
  <c r="A524" i="17"/>
  <c r="A528" i="17"/>
  <c r="A532" i="17"/>
  <c r="A536" i="17"/>
  <c r="A540" i="17"/>
  <c r="A544" i="17"/>
  <c r="A548" i="17"/>
  <c r="A552" i="17"/>
  <c r="A556" i="17"/>
  <c r="A560" i="17"/>
  <c r="A564" i="17"/>
  <c r="A568" i="17"/>
  <c r="A572" i="17"/>
  <c r="A576" i="17"/>
  <c r="A580" i="17"/>
  <c r="A584" i="17"/>
  <c r="A588" i="17"/>
  <c r="A592" i="17"/>
  <c r="A596" i="17"/>
  <c r="A600" i="17"/>
  <c r="A604" i="17"/>
  <c r="A608" i="17"/>
  <c r="A612" i="17"/>
  <c r="A616" i="17"/>
  <c r="A620" i="17"/>
  <c r="A624" i="17"/>
  <c r="A628" i="17"/>
  <c r="A632" i="17"/>
  <c r="A636" i="17"/>
  <c r="A640" i="17"/>
  <c r="A644" i="17"/>
  <c r="A648" i="17"/>
  <c r="A652" i="17"/>
  <c r="A656" i="17"/>
  <c r="A660" i="17"/>
  <c r="A664" i="17"/>
  <c r="A668" i="17"/>
  <c r="A6" i="17"/>
  <c r="A14" i="17"/>
  <c r="A22" i="17"/>
  <c r="A30" i="17"/>
  <c r="A38" i="17"/>
  <c r="A46" i="17"/>
  <c r="A54" i="17"/>
  <c r="A62" i="17"/>
  <c r="A70" i="17"/>
  <c r="A78" i="17"/>
  <c r="A86" i="17"/>
  <c r="A94" i="17"/>
  <c r="A102" i="17"/>
  <c r="A110" i="17"/>
  <c r="A118" i="17"/>
  <c r="A126" i="17"/>
  <c r="A134" i="17"/>
  <c r="A142" i="17"/>
  <c r="A150" i="17"/>
  <c r="A158" i="17"/>
  <c r="A166" i="17"/>
  <c r="A174" i="17"/>
  <c r="A182" i="17"/>
  <c r="A190" i="17"/>
  <c r="A198" i="17"/>
  <c r="A206" i="17"/>
  <c r="A214" i="17"/>
  <c r="A222" i="17"/>
  <c r="A230" i="17"/>
  <c r="A238" i="17"/>
  <c r="A246" i="17"/>
  <c r="A254" i="17"/>
  <c r="A262" i="17"/>
  <c r="A270" i="17"/>
  <c r="A278" i="17"/>
  <c r="A286" i="17"/>
  <c r="A294" i="17"/>
  <c r="A302" i="17"/>
  <c r="A310" i="17"/>
  <c r="A318" i="17"/>
  <c r="A326" i="17"/>
  <c r="A334" i="17"/>
  <c r="A342" i="17"/>
  <c r="A350" i="17"/>
  <c r="A358" i="17"/>
  <c r="A366" i="17"/>
  <c r="A374" i="17"/>
  <c r="A382" i="17"/>
  <c r="A390" i="17"/>
  <c r="A398" i="17"/>
  <c r="A406" i="17"/>
  <c r="A414" i="17"/>
  <c r="A422" i="17"/>
  <c r="A430" i="17"/>
  <c r="A438" i="17"/>
  <c r="A446" i="17"/>
  <c r="A454" i="17"/>
  <c r="A462" i="17"/>
  <c r="A470" i="17"/>
  <c r="A478" i="17"/>
  <c r="A486" i="17"/>
  <c r="A494" i="17"/>
  <c r="A502" i="17"/>
  <c r="A510" i="17"/>
  <c r="A518" i="17"/>
  <c r="A526" i="17"/>
  <c r="A534" i="17"/>
  <c r="A542" i="17"/>
  <c r="A550" i="17"/>
  <c r="A558" i="17"/>
  <c r="A566" i="17"/>
  <c r="A574" i="17"/>
  <c r="A582" i="17"/>
  <c r="A590" i="17"/>
  <c r="A598" i="17"/>
  <c r="A606" i="17"/>
  <c r="A614" i="17"/>
  <c r="A622" i="17"/>
  <c r="A630" i="17"/>
  <c r="A638" i="17"/>
  <c r="A646" i="17"/>
  <c r="A654" i="17"/>
  <c r="A662" i="17"/>
  <c r="A670" i="17"/>
  <c r="A10" i="17"/>
  <c r="A18" i="17"/>
  <c r="A26" i="17"/>
  <c r="A34" i="17"/>
  <c r="A42" i="17"/>
  <c r="A50" i="17"/>
  <c r="A58" i="17"/>
  <c r="A66" i="17"/>
  <c r="A74" i="17"/>
  <c r="A82" i="17"/>
  <c r="A90" i="17"/>
  <c r="A98" i="17"/>
  <c r="A106" i="17"/>
  <c r="A114" i="17"/>
  <c r="A122" i="17"/>
  <c r="A130" i="17"/>
  <c r="A138" i="17"/>
  <c r="A146" i="17"/>
  <c r="A154" i="17"/>
  <c r="A162" i="17"/>
  <c r="A170" i="17"/>
  <c r="A178" i="17"/>
  <c r="A186" i="17"/>
  <c r="A194" i="17"/>
  <c r="A202" i="17"/>
  <c r="A210" i="17"/>
  <c r="A218" i="17"/>
  <c r="A226" i="17"/>
  <c r="A234" i="17"/>
  <c r="A242" i="17"/>
  <c r="A250" i="17"/>
  <c r="A258" i="17"/>
  <c r="A266" i="17"/>
  <c r="A274" i="17"/>
  <c r="A282" i="17"/>
  <c r="A290" i="17"/>
  <c r="A298" i="17"/>
  <c r="A306" i="17"/>
  <c r="A314" i="17"/>
  <c r="A322" i="17"/>
  <c r="A330" i="17"/>
  <c r="A338" i="17"/>
  <c r="A346" i="17"/>
  <c r="A354" i="17"/>
  <c r="A362" i="17"/>
  <c r="A370" i="17"/>
  <c r="A378" i="17"/>
  <c r="A386" i="17"/>
  <c r="A394" i="17"/>
  <c r="A402" i="17"/>
  <c r="A410" i="17"/>
  <c r="A418" i="17"/>
  <c r="A426" i="17"/>
  <c r="A434" i="17"/>
  <c r="A442" i="17"/>
  <c r="A450" i="17"/>
  <c r="A458" i="17"/>
  <c r="A466" i="17"/>
  <c r="A474" i="17"/>
  <c r="A482" i="17"/>
  <c r="A490" i="17"/>
  <c r="A498" i="17"/>
  <c r="A506" i="17"/>
  <c r="A514" i="17"/>
  <c r="A522" i="17"/>
  <c r="A530" i="17"/>
  <c r="A538" i="17"/>
  <c r="A546" i="17"/>
  <c r="A554" i="17"/>
  <c r="A562" i="17"/>
  <c r="A570" i="17"/>
  <c r="A578" i="17"/>
  <c r="A586" i="17"/>
  <c r="A594" i="17"/>
  <c r="A602" i="17"/>
  <c r="A610" i="17"/>
  <c r="A618" i="17"/>
  <c r="A626" i="17"/>
  <c r="A634" i="17"/>
  <c r="A642" i="17"/>
  <c r="A650" i="17"/>
  <c r="A658" i="17"/>
  <c r="A666" i="17"/>
  <c r="A11" i="17"/>
  <c r="A19" i="17"/>
  <c r="A27" i="17"/>
  <c r="A35" i="17"/>
  <c r="A43" i="17"/>
  <c r="A51" i="17"/>
  <c r="A59" i="17"/>
  <c r="A67" i="17"/>
  <c r="A75" i="17"/>
  <c r="A83" i="17"/>
  <c r="A91" i="17"/>
  <c r="A99" i="17"/>
  <c r="A107" i="17"/>
  <c r="A115" i="17"/>
  <c r="A123" i="17"/>
  <c r="A131" i="17"/>
  <c r="A139" i="17"/>
  <c r="A147" i="17"/>
  <c r="A155" i="17"/>
  <c r="A163" i="17"/>
  <c r="A171" i="17"/>
  <c r="A179" i="17"/>
  <c r="A187" i="17"/>
  <c r="A195" i="17"/>
  <c r="A203" i="17"/>
  <c r="A211" i="17"/>
  <c r="A219" i="17"/>
  <c r="A227" i="17"/>
  <c r="A235" i="17"/>
  <c r="A7" i="17"/>
  <c r="A39" i="17"/>
  <c r="A71" i="17"/>
  <c r="A103" i="17"/>
  <c r="A135" i="17"/>
  <c r="A167" i="17"/>
  <c r="A199" i="17"/>
  <c r="A231" i="17"/>
  <c r="A251" i="17"/>
  <c r="A267" i="17"/>
  <c r="A283" i="17"/>
  <c r="A299" i="17"/>
  <c r="A315" i="17"/>
  <c r="A331" i="17"/>
  <c r="A347" i="17"/>
  <c r="A363" i="17"/>
  <c r="A379" i="17"/>
  <c r="A395" i="17"/>
  <c r="A411" i="17"/>
  <c r="A427" i="17"/>
  <c r="A443" i="17"/>
  <c r="A459" i="17"/>
  <c r="A475" i="17"/>
  <c r="A491" i="17"/>
  <c r="A507" i="17"/>
  <c r="A523" i="17"/>
  <c r="A539" i="17"/>
  <c r="A555" i="17"/>
  <c r="A571" i="17"/>
  <c r="A587" i="17"/>
  <c r="A603" i="17"/>
  <c r="A619" i="17"/>
  <c r="A635" i="17"/>
  <c r="A651" i="17"/>
  <c r="A667" i="17"/>
  <c r="A287" i="17"/>
  <c r="A447" i="17"/>
  <c r="A575" i="17"/>
  <c r="A23" i="17"/>
  <c r="A87" i="17"/>
  <c r="A151" i="17"/>
  <c r="A243" i="17"/>
  <c r="A291" i="17"/>
  <c r="A323" i="17"/>
  <c r="A355" i="17"/>
  <c r="A387" i="17"/>
  <c r="A435" i="17"/>
  <c r="A483" i="17"/>
  <c r="A531" i="17"/>
  <c r="A579" i="17"/>
  <c r="A627" i="17"/>
  <c r="A659" i="17"/>
  <c r="A31" i="17"/>
  <c r="A63" i="17"/>
  <c r="A95" i="17"/>
  <c r="A127" i="17"/>
  <c r="A159" i="17"/>
  <c r="A191" i="17"/>
  <c r="A223" i="17"/>
  <c r="A247" i="17"/>
  <c r="A263" i="17"/>
  <c r="A279" i="17"/>
  <c r="A295" i="17"/>
  <c r="A311" i="17"/>
  <c r="A327" i="17"/>
  <c r="A343" i="17"/>
  <c r="A359" i="17"/>
  <c r="A375" i="17"/>
  <c r="A391" i="17"/>
  <c r="A407" i="17"/>
  <c r="A423" i="17"/>
  <c r="A439" i="17"/>
  <c r="A455" i="17"/>
  <c r="A471" i="17"/>
  <c r="A487" i="17"/>
  <c r="A503" i="17"/>
  <c r="A519" i="17"/>
  <c r="A535" i="17"/>
  <c r="A551" i="17"/>
  <c r="A567" i="17"/>
  <c r="A583" i="17"/>
  <c r="A599" i="17"/>
  <c r="A615" i="17"/>
  <c r="A631" i="17"/>
  <c r="A647" i="17"/>
  <c r="A663" i="17"/>
  <c r="A15" i="17"/>
  <c r="A47" i="17"/>
  <c r="A79" i="17"/>
  <c r="A111" i="17"/>
  <c r="A143" i="17"/>
  <c r="A175" i="17"/>
  <c r="A207" i="17"/>
  <c r="A239" i="17"/>
  <c r="A255" i="17"/>
  <c r="A271" i="17"/>
  <c r="A303" i="17"/>
  <c r="A319" i="17"/>
  <c r="A335" i="17"/>
  <c r="A351" i="17"/>
  <c r="A367" i="17"/>
  <c r="A383" i="17"/>
  <c r="A399" i="17"/>
  <c r="A415" i="17"/>
  <c r="A431" i="17"/>
  <c r="A463" i="17"/>
  <c r="A479" i="17"/>
  <c r="A495" i="17"/>
  <c r="A511" i="17"/>
  <c r="A527" i="17"/>
  <c r="A543" i="17"/>
  <c r="A559" i="17"/>
  <c r="A591" i="17"/>
  <c r="A607" i="17"/>
  <c r="A623" i="17"/>
  <c r="A639" i="17"/>
  <c r="A655" i="17"/>
  <c r="A671" i="17"/>
  <c r="A55" i="17"/>
  <c r="A119" i="17"/>
  <c r="A183" i="17"/>
  <c r="A215" i="17"/>
  <c r="A259" i="17"/>
  <c r="A275" i="17"/>
  <c r="A307" i="17"/>
  <c r="A339" i="17"/>
  <c r="A371" i="17"/>
  <c r="A403" i="17"/>
  <c r="A419" i="17"/>
  <c r="A451" i="17"/>
  <c r="A467" i="17"/>
  <c r="A499" i="17"/>
  <c r="A515" i="17"/>
  <c r="A547" i="17"/>
  <c r="A563" i="17"/>
  <c r="A595" i="17"/>
  <c r="A611" i="17"/>
  <c r="A643" i="17"/>
  <c r="Q34" i="12"/>
  <c r="Q29" i="12"/>
  <c r="Q25" i="12"/>
  <c r="Q21" i="12"/>
  <c r="Q17" i="12"/>
  <c r="P42" i="14" s="1"/>
  <c r="Q13" i="12"/>
  <c r="Q9" i="12"/>
  <c r="Q27" i="12"/>
  <c r="Q23" i="12"/>
  <c r="Q19" i="12"/>
  <c r="P44" i="14" s="1"/>
  <c r="Q15" i="12"/>
  <c r="Q11" i="12"/>
  <c r="Q22" i="12"/>
  <c r="Q16" i="12"/>
  <c r="Q26" i="12"/>
  <c r="Q20" i="12"/>
  <c r="Q10" i="12"/>
  <c r="Q30" i="12"/>
  <c r="Q24" i="12"/>
  <c r="Q14" i="12"/>
  <c r="P41" i="14" s="1"/>
  <c r="Q8" i="12"/>
  <c r="Q28" i="12"/>
  <c r="Q18" i="12"/>
  <c r="P43" i="14" s="1"/>
  <c r="Q12" i="12"/>
  <c r="P40" i="14" s="1"/>
  <c r="V28" i="12"/>
  <c r="V24" i="12"/>
  <c r="V20" i="12"/>
  <c r="V16" i="12"/>
  <c r="V12" i="12"/>
  <c r="U40" i="14" s="1"/>
  <c r="V8" i="12"/>
  <c r="V30" i="12"/>
  <c r="V26" i="12"/>
  <c r="V22" i="12"/>
  <c r="V18" i="12"/>
  <c r="U43" i="14" s="1"/>
  <c r="V14" i="12"/>
  <c r="U41" i="14" s="1"/>
  <c r="V10" i="12"/>
  <c r="V25" i="12"/>
  <c r="V19" i="12"/>
  <c r="U44" i="14" s="1"/>
  <c r="V17" i="12"/>
  <c r="U42" i="14" s="1"/>
  <c r="V34" i="12"/>
  <c r="V21" i="12"/>
  <c r="V15" i="12"/>
  <c r="V9" i="12"/>
  <c r="V29" i="12"/>
  <c r="V23" i="12"/>
  <c r="V13" i="12"/>
  <c r="V27" i="12"/>
  <c r="V11" i="12"/>
  <c r="C81" i="11"/>
  <c r="W27" i="12"/>
  <c r="W23" i="12"/>
  <c r="W19" i="12"/>
  <c r="V44" i="14" s="1"/>
  <c r="W15" i="12"/>
  <c r="W11" i="12"/>
  <c r="W34" i="12"/>
  <c r="W29" i="12"/>
  <c r="W25" i="12"/>
  <c r="W21" i="12"/>
  <c r="W17" i="12"/>
  <c r="V42" i="14" s="1"/>
  <c r="W13" i="12"/>
  <c r="W9" i="12"/>
  <c r="W26" i="12"/>
  <c r="W14" i="12"/>
  <c r="V41" i="14" s="1"/>
  <c r="W8" i="12"/>
  <c r="W28" i="12"/>
  <c r="W18" i="12"/>
  <c r="V43" i="14" s="1"/>
  <c r="W12" i="12"/>
  <c r="V40" i="14" s="1"/>
  <c r="W22" i="12"/>
  <c r="W16" i="12"/>
  <c r="W20" i="12"/>
  <c r="W10" i="12"/>
  <c r="W30" i="12"/>
  <c r="W24" i="12"/>
  <c r="S27" i="12"/>
  <c r="S23" i="12"/>
  <c r="S19" i="12"/>
  <c r="R44" i="14" s="1"/>
  <c r="S15" i="12"/>
  <c r="S11" i="12"/>
  <c r="S34" i="12"/>
  <c r="S29" i="12"/>
  <c r="S25" i="12"/>
  <c r="S21" i="12"/>
  <c r="S17" i="12"/>
  <c r="R42" i="14" s="1"/>
  <c r="S13" i="12"/>
  <c r="S9" i="12"/>
  <c r="S24" i="12"/>
  <c r="S14" i="12"/>
  <c r="R41" i="14" s="1"/>
  <c r="S28" i="12"/>
  <c r="S22" i="12"/>
  <c r="S26" i="12"/>
  <c r="S20" i="12"/>
  <c r="S10" i="12"/>
  <c r="S30" i="12"/>
  <c r="S8" i="12"/>
  <c r="S18" i="12"/>
  <c r="R43" i="14" s="1"/>
  <c r="S12" i="12"/>
  <c r="R40" i="14" s="1"/>
  <c r="S16" i="12"/>
  <c r="Y34" i="12"/>
  <c r="Y29" i="12"/>
  <c r="Y25" i="12"/>
  <c r="Y21" i="12"/>
  <c r="Y17" i="12"/>
  <c r="X42" i="14" s="1"/>
  <c r="Y13" i="12"/>
  <c r="Y9" i="12"/>
  <c r="Y27" i="12"/>
  <c r="Y23" i="12"/>
  <c r="Y19" i="12"/>
  <c r="X44" i="14" s="1"/>
  <c r="Y15" i="12"/>
  <c r="Y11" i="12"/>
  <c r="Y26" i="12"/>
  <c r="Y20" i="12"/>
  <c r="Y10" i="12"/>
  <c r="Y24" i="12"/>
  <c r="Y8" i="12"/>
  <c r="Y28" i="12"/>
  <c r="Y22" i="12"/>
  <c r="Y16" i="12"/>
  <c r="Y30" i="12"/>
  <c r="Y14" i="12"/>
  <c r="X41" i="14" s="1"/>
  <c r="Y18" i="12"/>
  <c r="X43" i="14" s="1"/>
  <c r="Y12" i="12"/>
  <c r="X40" i="14" s="1"/>
  <c r="Z28" i="12"/>
  <c r="Z24" i="12"/>
  <c r="Z20" i="12"/>
  <c r="Z16" i="12"/>
  <c r="Z12" i="12"/>
  <c r="Y40" i="14" s="1"/>
  <c r="Z8" i="12"/>
  <c r="Z30" i="12"/>
  <c r="Z26" i="12"/>
  <c r="Z22" i="12"/>
  <c r="Z18" i="12"/>
  <c r="Y43" i="14" s="1"/>
  <c r="Z14" i="12"/>
  <c r="Y41" i="14" s="1"/>
  <c r="Z10" i="12"/>
  <c r="Z27" i="12"/>
  <c r="Z17" i="12"/>
  <c r="Y42" i="14" s="1"/>
  <c r="Z11" i="12"/>
  <c r="Z19" i="12"/>
  <c r="Y44" i="14" s="1"/>
  <c r="Z29" i="12"/>
  <c r="Z23" i="12"/>
  <c r="Z13" i="12"/>
  <c r="Z34" i="12"/>
  <c r="Z21" i="12"/>
  <c r="Z15" i="12"/>
  <c r="Z25" i="12"/>
  <c r="Z9" i="12"/>
  <c r="C81" i="10"/>
  <c r="Y52" i="14" l="1"/>
  <c r="X48" i="14"/>
  <c r="U48" i="14"/>
  <c r="P50" i="14"/>
  <c r="S51" i="14"/>
  <c r="Y49" i="14"/>
  <c r="X51" i="14"/>
  <c r="R48" i="14"/>
  <c r="R52" i="14"/>
  <c r="V52" i="14"/>
  <c r="P48" i="14"/>
  <c r="P49" i="14"/>
  <c r="W52" i="14"/>
  <c r="W50" i="14"/>
  <c r="W48" i="14"/>
  <c r="Q52" i="14"/>
  <c r="Q49" i="14"/>
  <c r="S50" i="14"/>
  <c r="S48" i="14"/>
  <c r="Z48" i="14"/>
  <c r="Z49" i="14"/>
  <c r="Z52" i="14"/>
  <c r="Y50" i="14"/>
  <c r="X49" i="14"/>
  <c r="X52" i="14"/>
  <c r="R51" i="14"/>
  <c r="R49" i="14"/>
  <c r="R50" i="14"/>
  <c r="V49" i="14"/>
  <c r="V50" i="14"/>
  <c r="U50" i="14"/>
  <c r="U49" i="14"/>
  <c r="P51" i="14"/>
  <c r="Q51" i="14"/>
  <c r="T48" i="14"/>
  <c r="T52" i="14"/>
  <c r="Y48" i="14"/>
  <c r="X50" i="14"/>
  <c r="V51" i="14"/>
  <c r="U52" i="14"/>
  <c r="U51" i="14"/>
  <c r="P52" i="14"/>
  <c r="W49" i="14"/>
  <c r="Q50" i="14"/>
  <c r="Q48" i="14"/>
  <c r="T51" i="14"/>
  <c r="T50" i="14"/>
  <c r="S52" i="14"/>
  <c r="S49" i="14"/>
  <c r="W51" i="14"/>
  <c r="Y51" i="14"/>
  <c r="V48" i="14"/>
  <c r="T49" i="14"/>
  <c r="Z51" i="14"/>
  <c r="Z50" i="14"/>
  <c r="V64" i="14" l="1"/>
  <c r="V56" i="14"/>
  <c r="Q58" i="14"/>
  <c r="Q66" i="14"/>
  <c r="T60" i="14"/>
  <c r="T68" i="14"/>
  <c r="R66" i="14"/>
  <c r="R58" i="14"/>
  <c r="Z56" i="14"/>
  <c r="Z64" i="14"/>
  <c r="P65" i="14"/>
  <c r="P57" i="14"/>
  <c r="P66" i="14"/>
  <c r="P58" i="14"/>
  <c r="Y67" i="14"/>
  <c r="Y59" i="14"/>
  <c r="W65" i="14"/>
  <c r="W57" i="14"/>
  <c r="T64" i="14"/>
  <c r="T56" i="14"/>
  <c r="R65" i="14"/>
  <c r="R57" i="14"/>
  <c r="S56" i="14"/>
  <c r="S64" i="14"/>
  <c r="P64" i="14"/>
  <c r="P56" i="14"/>
  <c r="U64" i="14"/>
  <c r="U56" i="14"/>
  <c r="W67" i="14"/>
  <c r="W59" i="14"/>
  <c r="T67" i="14"/>
  <c r="T59" i="14"/>
  <c r="P60" i="14"/>
  <c r="P68" i="14"/>
  <c r="X66" i="14"/>
  <c r="X58" i="14"/>
  <c r="Q67" i="14"/>
  <c r="Q59" i="14"/>
  <c r="V66" i="14"/>
  <c r="V58" i="14"/>
  <c r="R59" i="14"/>
  <c r="R67" i="14"/>
  <c r="Z60" i="14"/>
  <c r="Z68" i="14"/>
  <c r="S58" i="14"/>
  <c r="S66" i="14"/>
  <c r="W58" i="14"/>
  <c r="W66" i="14"/>
  <c r="V60" i="14"/>
  <c r="V68" i="14"/>
  <c r="Y57" i="14"/>
  <c r="Y65" i="14"/>
  <c r="X64" i="14"/>
  <c r="X56" i="14"/>
  <c r="S68" i="14"/>
  <c r="S60" i="14"/>
  <c r="U68" i="14"/>
  <c r="U60" i="14"/>
  <c r="U57" i="14"/>
  <c r="U65" i="14"/>
  <c r="X65" i="14"/>
  <c r="X57" i="14"/>
  <c r="Q68" i="14"/>
  <c r="Q60" i="14"/>
  <c r="R56" i="14"/>
  <c r="R64" i="14"/>
  <c r="Z66" i="14"/>
  <c r="Z58" i="14"/>
  <c r="T66" i="14"/>
  <c r="T58" i="14"/>
  <c r="V67" i="14"/>
  <c r="V59" i="14"/>
  <c r="U58" i="14"/>
  <c r="U66" i="14"/>
  <c r="Y58" i="14"/>
  <c r="Y66" i="14"/>
  <c r="W56" i="14"/>
  <c r="W64" i="14"/>
  <c r="X67" i="14"/>
  <c r="X59" i="14"/>
  <c r="Z59" i="14"/>
  <c r="Z67" i="14"/>
  <c r="T65" i="14"/>
  <c r="T57" i="14"/>
  <c r="S65" i="14"/>
  <c r="S57" i="14"/>
  <c r="Q64" i="14"/>
  <c r="Q56" i="14"/>
  <c r="U67" i="14"/>
  <c r="U59" i="14"/>
  <c r="Y64" i="14"/>
  <c r="Y56" i="14"/>
  <c r="P59" i="14"/>
  <c r="P67" i="14"/>
  <c r="V65" i="14"/>
  <c r="V57" i="14"/>
  <c r="X60" i="14"/>
  <c r="X68" i="14"/>
  <c r="Z65" i="14"/>
  <c r="Z57" i="14"/>
  <c r="Q57" i="14"/>
  <c r="Q65" i="14"/>
  <c r="W68" i="14"/>
  <c r="W60" i="14"/>
  <c r="R60" i="14"/>
  <c r="R68" i="14"/>
  <c r="S67" i="14"/>
  <c r="S59" i="14"/>
  <c r="Y68" i="14"/>
  <c r="Y60" i="14"/>
  <c r="K70" i="14"/>
  <c r="N14" i="9" a="1"/>
  <c r="X15" i="9"/>
  <c r="U16" i="9"/>
  <c r="P15" i="9"/>
  <c r="S14" i="9"/>
  <c r="R16" i="9"/>
  <c r="X14" i="9"/>
  <c r="V16" i="9"/>
  <c r="N16" i="9"/>
  <c r="Q15" i="9"/>
  <c r="T14" i="9"/>
  <c r="U15" i="9"/>
  <c r="P14" i="9"/>
  <c r="Q16" i="9"/>
  <c r="T15" i="9"/>
  <c r="W14" i="9"/>
  <c r="O14" i="9"/>
  <c r="X16" i="9"/>
  <c r="T16" i="9"/>
  <c r="P16" i="9"/>
  <c r="W15" i="9"/>
  <c r="S15" i="9"/>
  <c r="O15" i="9"/>
  <c r="V14" i="9"/>
  <c r="R14" i="9"/>
  <c r="N14" i="9"/>
  <c r="W16" i="9"/>
  <c r="S16" i="9"/>
  <c r="O16" i="9"/>
  <c r="V15" i="9"/>
  <c r="R15" i="9"/>
  <c r="N15" i="9"/>
  <c r="U14" i="9"/>
  <c r="Q14" i="9"/>
  <c r="N12" i="9" a="1"/>
  <c r="T12" i="9"/>
  <c r="S12" i="9"/>
  <c r="W12" i="9"/>
  <c r="O12" i="9"/>
  <c r="X12" i="9"/>
  <c r="P12" i="9"/>
  <c r="V12" i="9"/>
  <c r="R12" i="9"/>
  <c r="N12" i="9"/>
  <c r="U12" i="9"/>
  <c r="Q12" i="9"/>
  <c r="N13" i="9" a="1"/>
  <c r="S13" i="9"/>
  <c r="R13" i="9"/>
  <c r="V13" i="9"/>
  <c r="N13" i="9"/>
  <c r="W13" i="9"/>
  <c r="O13" i="9"/>
  <c r="U13" i="9"/>
  <c r="Q13" i="9"/>
  <c r="X13" i="9"/>
  <c r="T13" i="9"/>
  <c r="P13" i="9"/>
  <c r="AH28" i="11" a="1"/>
  <c r="AH28" i="11"/>
  <c r="AJ28" i="11"/>
  <c r="AI28" i="11"/>
  <c r="AM28" i="11"/>
  <c r="AK28" i="11"/>
  <c r="AL28" i="11"/>
  <c r="AH8" i="11" a="1"/>
  <c r="AH8" i="11"/>
  <c r="AL8" i="11"/>
  <c r="AM8" i="11"/>
  <c r="AI8" i="11"/>
  <c r="AJ8" i="11"/>
  <c r="AK8" i="11"/>
  <c r="AH15" i="11" a="1"/>
  <c r="AH15" i="11"/>
  <c r="AJ15" i="11"/>
  <c r="AK15" i="11"/>
  <c r="AM15" i="11"/>
  <c r="AI15" i="11"/>
  <c r="AL15" i="11"/>
  <c r="AH24" i="11" a="1"/>
  <c r="AH24" i="11"/>
  <c r="AM24" i="11"/>
  <c r="AJ24" i="11"/>
  <c r="AI24" i="11"/>
  <c r="AK24" i="11"/>
  <c r="AL24" i="11"/>
  <c r="AH10" i="11" a="1"/>
  <c r="AH10" i="11"/>
  <c r="AJ10" i="11"/>
  <c r="AK10" i="11"/>
  <c r="AL10" i="11"/>
  <c r="AI10" i="11"/>
  <c r="AM10" i="11"/>
  <c r="AH14" i="11" a="1"/>
  <c r="AH14" i="11"/>
  <c r="AL14" i="11"/>
  <c r="AK14" i="11"/>
  <c r="AJ14" i="11"/>
  <c r="AI14" i="11"/>
  <c r="AM14" i="11"/>
  <c r="AH23" i="11" a="1"/>
  <c r="AH23" i="11"/>
  <c r="AK23" i="11"/>
  <c r="AJ23" i="11"/>
  <c r="AL23" i="11"/>
  <c r="AI23" i="11"/>
  <c r="AM23" i="11"/>
  <c r="AH11" i="11" a="1"/>
  <c r="AH11" i="11"/>
  <c r="AI11" i="11"/>
  <c r="AJ11" i="11"/>
  <c r="AK11" i="11"/>
  <c r="AM11" i="11"/>
  <c r="AL11" i="11"/>
  <c r="AH18" i="11" a="1"/>
  <c r="AH18" i="11"/>
  <c r="AK18" i="11"/>
  <c r="AL18" i="11"/>
  <c r="AI18" i="11"/>
  <c r="AM18" i="11"/>
  <c r="AJ18" i="11"/>
  <c r="AH21" i="11" a="1"/>
  <c r="AH21" i="11"/>
  <c r="AI21" i="11"/>
  <c r="AM21" i="11"/>
  <c r="AL21" i="11"/>
  <c r="AJ21" i="11"/>
  <c r="AK21" i="11"/>
  <c r="AH19" i="11" a="1"/>
  <c r="AH19" i="11"/>
  <c r="AJ19" i="11"/>
  <c r="AK19" i="11"/>
  <c r="AL19" i="11"/>
  <c r="AI19" i="11"/>
  <c r="AM19" i="11"/>
  <c r="AH20" i="11" a="1"/>
  <c r="AH20" i="11"/>
  <c r="AI20" i="11"/>
  <c r="AJ20" i="11"/>
  <c r="AM20" i="11"/>
  <c r="AK20" i="11"/>
  <c r="AL20" i="11"/>
  <c r="AH22" i="11" a="1"/>
  <c r="AH22" i="11"/>
  <c r="AL22" i="11"/>
  <c r="AK22" i="11"/>
  <c r="AI22" i="11"/>
  <c r="AM22" i="11"/>
  <c r="AJ22" i="11"/>
  <c r="AH25" i="11" a="1"/>
  <c r="AH25" i="11"/>
  <c r="AL25" i="11"/>
  <c r="AM25" i="11"/>
  <c r="AI25" i="11"/>
  <c r="AJ25" i="11"/>
  <c r="AK25" i="11"/>
  <c r="AH9" i="11" a="1"/>
  <c r="AH9" i="11"/>
  <c r="AK9" i="11"/>
  <c r="AL9" i="11"/>
  <c r="AM9" i="11"/>
  <c r="AI9" i="11"/>
  <c r="AJ9" i="11"/>
  <c r="AH12" i="11" a="1"/>
  <c r="AH12" i="11"/>
  <c r="AI12" i="11"/>
  <c r="AM12" i="11"/>
  <c r="AJ12" i="11"/>
  <c r="AL12" i="11"/>
  <c r="AK12" i="11"/>
  <c r="AH26" i="11" a="1"/>
  <c r="AH26" i="11"/>
  <c r="AL26" i="11"/>
  <c r="AK26" i="11"/>
  <c r="AI26" i="11"/>
  <c r="AM26" i="11"/>
  <c r="AJ26" i="11"/>
  <c r="AH29" i="11" a="1"/>
  <c r="AH29" i="11"/>
  <c r="AI29" i="11"/>
  <c r="AM29" i="11"/>
  <c r="AL29" i="11"/>
  <c r="AJ29" i="11"/>
  <c r="AK29" i="11"/>
  <c r="AH13" i="11" a="1"/>
  <c r="AH13" i="11"/>
  <c r="AL13" i="11"/>
  <c r="AM13" i="11"/>
  <c r="AK13" i="11"/>
  <c r="AI13" i="11"/>
  <c r="AJ13" i="11"/>
  <c r="K69" i="14"/>
  <c r="AH16" i="11" a="1"/>
  <c r="AH16" i="11"/>
  <c r="AJ16" i="11"/>
  <c r="AI16" i="11"/>
  <c r="AL16" i="11"/>
  <c r="AM16" i="11"/>
  <c r="AK16" i="11"/>
  <c r="AH30" i="11" a="1"/>
  <c r="AH30" i="11"/>
  <c r="AL30" i="11"/>
  <c r="AK30" i="11"/>
  <c r="AI30" i="11"/>
  <c r="AM30" i="11"/>
  <c r="AJ30" i="11"/>
  <c r="AH17" i="11" a="1"/>
  <c r="AH17" i="11"/>
  <c r="AL17" i="11"/>
  <c r="AM17" i="11"/>
  <c r="AI17" i="11"/>
  <c r="AJ17" i="11"/>
  <c r="AK17" i="11"/>
  <c r="AH27" i="11" a="1"/>
  <c r="AH27" i="11"/>
  <c r="AK27" i="11"/>
  <c r="AJ27" i="11"/>
  <c r="AL27" i="11"/>
  <c r="AI27" i="11"/>
  <c r="AM27" i="11"/>
  <c r="AH19" i="10" a="1"/>
  <c r="AH19" i="10"/>
  <c r="AI19" i="10"/>
  <c r="AM19" i="10"/>
  <c r="AJ19" i="10"/>
  <c r="AL19" i="10"/>
  <c r="AK19" i="10"/>
  <c r="AH11" i="10" a="1"/>
  <c r="AH11" i="10"/>
  <c r="AI11" i="10"/>
  <c r="AM11" i="10"/>
  <c r="AJ11" i="10"/>
  <c r="AL11" i="10"/>
  <c r="AK11" i="10"/>
  <c r="AI26" i="12" a="1"/>
  <c r="AI26" i="12"/>
  <c r="AN26" i="12"/>
  <c r="AJ26" i="12"/>
  <c r="AL26" i="12"/>
  <c r="AM26" i="12"/>
  <c r="AK26" i="12"/>
  <c r="AI10" i="12" a="1"/>
  <c r="AI10" i="12"/>
  <c r="AN10" i="12"/>
  <c r="AJ10" i="12"/>
  <c r="AL10" i="12"/>
  <c r="AM10" i="12"/>
  <c r="AK10" i="12"/>
  <c r="AH27" i="10" a="1"/>
  <c r="AH27" i="10"/>
  <c r="AI27" i="10"/>
  <c r="AM27" i="10"/>
  <c r="AJ27" i="10"/>
  <c r="AL27" i="10"/>
  <c r="AK27" i="10"/>
  <c r="AI30" i="12" a="1"/>
  <c r="AI30" i="12"/>
  <c r="AL30" i="12"/>
  <c r="AN30" i="12"/>
  <c r="AJ30" i="12"/>
  <c r="AM30" i="12"/>
  <c r="AK30" i="12"/>
  <c r="AI14" i="12" a="1"/>
  <c r="AI14" i="12"/>
  <c r="AL14" i="12"/>
  <c r="AN14" i="12"/>
  <c r="AJ14" i="12"/>
  <c r="AM14" i="12"/>
  <c r="AK14" i="12"/>
  <c r="AH15" i="10" a="1"/>
  <c r="AH15" i="10"/>
  <c r="AM15" i="10"/>
  <c r="AI15" i="10"/>
  <c r="AJ15" i="10"/>
  <c r="AL15" i="10"/>
  <c r="AK15" i="10"/>
  <c r="AH23" i="10" a="1"/>
  <c r="AH23" i="10"/>
  <c r="AM23" i="10"/>
  <c r="AI23" i="10"/>
  <c r="AJ23" i="10"/>
  <c r="AL23" i="10"/>
  <c r="AK23" i="10"/>
  <c r="AH10" i="10" a="1"/>
  <c r="AH10" i="10"/>
  <c r="AJ10" i="10"/>
  <c r="AK10" i="10"/>
  <c r="AI10" i="10"/>
  <c r="AM10" i="10"/>
  <c r="AL10" i="10"/>
  <c r="AH14" i="10" a="1"/>
  <c r="AH14" i="10"/>
  <c r="AJ14" i="10"/>
  <c r="AK14" i="10"/>
  <c r="AI14" i="10"/>
  <c r="AM14" i="10"/>
  <c r="AL14" i="10"/>
  <c r="AH18" i="10" a="1"/>
  <c r="AH18" i="10"/>
  <c r="AJ18" i="10"/>
  <c r="AK18" i="10"/>
  <c r="AI18" i="10"/>
  <c r="AM18" i="10"/>
  <c r="AL18" i="10"/>
  <c r="AH22" i="10" a="1"/>
  <c r="AH22" i="10"/>
  <c r="AJ22" i="10"/>
  <c r="AK22" i="10"/>
  <c r="AI22" i="10"/>
  <c r="AM22" i="10"/>
  <c r="AL22" i="10"/>
  <c r="AH26" i="10" a="1"/>
  <c r="AH26" i="10"/>
  <c r="AJ26" i="10"/>
  <c r="AK26" i="10"/>
  <c r="AI26" i="10"/>
  <c r="AM26" i="10"/>
  <c r="AL26" i="10"/>
  <c r="AH30" i="10" a="1"/>
  <c r="AH30" i="10"/>
  <c r="AJ30" i="10"/>
  <c r="AK30" i="10"/>
  <c r="AI30" i="10"/>
  <c r="AM30" i="10"/>
  <c r="AL30" i="10"/>
  <c r="AI18" i="12" a="1"/>
  <c r="AI18" i="12"/>
  <c r="AJ18" i="12"/>
  <c r="AL18" i="12"/>
  <c r="AN18" i="12"/>
  <c r="AM18" i="12"/>
  <c r="AK18" i="12"/>
  <c r="AI22" i="12" a="1"/>
  <c r="AI22" i="12"/>
  <c r="AL22" i="12"/>
  <c r="AN22" i="12"/>
  <c r="AJ22" i="12"/>
  <c r="AM22" i="12"/>
  <c r="AK22" i="12"/>
  <c r="AI9" i="12" a="1"/>
  <c r="AI9" i="12"/>
  <c r="AM9" i="12"/>
  <c r="AK9" i="12"/>
  <c r="AJ9" i="12"/>
  <c r="AN9" i="12"/>
  <c r="AL9" i="12"/>
  <c r="AI13" i="12" a="1"/>
  <c r="AI13" i="12"/>
  <c r="AK13" i="12"/>
  <c r="AM13" i="12"/>
  <c r="AJ13" i="12"/>
  <c r="AN13" i="12"/>
  <c r="AL13" i="12"/>
  <c r="AI17" i="12" a="1"/>
  <c r="AI17" i="12"/>
  <c r="AK17" i="12"/>
  <c r="AM17" i="12"/>
  <c r="AJ17" i="12"/>
  <c r="AN17" i="12"/>
  <c r="AL17" i="12"/>
  <c r="AI21" i="12" a="1"/>
  <c r="AI21" i="12"/>
  <c r="AK21" i="12"/>
  <c r="AM21" i="12"/>
  <c r="AJ21" i="12"/>
  <c r="AN21" i="12"/>
  <c r="AL21" i="12"/>
  <c r="AI25" i="12" a="1"/>
  <c r="AI25" i="12"/>
  <c r="AM25" i="12"/>
  <c r="AK25" i="12"/>
  <c r="AJ25" i="12"/>
  <c r="AN25" i="12"/>
  <c r="AL25" i="12"/>
  <c r="AI29" i="12" a="1"/>
  <c r="AI29" i="12"/>
  <c r="AM29" i="12"/>
  <c r="AK29" i="12"/>
  <c r="AJ29" i="12"/>
  <c r="AN29" i="12"/>
  <c r="AL29" i="12"/>
  <c r="AI11" i="12" a="1"/>
  <c r="AI11" i="12"/>
  <c r="AK11" i="12"/>
  <c r="AM11" i="12"/>
  <c r="AL11" i="12"/>
  <c r="AJ11" i="12"/>
  <c r="AN11" i="12"/>
  <c r="AI15" i="12" a="1"/>
  <c r="AI15" i="12"/>
  <c r="AK15" i="12"/>
  <c r="AM15" i="12"/>
  <c r="AL15" i="12"/>
  <c r="AJ15" i="12"/>
  <c r="AN15" i="12"/>
  <c r="AI19" i="12" a="1"/>
  <c r="AI19" i="12"/>
  <c r="AM19" i="12"/>
  <c r="AK19" i="12"/>
  <c r="AL19" i="12"/>
  <c r="AJ19" i="12"/>
  <c r="AN19" i="12"/>
  <c r="AI23" i="12" a="1"/>
  <c r="AI23" i="12"/>
  <c r="AK23" i="12"/>
  <c r="AM23" i="12"/>
  <c r="AL23" i="12"/>
  <c r="AJ23" i="12"/>
  <c r="AN23" i="12"/>
  <c r="AI27" i="12" a="1"/>
  <c r="AI27" i="12"/>
  <c r="AK27" i="12"/>
  <c r="AM27" i="12"/>
  <c r="AL27" i="12"/>
  <c r="AJ27" i="12"/>
  <c r="AN27" i="12"/>
  <c r="X24" i="9"/>
  <c r="S24" i="9"/>
  <c r="Q24" i="9"/>
  <c r="X22" i="9"/>
  <c r="S22" i="9"/>
  <c r="X20" i="9"/>
  <c r="S20" i="9"/>
  <c r="Q20" i="9"/>
  <c r="W24" i="9"/>
  <c r="W22" i="9"/>
  <c r="W20" i="9"/>
  <c r="U23" i="9"/>
  <c r="W23" i="9"/>
  <c r="S23" i="9"/>
  <c r="S21" i="9"/>
  <c r="N21" i="9"/>
  <c r="U21" i="9"/>
  <c r="O23" i="9"/>
  <c r="Q23" i="9"/>
  <c r="O24" i="9"/>
  <c r="V22" i="9"/>
  <c r="T23" i="9"/>
  <c r="AI8" i="12" a="1"/>
  <c r="AI8" i="12"/>
  <c r="AJ8" i="12"/>
  <c r="AL8" i="12"/>
  <c r="AN8" i="12"/>
  <c r="AK8" i="12"/>
  <c r="AI4" i="12"/>
  <c r="AM8" i="12"/>
  <c r="AI24" i="12" a="1"/>
  <c r="AI24" i="12"/>
  <c r="AJ24" i="12"/>
  <c r="AL24" i="12"/>
  <c r="AN24" i="12"/>
  <c r="AK24" i="12"/>
  <c r="AM24" i="12"/>
  <c r="AH24" i="10" a="1"/>
  <c r="AH24" i="10"/>
  <c r="AL24" i="10"/>
  <c r="AI24" i="10"/>
  <c r="AM24" i="10"/>
  <c r="AK24" i="10"/>
  <c r="AJ24" i="10"/>
  <c r="AH8" i="10" a="1"/>
  <c r="AH8" i="10"/>
  <c r="AL8" i="10"/>
  <c r="AI8" i="10"/>
  <c r="AM8" i="10"/>
  <c r="AK8" i="10"/>
  <c r="AJ8" i="10"/>
  <c r="AH17" i="10" a="1"/>
  <c r="AH17" i="10"/>
  <c r="AK17" i="10"/>
  <c r="AL17" i="10"/>
  <c r="AJ17" i="10"/>
  <c r="AI17" i="10"/>
  <c r="AM17" i="10"/>
  <c r="T24" i="9"/>
  <c r="T22" i="9"/>
  <c r="O22" i="9"/>
  <c r="T20" i="9"/>
  <c r="O20" i="9"/>
  <c r="U20" i="9"/>
  <c r="P21" i="9"/>
  <c r="O21" i="9"/>
  <c r="P24" i="9"/>
  <c r="V24" i="9"/>
  <c r="R24" i="9"/>
  <c r="P22" i="9"/>
  <c r="R22" i="9"/>
  <c r="N22" i="9"/>
  <c r="P20" i="9"/>
  <c r="V20" i="9"/>
  <c r="R20" i="9"/>
  <c r="U24" i="9"/>
  <c r="U22" i="9"/>
  <c r="R23" i="9"/>
  <c r="X23" i="9"/>
  <c r="V21" i="9"/>
  <c r="T21" i="9"/>
  <c r="Q21" i="9"/>
  <c r="AI12" i="12" a="1"/>
  <c r="AI12" i="12"/>
  <c r="AN12" i="12"/>
  <c r="AJ12" i="12"/>
  <c r="AL12" i="12"/>
  <c r="AK12" i="12"/>
  <c r="AM12" i="12"/>
  <c r="AI28" i="12" a="1"/>
  <c r="AI28" i="12"/>
  <c r="AL28" i="12"/>
  <c r="AN28" i="12"/>
  <c r="AJ28" i="12"/>
  <c r="AK28" i="12"/>
  <c r="AM28" i="12"/>
  <c r="AH20" i="10" a="1"/>
  <c r="AH20" i="10"/>
  <c r="AL20" i="10"/>
  <c r="AM20" i="10"/>
  <c r="AI20" i="10"/>
  <c r="AK20" i="10"/>
  <c r="AJ20" i="10"/>
  <c r="AH29" i="10" a="1"/>
  <c r="AH29" i="10"/>
  <c r="AK29" i="10"/>
  <c r="AL29" i="10"/>
  <c r="AJ29" i="10"/>
  <c r="AI29" i="10"/>
  <c r="AM29" i="10"/>
  <c r="AH13" i="10" a="1"/>
  <c r="AH13" i="10"/>
  <c r="AK13" i="10"/>
  <c r="AL13" i="10"/>
  <c r="AJ13" i="10"/>
  <c r="AI13" i="10"/>
  <c r="AM13" i="10"/>
  <c r="R21" i="9"/>
  <c r="AI20" i="12" a="1"/>
  <c r="AI20" i="12"/>
  <c r="AJ20" i="12"/>
  <c r="AL20" i="12"/>
  <c r="AN20" i="12"/>
  <c r="AK20" i="12"/>
  <c r="AM20" i="12"/>
  <c r="AH28" i="10" a="1"/>
  <c r="AH28" i="10"/>
  <c r="AL28" i="10"/>
  <c r="AM28" i="10"/>
  <c r="AI28" i="10"/>
  <c r="AK28" i="10"/>
  <c r="AJ28" i="10"/>
  <c r="AH12" i="10" a="1"/>
  <c r="AH12" i="10"/>
  <c r="AL12" i="10"/>
  <c r="AM12" i="10"/>
  <c r="AI12" i="10"/>
  <c r="AK12" i="10"/>
  <c r="AJ12" i="10"/>
  <c r="N20" i="9"/>
  <c r="N24" i="9"/>
  <c r="Q22" i="9"/>
  <c r="N23" i="9"/>
  <c r="P23" i="9"/>
  <c r="W21" i="9"/>
  <c r="X21" i="9"/>
  <c r="AI16" i="12" a="1"/>
  <c r="AI16" i="12"/>
  <c r="AL16" i="12"/>
  <c r="AN16" i="12"/>
  <c r="AJ16" i="12"/>
  <c r="AK16" i="12"/>
  <c r="AM16" i="12"/>
  <c r="AH16" i="10" a="1"/>
  <c r="AH16" i="10"/>
  <c r="AL16" i="10"/>
  <c r="AI16" i="10"/>
  <c r="AM16" i="10"/>
  <c r="AK16" i="10"/>
  <c r="AJ16" i="10"/>
  <c r="AH25" i="10" a="1"/>
  <c r="AH25" i="10"/>
  <c r="AK25" i="10"/>
  <c r="AL25" i="10"/>
  <c r="AJ25" i="10"/>
  <c r="AI25" i="10"/>
  <c r="AM25" i="10"/>
  <c r="AH9" i="10" a="1"/>
  <c r="AH9" i="10"/>
  <c r="AK9" i="10"/>
  <c r="AL9" i="10"/>
  <c r="AJ9" i="10"/>
  <c r="AI9" i="10"/>
  <c r="AM9" i="10"/>
  <c r="AH21" i="10" a="1"/>
  <c r="AH21" i="10"/>
  <c r="AK21" i="10"/>
  <c r="AL21" i="10"/>
  <c r="AJ21" i="10"/>
  <c r="AI21" i="10"/>
  <c r="AM21" i="10"/>
  <c r="V23" i="9"/>
  <c r="S31" i="9"/>
  <c r="S39" i="9"/>
  <c r="N31" i="9"/>
  <c r="N39" i="9"/>
  <c r="T39" i="9"/>
  <c r="T31" i="9"/>
  <c r="X40" i="9"/>
  <c r="X32" i="9"/>
  <c r="O40" i="9"/>
  <c r="O32" i="9"/>
  <c r="N32" i="9"/>
  <c r="N40" i="9"/>
  <c r="V29" i="9"/>
  <c r="V37" i="9"/>
  <c r="Q37" i="9"/>
  <c r="Q29" i="9"/>
  <c r="W29" i="9"/>
  <c r="W37" i="9"/>
  <c r="W36" i="9"/>
  <c r="W28" i="9"/>
  <c r="N28" i="9"/>
  <c r="N36" i="9"/>
  <c r="X30" i="9"/>
  <c r="X38" i="9"/>
  <c r="S38" i="9"/>
  <c r="S30" i="9"/>
  <c r="Q30" i="9"/>
  <c r="Q38" i="9"/>
  <c r="O38" i="9"/>
  <c r="O30" i="9"/>
  <c r="V38" i="9"/>
  <c r="V30" i="9"/>
  <c r="R38" i="9"/>
  <c r="R30" i="9"/>
  <c r="N38" i="9"/>
  <c r="N30" i="9"/>
  <c r="W39" i="9"/>
  <c r="W31" i="9"/>
  <c r="R31" i="9"/>
  <c r="R39" i="9"/>
  <c r="P39" i="9"/>
  <c r="P31" i="9"/>
  <c r="Q32" i="9"/>
  <c r="Q40" i="9"/>
  <c r="V32" i="9"/>
  <c r="V40" i="9"/>
  <c r="V28" i="9"/>
  <c r="V36" i="9"/>
  <c r="R28" i="9"/>
  <c r="R36" i="9"/>
  <c r="W38" i="9"/>
  <c r="W30" i="9"/>
  <c r="U38" i="9"/>
  <c r="U30" i="9"/>
  <c r="O39" i="9"/>
  <c r="O31" i="9"/>
  <c r="U39" i="9"/>
  <c r="U31" i="9"/>
  <c r="Q39" i="9"/>
  <c r="Q31" i="9"/>
  <c r="T40" i="9"/>
  <c r="T32" i="9"/>
  <c r="S40" i="9"/>
  <c r="S32" i="9"/>
  <c r="R29" i="9"/>
  <c r="R37" i="9"/>
  <c r="X37" i="9"/>
  <c r="X29" i="9"/>
  <c r="O29" i="9"/>
  <c r="O37" i="9"/>
  <c r="X36" i="9"/>
  <c r="X28" i="9"/>
  <c r="S36" i="9"/>
  <c r="S28" i="9"/>
  <c r="Q28" i="9"/>
  <c r="Q36" i="9"/>
  <c r="T30" i="9"/>
  <c r="T38" i="9"/>
  <c r="P30" i="9"/>
  <c r="P38" i="9"/>
  <c r="V31" i="9"/>
  <c r="V39" i="9"/>
  <c r="X39" i="9"/>
  <c r="X31" i="9"/>
  <c r="U32" i="9"/>
  <c r="U40" i="9"/>
  <c r="P40" i="9"/>
  <c r="P32" i="9"/>
  <c r="R32" i="9"/>
  <c r="R40" i="9"/>
  <c r="N29" i="9"/>
  <c r="N37" i="9"/>
  <c r="P37" i="9"/>
  <c r="P29" i="9"/>
  <c r="T37" i="9"/>
  <c r="T29" i="9"/>
  <c r="T36" i="9"/>
  <c r="T28" i="9"/>
  <c r="O36" i="9"/>
  <c r="O28" i="9"/>
  <c r="U28" i="9"/>
  <c r="U36" i="9"/>
  <c r="W40" i="9"/>
  <c r="W32" i="9"/>
  <c r="U37" i="9"/>
  <c r="U29" i="9"/>
  <c r="S29" i="9"/>
  <c r="S37" i="9"/>
  <c r="P36" i="9"/>
  <c r="P28" i="9"/>
  <c r="C67" i="10"/>
  <c r="C86" i="10"/>
  <c r="D33" i="11"/>
  <c r="C80" i="11"/>
  <c r="C88" i="11"/>
  <c r="C90" i="11"/>
  <c r="C94" i="11"/>
  <c r="C95" i="11"/>
  <c r="D22" i="9"/>
  <c r="D21" i="14"/>
  <c r="C32" i="10"/>
  <c r="C80" i="10"/>
  <c r="C88" i="10"/>
  <c r="C90" i="10"/>
  <c r="C94" i="10"/>
  <c r="C95" i="10"/>
  <c r="D21" i="9"/>
  <c r="D20" i="14"/>
  <c r="I41" i="9"/>
  <c r="D24" i="9"/>
  <c r="D35" i="9"/>
  <c r="D36" i="9"/>
  <c r="D38" i="9"/>
  <c r="V47" i="9"/>
  <c r="V63" i="9"/>
  <c r="D9" i="9"/>
  <c r="V79" i="9"/>
  <c r="V87" i="9"/>
  <c r="I42" i="9"/>
  <c r="V55" i="9"/>
  <c r="V71" i="9"/>
  <c r="O44" i="9"/>
  <c r="O60" i="9"/>
  <c r="V48" i="9"/>
  <c r="V64" i="9"/>
  <c r="V80" i="9"/>
  <c r="V88" i="9"/>
  <c r="T53" i="9"/>
  <c r="T69" i="9"/>
  <c r="X53" i="9"/>
  <c r="X69" i="9"/>
  <c r="N53" i="9"/>
  <c r="N69" i="9"/>
  <c r="N77" i="9"/>
  <c r="N85" i="9"/>
  <c r="W53" i="9"/>
  <c r="W69" i="9"/>
  <c r="P47" i="9"/>
  <c r="P63" i="9"/>
  <c r="N47" i="9"/>
  <c r="N63" i="9"/>
  <c r="S47" i="9"/>
  <c r="S63" i="9"/>
  <c r="X45" i="9"/>
  <c r="X61" i="9"/>
  <c r="X77" i="9"/>
  <c r="X85" i="9"/>
  <c r="R45" i="9"/>
  <c r="R61" i="9"/>
  <c r="W45" i="9"/>
  <c r="W61" i="9"/>
  <c r="W77" i="9"/>
  <c r="W85" i="9"/>
  <c r="P55" i="9"/>
  <c r="P71" i="9"/>
  <c r="P79" i="9"/>
  <c r="P87" i="9"/>
  <c r="T55" i="9"/>
  <c r="T71" i="9"/>
  <c r="N55" i="9"/>
  <c r="N71" i="9"/>
  <c r="N79" i="9"/>
  <c r="N87" i="9"/>
  <c r="V44" i="9"/>
  <c r="V60" i="9"/>
  <c r="V76" i="9"/>
  <c r="V84" i="9"/>
  <c r="P44" i="9"/>
  <c r="P60" i="9"/>
  <c r="Q44" i="9"/>
  <c r="Q60" i="9"/>
  <c r="O46" i="9"/>
  <c r="O62" i="9"/>
  <c r="P46" i="9"/>
  <c r="P62" i="9"/>
  <c r="Q46" i="9"/>
  <c r="Q62" i="9"/>
  <c r="N48" i="9"/>
  <c r="N64" i="9"/>
  <c r="P48" i="9"/>
  <c r="P64" i="9"/>
  <c r="Q48" i="9"/>
  <c r="Q64" i="9"/>
  <c r="N52" i="9"/>
  <c r="N68" i="9"/>
  <c r="N76" i="9"/>
  <c r="N84" i="9"/>
  <c r="W52" i="9"/>
  <c r="W68" i="9"/>
  <c r="Q54" i="9"/>
  <c r="Q70" i="9"/>
  <c r="Q78" i="9"/>
  <c r="Q86" i="9"/>
  <c r="U54" i="9"/>
  <c r="U70" i="9"/>
  <c r="W54" i="9"/>
  <c r="W70" i="9"/>
  <c r="U56" i="9"/>
  <c r="U72" i="9"/>
  <c r="N56" i="9"/>
  <c r="N72" i="9"/>
  <c r="N80" i="9"/>
  <c r="N88" i="9"/>
  <c r="W56" i="9"/>
  <c r="W72" i="9"/>
  <c r="Q45" i="9"/>
  <c r="Q61" i="9"/>
  <c r="O45" i="9"/>
  <c r="O61" i="9"/>
  <c r="O55" i="9"/>
  <c r="O71" i="9"/>
  <c r="O79" i="9"/>
  <c r="O87" i="9"/>
  <c r="Q55" i="9"/>
  <c r="Q71" i="9"/>
  <c r="Q79" i="9"/>
  <c r="Q87" i="9"/>
  <c r="N44" i="9"/>
  <c r="N60" i="9"/>
  <c r="R46" i="9"/>
  <c r="R62" i="9"/>
  <c r="X46" i="9"/>
  <c r="X62" i="9"/>
  <c r="X78" i="9"/>
  <c r="X86" i="9"/>
  <c r="X48" i="9"/>
  <c r="X64" i="9"/>
  <c r="X80" i="9"/>
  <c r="X88" i="9"/>
  <c r="R53" i="9"/>
  <c r="R69" i="9"/>
  <c r="R77" i="9"/>
  <c r="R85" i="9"/>
  <c r="S53" i="9"/>
  <c r="S69" i="9"/>
  <c r="S77" i="9"/>
  <c r="S85" i="9"/>
  <c r="Q53" i="9"/>
  <c r="Q69" i="9"/>
  <c r="Q77" i="9"/>
  <c r="Q85" i="9"/>
  <c r="V53" i="9"/>
  <c r="V69" i="9"/>
  <c r="X47" i="9"/>
  <c r="X63" i="9"/>
  <c r="X79" i="9"/>
  <c r="X87" i="9"/>
  <c r="R47" i="9"/>
  <c r="R63" i="9"/>
  <c r="W47" i="9"/>
  <c r="W63" i="9"/>
  <c r="W79" i="9"/>
  <c r="W87" i="9"/>
  <c r="P45" i="9"/>
  <c r="P61" i="9"/>
  <c r="T45" i="9"/>
  <c r="T61" i="9"/>
  <c r="T77" i="9"/>
  <c r="T85" i="9"/>
  <c r="V45" i="9"/>
  <c r="V61" i="9"/>
  <c r="V77" i="9"/>
  <c r="V85" i="9"/>
  <c r="X55" i="9"/>
  <c r="X71" i="9"/>
  <c r="R55" i="9"/>
  <c r="R71" i="9"/>
  <c r="R79" i="9"/>
  <c r="R87" i="9"/>
  <c r="R44" i="9"/>
  <c r="R60" i="9"/>
  <c r="T44" i="9"/>
  <c r="T60" i="9"/>
  <c r="T76" i="9"/>
  <c r="T84" i="9"/>
  <c r="U44" i="9"/>
  <c r="U60" i="9"/>
  <c r="U76" i="9"/>
  <c r="U84" i="9"/>
  <c r="N46" i="9"/>
  <c r="N62" i="9"/>
  <c r="T46" i="9"/>
  <c r="T62" i="9"/>
  <c r="T78" i="9"/>
  <c r="T86" i="9"/>
  <c r="U46" i="9"/>
  <c r="U62" i="9"/>
  <c r="U78" i="9"/>
  <c r="U86" i="9"/>
  <c r="R48" i="9"/>
  <c r="R64" i="9"/>
  <c r="T48" i="9"/>
  <c r="T64" i="9"/>
  <c r="T80" i="9"/>
  <c r="T88" i="9"/>
  <c r="U48" i="9"/>
  <c r="U64" i="9"/>
  <c r="U80" i="9"/>
  <c r="U88" i="9"/>
  <c r="R52" i="9"/>
  <c r="R68" i="9"/>
  <c r="R76" i="9"/>
  <c r="R84" i="9"/>
  <c r="V52" i="9"/>
  <c r="V68" i="9"/>
  <c r="P52" i="9"/>
  <c r="P68" i="9"/>
  <c r="P76" i="9"/>
  <c r="P84" i="9"/>
  <c r="N54" i="9"/>
  <c r="N70" i="9"/>
  <c r="N78" i="9"/>
  <c r="N86" i="9"/>
  <c r="R54" i="9"/>
  <c r="R70" i="9"/>
  <c r="R78" i="9"/>
  <c r="R86" i="9"/>
  <c r="P54" i="9"/>
  <c r="P70" i="9"/>
  <c r="P78" i="9"/>
  <c r="P86" i="9"/>
  <c r="R56" i="9"/>
  <c r="R72" i="9"/>
  <c r="R80" i="9"/>
  <c r="R88" i="9"/>
  <c r="V56" i="9"/>
  <c r="V72" i="9"/>
  <c r="P56" i="9"/>
  <c r="P72" i="9"/>
  <c r="P80" i="9"/>
  <c r="P88" i="9"/>
  <c r="O53" i="9"/>
  <c r="O69" i="9"/>
  <c r="O77" i="9"/>
  <c r="O85" i="9"/>
  <c r="P53" i="9"/>
  <c r="P69" i="9"/>
  <c r="P77" i="9"/>
  <c r="P85" i="9"/>
  <c r="U53" i="9"/>
  <c r="U69" i="9"/>
  <c r="U52" i="9"/>
  <c r="U68" i="9"/>
  <c r="O52" i="9"/>
  <c r="O68" i="9"/>
  <c r="O76" i="9"/>
  <c r="O84" i="9"/>
  <c r="T52" i="9"/>
  <c r="T68" i="9"/>
  <c r="V54" i="9"/>
  <c r="V70" i="9"/>
  <c r="O54" i="9"/>
  <c r="O70" i="9"/>
  <c r="O78" i="9"/>
  <c r="O86" i="9"/>
  <c r="T54" i="9"/>
  <c r="T70" i="9"/>
  <c r="O56" i="9"/>
  <c r="O72" i="9"/>
  <c r="O80" i="9"/>
  <c r="O88" i="9"/>
  <c r="T56" i="9"/>
  <c r="T72" i="9"/>
  <c r="E34" i="9"/>
  <c r="B5" i="17" a="1"/>
  <c r="B6" i="17"/>
  <c r="B2" i="17"/>
  <c r="D7" i="17"/>
  <c r="F8" i="17"/>
  <c r="B10" i="17"/>
  <c r="D11" i="17"/>
  <c r="F12" i="17"/>
  <c r="G13" i="17"/>
  <c r="F14" i="17"/>
  <c r="E15" i="17"/>
  <c r="E16" i="17"/>
  <c r="D17" i="17"/>
  <c r="C18" i="17"/>
  <c r="C19" i="17"/>
  <c r="B20" i="17"/>
  <c r="G20" i="17"/>
  <c r="G21" i="17"/>
  <c r="F22" i="17"/>
  <c r="E23" i="17"/>
  <c r="E24" i="17"/>
  <c r="D25" i="17"/>
  <c r="C26" i="17"/>
  <c r="D5" i="17"/>
  <c r="F6" i="17"/>
  <c r="B8" i="17"/>
  <c r="D9" i="17"/>
  <c r="F10" i="17"/>
  <c r="B12" i="17"/>
  <c r="D13" i="17"/>
  <c r="C14" i="17"/>
  <c r="C15" i="17"/>
  <c r="B16" i="17"/>
  <c r="G16" i="17"/>
  <c r="G17" i="17"/>
  <c r="F18" i="17"/>
  <c r="E19" i="17"/>
  <c r="E20" i="17"/>
  <c r="D21" i="17"/>
  <c r="C22" i="17"/>
  <c r="C23" i="17"/>
  <c r="B24" i="17"/>
  <c r="G24" i="17"/>
  <c r="G25" i="17"/>
  <c r="F26" i="17"/>
  <c r="E27" i="17"/>
  <c r="E28" i="17"/>
  <c r="D29" i="17"/>
  <c r="C30" i="17"/>
  <c r="C31" i="17"/>
  <c r="B32" i="17"/>
  <c r="G32" i="17"/>
  <c r="G33" i="17"/>
  <c r="F34" i="17"/>
  <c r="E35" i="17"/>
  <c r="E36" i="17"/>
  <c r="D37" i="17"/>
  <c r="C38" i="17"/>
  <c r="C39" i="17"/>
  <c r="B40" i="17"/>
  <c r="G40" i="17"/>
  <c r="G41" i="17"/>
  <c r="F42" i="17"/>
  <c r="E43" i="17"/>
  <c r="E44" i="17"/>
  <c r="D45" i="17"/>
  <c r="C46" i="17"/>
  <c r="C47" i="17"/>
  <c r="B48" i="17"/>
  <c r="G48" i="17"/>
  <c r="G49" i="17"/>
  <c r="F50" i="17"/>
  <c r="E51" i="17"/>
  <c r="E52" i="17"/>
  <c r="D53" i="17"/>
  <c r="C54" i="17"/>
  <c r="C55" i="17"/>
  <c r="B56" i="17"/>
  <c r="G56" i="17"/>
  <c r="G57" i="17"/>
  <c r="F58" i="17"/>
  <c r="E59" i="17"/>
  <c r="E60" i="17"/>
  <c r="D61" i="17"/>
  <c r="B62" i="17"/>
  <c r="F62" i="17"/>
  <c r="D63" i="17"/>
  <c r="B64" i="17"/>
  <c r="F64" i="17"/>
  <c r="D65" i="17"/>
  <c r="B66" i="17"/>
  <c r="F66" i="17"/>
  <c r="D67" i="17"/>
  <c r="B68" i="17"/>
  <c r="F68" i="17"/>
  <c r="D69" i="17"/>
  <c r="B70" i="17"/>
  <c r="F70" i="17"/>
  <c r="D71" i="17"/>
  <c r="B72" i="17"/>
  <c r="F72" i="17"/>
  <c r="D73" i="17"/>
  <c r="B74" i="17"/>
  <c r="F74" i="17"/>
  <c r="D75" i="17"/>
  <c r="B76" i="17"/>
  <c r="F76" i="17"/>
  <c r="D77" i="17"/>
  <c r="E7" i="17"/>
  <c r="C10" i="17"/>
  <c r="G12" i="17"/>
  <c r="G14" i="17"/>
  <c r="F16" i="17"/>
  <c r="E5" i="17"/>
  <c r="C8" i="17"/>
  <c r="G10" i="17"/>
  <c r="E13" i="17"/>
  <c r="D15" i="17"/>
  <c r="C17" i="17"/>
  <c r="G18" i="17"/>
  <c r="F20" i="17"/>
  <c r="E22" i="17"/>
  <c r="C24" i="17"/>
  <c r="B26" i="17"/>
  <c r="D27" i="17"/>
  <c r="F28" i="17"/>
  <c r="G29" i="17"/>
  <c r="G30" i="17"/>
  <c r="C32" i="17"/>
  <c r="D33" i="17"/>
  <c r="E34" i="17"/>
  <c r="G35" i="17"/>
  <c r="G36" i="17"/>
  <c r="B38" i="17"/>
  <c r="D39" i="17"/>
  <c r="E40" i="17"/>
  <c r="E41" i="17"/>
  <c r="G42" i="17"/>
  <c r="B44" i="17"/>
  <c r="C45" i="17"/>
  <c r="E46" i="17"/>
  <c r="E47" i="17"/>
  <c r="F48" i="17"/>
  <c r="B50" i="17"/>
  <c r="C51" i="17"/>
  <c r="C52" i="17"/>
  <c r="E53" i="17"/>
  <c r="F54" i="17"/>
  <c r="G55" i="17"/>
  <c r="C57" i="17"/>
  <c r="C58" i="17"/>
  <c r="D59" i="17"/>
  <c r="F60" i="17"/>
  <c r="F61" i="17"/>
  <c r="E62" i="17"/>
  <c r="E63" i="17"/>
  <c r="D64" i="17"/>
  <c r="C65" i="17"/>
  <c r="C66" i="17"/>
  <c r="B67" i="17"/>
  <c r="G67" i="17"/>
  <c r="G68" i="17"/>
  <c r="F69" i="17"/>
  <c r="E70" i="17"/>
  <c r="E71" i="17"/>
  <c r="D72" i="17"/>
  <c r="C73" i="17"/>
  <c r="C74" i="17"/>
  <c r="B75" i="17"/>
  <c r="G75" i="17"/>
  <c r="G76" i="17"/>
  <c r="F77" i="17"/>
  <c r="D78" i="17"/>
  <c r="B79" i="17"/>
  <c r="F79" i="17"/>
  <c r="D80" i="17"/>
  <c r="B81" i="17"/>
  <c r="F81" i="17"/>
  <c r="D82" i="17"/>
  <c r="B83" i="17"/>
  <c r="F83" i="17"/>
  <c r="D84" i="17"/>
  <c r="B85" i="17"/>
  <c r="F85" i="17"/>
  <c r="D86" i="17"/>
  <c r="B87" i="17"/>
  <c r="F87" i="17"/>
  <c r="D88" i="17"/>
  <c r="B89" i="17"/>
  <c r="F89" i="17"/>
  <c r="D90" i="17"/>
  <c r="B91" i="17"/>
  <c r="F91" i="17"/>
  <c r="D92" i="17"/>
  <c r="B93" i="17"/>
  <c r="F93" i="17"/>
  <c r="D94" i="17"/>
  <c r="B95" i="17"/>
  <c r="C6" i="17"/>
  <c r="E11" i="17"/>
  <c r="G15" i="17"/>
  <c r="E18" i="17"/>
  <c r="C21" i="17"/>
  <c r="D23" i="17"/>
  <c r="E25" i="17"/>
  <c r="G27" i="17"/>
  <c r="C29" i="17"/>
  <c r="F30" i="17"/>
  <c r="E32" i="17"/>
  <c r="B34" i="17"/>
  <c r="D35" i="17"/>
  <c r="C37" i="17"/>
  <c r="F38" i="17"/>
  <c r="C40" i="17"/>
  <c r="B42" i="17"/>
  <c r="D43" i="17"/>
  <c r="G44" i="17"/>
  <c r="F46" i="17"/>
  <c r="C48" i="17"/>
  <c r="E49" i="17"/>
  <c r="D51" i="17"/>
  <c r="G52" i="17"/>
  <c r="E54" i="17"/>
  <c r="C56" i="17"/>
  <c r="E57" i="17"/>
  <c r="C59" i="17"/>
  <c r="G60" i="17"/>
  <c r="C62" i="17"/>
  <c r="C63" i="17"/>
  <c r="E64" i="17"/>
  <c r="F65" i="17"/>
  <c r="G66" i="17"/>
  <c r="C68" i="17"/>
  <c r="C69" i="17"/>
  <c r="D70" i="17"/>
  <c r="F71" i="17"/>
  <c r="G72" i="17"/>
  <c r="G73" i="17"/>
  <c r="C75" i="17"/>
  <c r="D76" i="17"/>
  <c r="E77" i="17"/>
  <c r="E78" i="17"/>
  <c r="D79" i="17"/>
  <c r="C80" i="17"/>
  <c r="C81" i="17"/>
  <c r="B82" i="17"/>
  <c r="G82" i="17"/>
  <c r="G83" i="17"/>
  <c r="F84" i="17"/>
  <c r="E85" i="17"/>
  <c r="E86" i="17"/>
  <c r="D87" i="17"/>
  <c r="C88" i="17"/>
  <c r="C89" i="17"/>
  <c r="B90" i="17"/>
  <c r="G90" i="17"/>
  <c r="G91" i="17"/>
  <c r="F92" i="17"/>
  <c r="E93" i="17"/>
  <c r="E94" i="17"/>
  <c r="D95" i="17"/>
  <c r="B96" i="17"/>
  <c r="F96" i="17"/>
  <c r="D97" i="17"/>
  <c r="B98" i="17"/>
  <c r="F98" i="17"/>
  <c r="D99" i="17"/>
  <c r="B100" i="17"/>
  <c r="F100" i="17"/>
  <c r="D101" i="17"/>
  <c r="B102" i="17"/>
  <c r="F102" i="17"/>
  <c r="D103" i="17"/>
  <c r="B104" i="17"/>
  <c r="F104" i="17"/>
  <c r="D105" i="17"/>
  <c r="B106" i="17"/>
  <c r="F106" i="17"/>
  <c r="D107" i="17"/>
  <c r="B108" i="17"/>
  <c r="F108" i="17"/>
  <c r="D109" i="17"/>
  <c r="B110" i="17"/>
  <c r="G8" i="17"/>
  <c r="B14" i="17"/>
  <c r="E17" i="17"/>
  <c r="G19" i="17"/>
  <c r="B22" i="17"/>
  <c r="F24" i="17"/>
  <c r="G26" i="17"/>
  <c r="C28" i="17"/>
  <c r="B30" i="17"/>
  <c r="E31" i="17"/>
  <c r="C33" i="17"/>
  <c r="G34" i="17"/>
  <c r="C36" i="17"/>
  <c r="G37" i="17"/>
  <c r="E39" i="17"/>
  <c r="C41" i="17"/>
  <c r="E42" i="17"/>
  <c r="C44" i="17"/>
  <c r="G45" i="17"/>
  <c r="D47" i="17"/>
  <c r="C49" i="17"/>
  <c r="E50" i="17"/>
  <c r="B52" i="17"/>
  <c r="G53" i="17"/>
  <c r="D55" i="17"/>
  <c r="F56" i="17"/>
  <c r="E58" i="17"/>
  <c r="B60" i="17"/>
  <c r="E61" i="17"/>
  <c r="G62" i="17"/>
  <c r="G63" i="17"/>
  <c r="B65" i="17"/>
  <c r="D66" i="17"/>
  <c r="E67" i="17"/>
  <c r="E68" i="17"/>
  <c r="G69" i="17"/>
  <c r="B71" i="17"/>
  <c r="C72" i="17"/>
  <c r="E73" i="17"/>
  <c r="E74" i="17"/>
  <c r="F75" i="17"/>
  <c r="B77" i="17"/>
  <c r="B78" i="17"/>
  <c r="G78" i="17"/>
  <c r="G79" i="17"/>
  <c r="F80" i="17"/>
  <c r="E81" i="17"/>
  <c r="E82" i="17"/>
  <c r="D83" i="17"/>
  <c r="C84" i="17"/>
  <c r="C85" i="17"/>
  <c r="B86" i="17"/>
  <c r="G86" i="17"/>
  <c r="G87" i="17"/>
  <c r="F88" i="17"/>
  <c r="E89" i="17"/>
  <c r="E90" i="17"/>
  <c r="D91" i="17"/>
  <c r="C92" i="17"/>
  <c r="C93" i="17"/>
  <c r="B94" i="17"/>
  <c r="G94" i="17"/>
  <c r="F95" i="17"/>
  <c r="D96" i="17"/>
  <c r="B97" i="17"/>
  <c r="F97" i="17"/>
  <c r="D98" i="17"/>
  <c r="B99" i="17"/>
  <c r="F99" i="17"/>
  <c r="D100" i="17"/>
  <c r="B101" i="17"/>
  <c r="F101" i="17"/>
  <c r="D102" i="17"/>
  <c r="B103" i="17"/>
  <c r="F103" i="17"/>
  <c r="D104" i="17"/>
  <c r="B105" i="17"/>
  <c r="F105" i="17"/>
  <c r="D106" i="17"/>
  <c r="B107" i="17"/>
  <c r="F107" i="17"/>
  <c r="D108" i="17"/>
  <c r="B109" i="17"/>
  <c r="F109" i="17"/>
  <c r="D110" i="17"/>
  <c r="B111" i="17"/>
  <c r="F111" i="17"/>
  <c r="D112" i="17"/>
  <c r="B113" i="17"/>
  <c r="F113" i="17"/>
  <c r="D114" i="17"/>
  <c r="B115" i="17"/>
  <c r="F115" i="17"/>
  <c r="D116" i="17"/>
  <c r="B117" i="17"/>
  <c r="F117" i="17"/>
  <c r="D118" i="17"/>
  <c r="B119" i="17"/>
  <c r="F119" i="17"/>
  <c r="D120" i="17"/>
  <c r="B121" i="17"/>
  <c r="G6" i="17"/>
  <c r="C16" i="17"/>
  <c r="E21" i="17"/>
  <c r="E26" i="17"/>
  <c r="E29" i="17"/>
  <c r="F32" i="17"/>
  <c r="B36" i="17"/>
  <c r="G38" i="17"/>
  <c r="C42" i="17"/>
  <c r="E45" i="17"/>
  <c r="E48" i="17"/>
  <c r="G51" i="17"/>
  <c r="G54" i="17"/>
  <c r="B58" i="17"/>
  <c r="C61" i="17"/>
  <c r="F63" i="17"/>
  <c r="G65" i="17"/>
  <c r="D68" i="17"/>
  <c r="G70" i="17"/>
  <c r="B73" i="17"/>
  <c r="E75" i="17"/>
  <c r="G77" i="17"/>
  <c r="E79" i="17"/>
  <c r="D81" i="17"/>
  <c r="C83" i="17"/>
  <c r="G84" i="17"/>
  <c r="F86" i="17"/>
  <c r="E88" i="17"/>
  <c r="C90" i="17"/>
  <c r="B92" i="17"/>
  <c r="G93" i="17"/>
  <c r="E95" i="17"/>
  <c r="G96" i="17"/>
  <c r="C98" i="17"/>
  <c r="E99" i="17"/>
  <c r="G100" i="17"/>
  <c r="C102" i="17"/>
  <c r="E103" i="17"/>
  <c r="G104" i="17"/>
  <c r="C106" i="17"/>
  <c r="E107" i="17"/>
  <c r="G108" i="17"/>
  <c r="C110" i="17"/>
  <c r="C111" i="17"/>
  <c r="B112" i="17"/>
  <c r="G112" i="17"/>
  <c r="G113" i="17"/>
  <c r="F114" i="17"/>
  <c r="E115" i="17"/>
  <c r="E116" i="17"/>
  <c r="D117" i="17"/>
  <c r="C118" i="17"/>
  <c r="C119" i="17"/>
  <c r="B120" i="17"/>
  <c r="G120" i="17"/>
  <c r="F121" i="17"/>
  <c r="D122" i="17"/>
  <c r="B123" i="17"/>
  <c r="F123" i="17"/>
  <c r="D124" i="17"/>
  <c r="B125" i="17"/>
  <c r="F125" i="17"/>
  <c r="D126" i="17"/>
  <c r="B127" i="17"/>
  <c r="F127" i="17"/>
  <c r="D128" i="17"/>
  <c r="B129" i="17"/>
  <c r="F129" i="17"/>
  <c r="D130" i="17"/>
  <c r="B131" i="17"/>
  <c r="F131" i="17"/>
  <c r="D132" i="17"/>
  <c r="B133" i="17"/>
  <c r="F133" i="17"/>
  <c r="D134" i="17"/>
  <c r="B135" i="17"/>
  <c r="F135" i="17"/>
  <c r="D136" i="17"/>
  <c r="B137" i="17"/>
  <c r="F137" i="17"/>
  <c r="D138" i="17"/>
  <c r="B139" i="17"/>
  <c r="F139" i="17"/>
  <c r="D140" i="17"/>
  <c r="B141" i="17"/>
  <c r="F141" i="17"/>
  <c r="D142" i="17"/>
  <c r="B143" i="17"/>
  <c r="F143" i="17"/>
  <c r="D144" i="17"/>
  <c r="B145" i="17"/>
  <c r="F145" i="17"/>
  <c r="D146" i="17"/>
  <c r="B147" i="17"/>
  <c r="F147" i="17"/>
  <c r="D148" i="17"/>
  <c r="B149" i="17"/>
  <c r="F149" i="17"/>
  <c r="D150" i="17"/>
  <c r="B151" i="17"/>
  <c r="F151" i="17"/>
  <c r="D152" i="17"/>
  <c r="B153" i="17"/>
  <c r="F153" i="17"/>
  <c r="D154" i="17"/>
  <c r="B155" i="17"/>
  <c r="F155" i="17"/>
  <c r="D156" i="17"/>
  <c r="B157" i="17"/>
  <c r="F157" i="17"/>
  <c r="D158" i="17"/>
  <c r="B159" i="17"/>
  <c r="F159" i="17"/>
  <c r="D160" i="17"/>
  <c r="B161" i="17"/>
  <c r="F161" i="17"/>
  <c r="D162" i="17"/>
  <c r="B163" i="17"/>
  <c r="F163" i="17"/>
  <c r="D164" i="17"/>
  <c r="B165" i="17"/>
  <c r="F165" i="17"/>
  <c r="D166" i="17"/>
  <c r="B167" i="17"/>
  <c r="F167" i="17"/>
  <c r="D168" i="17"/>
  <c r="B169" i="17"/>
  <c r="F169" i="17"/>
  <c r="D170" i="17"/>
  <c r="B171" i="17"/>
  <c r="E9" i="17"/>
  <c r="B18" i="17"/>
  <c r="G22" i="17"/>
  <c r="C27" i="17"/>
  <c r="E30" i="17"/>
  <c r="E33" i="17"/>
  <c r="F36" i="17"/>
  <c r="G39" i="17"/>
  <c r="C43" i="17"/>
  <c r="B46" i="17"/>
  <c r="D49" i="17"/>
  <c r="F52" i="17"/>
  <c r="E55" i="17"/>
  <c r="G58" i="17"/>
  <c r="G61" i="17"/>
  <c r="C64" i="17"/>
  <c r="E66" i="17"/>
  <c r="B69" i="17"/>
  <c r="C71" i="17"/>
  <c r="F73" i="17"/>
  <c r="C76" i="17"/>
  <c r="C78" i="17"/>
  <c r="B80" i="17"/>
  <c r="G81" i="17"/>
  <c r="E83" i="17"/>
  <c r="D85" i="17"/>
  <c r="C87" i="17"/>
  <c r="G88" i="17"/>
  <c r="F90" i="17"/>
  <c r="E92" i="17"/>
  <c r="C94" i="17"/>
  <c r="G95" i="17"/>
  <c r="C97" i="17"/>
  <c r="E98" i="17"/>
  <c r="G99" i="17"/>
  <c r="C101" i="17"/>
  <c r="E102" i="17"/>
  <c r="G103" i="17"/>
  <c r="C105" i="17"/>
  <c r="E106" i="17"/>
  <c r="G107" i="17"/>
  <c r="C109" i="17"/>
  <c r="E110" i="17"/>
  <c r="D111" i="17"/>
  <c r="C112" i="17"/>
  <c r="C113" i="17"/>
  <c r="B114" i="17"/>
  <c r="G114" i="17"/>
  <c r="G115" i="17"/>
  <c r="F116" i="17"/>
  <c r="E117" i="17"/>
  <c r="E118" i="17"/>
  <c r="D119" i="17"/>
  <c r="C120" i="17"/>
  <c r="C121" i="17"/>
  <c r="G121" i="17"/>
  <c r="E122" i="17"/>
  <c r="C123" i="17"/>
  <c r="G123" i="17"/>
  <c r="E124" i="17"/>
  <c r="C125" i="17"/>
  <c r="G125" i="17"/>
  <c r="E126" i="17"/>
  <c r="C127" i="17"/>
  <c r="G127" i="17"/>
  <c r="E128" i="17"/>
  <c r="C129" i="17"/>
  <c r="G129" i="17"/>
  <c r="E130" i="17"/>
  <c r="C131" i="17"/>
  <c r="G131" i="17"/>
  <c r="E132" i="17"/>
  <c r="C133" i="17"/>
  <c r="G133" i="17"/>
  <c r="E134" i="17"/>
  <c r="C135" i="17"/>
  <c r="G135" i="17"/>
  <c r="E136" i="17"/>
  <c r="C137" i="17"/>
  <c r="G137" i="17"/>
  <c r="E138" i="17"/>
  <c r="C139" i="17"/>
  <c r="G139" i="17"/>
  <c r="E140" i="17"/>
  <c r="C141" i="17"/>
  <c r="G141" i="17"/>
  <c r="E142" i="17"/>
  <c r="C143" i="17"/>
  <c r="G143" i="17"/>
  <c r="E144" i="17"/>
  <c r="C145" i="17"/>
  <c r="G145" i="17"/>
  <c r="E146" i="17"/>
  <c r="C147" i="17"/>
  <c r="G147" i="17"/>
  <c r="E148" i="17"/>
  <c r="C149" i="17"/>
  <c r="G149" i="17"/>
  <c r="E150" i="17"/>
  <c r="C151" i="17"/>
  <c r="G151" i="17"/>
  <c r="E152" i="17"/>
  <c r="C153" i="17"/>
  <c r="G153" i="17"/>
  <c r="E154" i="17"/>
  <c r="C155" i="17"/>
  <c r="G155" i="17"/>
  <c r="E156" i="17"/>
  <c r="C157" i="17"/>
  <c r="G157" i="17"/>
  <c r="E158" i="17"/>
  <c r="C159" i="17"/>
  <c r="G159" i="17"/>
  <c r="E160" i="17"/>
  <c r="C161" i="17"/>
  <c r="G161" i="17"/>
  <c r="E162" i="17"/>
  <c r="C163" i="17"/>
  <c r="G163" i="17"/>
  <c r="E164" i="17"/>
  <c r="C165" i="17"/>
  <c r="G165" i="17"/>
  <c r="E166" i="17"/>
  <c r="C167" i="17"/>
  <c r="G167" i="17"/>
  <c r="E168" i="17"/>
  <c r="C169" i="17"/>
  <c r="G169" i="17"/>
  <c r="E170" i="17"/>
  <c r="C171" i="17"/>
  <c r="G171" i="17"/>
  <c r="E172" i="17"/>
  <c r="C173" i="17"/>
  <c r="G173" i="17"/>
  <c r="E174" i="17"/>
  <c r="C175" i="17"/>
  <c r="G175" i="17"/>
  <c r="E176" i="17"/>
  <c r="C177" i="17"/>
  <c r="G177" i="17"/>
  <c r="E178" i="17"/>
  <c r="C179" i="17"/>
  <c r="G179" i="17"/>
  <c r="E180" i="17"/>
  <c r="C181" i="17"/>
  <c r="G181" i="17"/>
  <c r="E182" i="17"/>
  <c r="C183" i="17"/>
  <c r="G183" i="17"/>
  <c r="E184" i="17"/>
  <c r="C185" i="17"/>
  <c r="G185" i="17"/>
  <c r="E186" i="17"/>
  <c r="C187" i="17"/>
  <c r="G187" i="17"/>
  <c r="E188" i="17"/>
  <c r="C189" i="17"/>
  <c r="G189" i="17"/>
  <c r="E190" i="17"/>
  <c r="C191" i="17"/>
  <c r="G191" i="17"/>
  <c r="E192" i="17"/>
  <c r="C193" i="17"/>
  <c r="G193" i="17"/>
  <c r="E194" i="17"/>
  <c r="C195" i="17"/>
  <c r="G195" i="17"/>
  <c r="E196" i="17"/>
  <c r="C197" i="17"/>
  <c r="G197" i="17"/>
  <c r="C12" i="17"/>
  <c r="G23" i="17"/>
  <c r="D31" i="17"/>
  <c r="E37" i="17"/>
  <c r="G43" i="17"/>
  <c r="C50" i="17"/>
  <c r="E56" i="17"/>
  <c r="D62" i="17"/>
  <c r="C67" i="17"/>
  <c r="G71" i="17"/>
  <c r="E76" i="17"/>
  <c r="E80" i="17"/>
  <c r="B84" i="17"/>
  <c r="E87" i="17"/>
  <c r="C91" i="17"/>
  <c r="F94" i="17"/>
  <c r="E97" i="17"/>
  <c r="C100" i="17"/>
  <c r="G102" i="17"/>
  <c r="E105" i="17"/>
  <c r="C108" i="17"/>
  <c r="F110" i="17"/>
  <c r="E112" i="17"/>
  <c r="C114" i="17"/>
  <c r="B116" i="17"/>
  <c r="G117" i="17"/>
  <c r="E119" i="17"/>
  <c r="D121" i="17"/>
  <c r="F122" i="17"/>
  <c r="B124" i="17"/>
  <c r="D125" i="17"/>
  <c r="F126" i="17"/>
  <c r="B128" i="17"/>
  <c r="D129" i="17"/>
  <c r="F130" i="17"/>
  <c r="B132" i="17"/>
  <c r="D133" i="17"/>
  <c r="F134" i="17"/>
  <c r="B136" i="17"/>
  <c r="D137" i="17"/>
  <c r="F138" i="17"/>
  <c r="B140" i="17"/>
  <c r="D141" i="17"/>
  <c r="F142" i="17"/>
  <c r="B144" i="17"/>
  <c r="D145" i="17"/>
  <c r="F146" i="17"/>
  <c r="B148" i="17"/>
  <c r="D149" i="17"/>
  <c r="F150" i="17"/>
  <c r="B152" i="17"/>
  <c r="D153" i="17"/>
  <c r="F154" i="17"/>
  <c r="B156" i="17"/>
  <c r="D157" i="17"/>
  <c r="F158" i="17"/>
  <c r="B160" i="17"/>
  <c r="D161" i="17"/>
  <c r="F162" i="17"/>
  <c r="B164" i="17"/>
  <c r="D165" i="17"/>
  <c r="F166" i="17"/>
  <c r="B168" i="17"/>
  <c r="D169" i="17"/>
  <c r="F170" i="17"/>
  <c r="F171" i="17"/>
  <c r="F172" i="17"/>
  <c r="E173" i="17"/>
  <c r="D174" i="17"/>
  <c r="D175" i="17"/>
  <c r="C176" i="17"/>
  <c r="B177" i="17"/>
  <c r="B178" i="17"/>
  <c r="G178" i="17"/>
  <c r="F179" i="17"/>
  <c r="F180" i="17"/>
  <c r="E181" i="17"/>
  <c r="D182" i="17"/>
  <c r="D183" i="17"/>
  <c r="C184" i="17"/>
  <c r="B185" i="17"/>
  <c r="B186" i="17"/>
  <c r="G186" i="17"/>
  <c r="F187" i="17"/>
  <c r="F188" i="17"/>
  <c r="E189" i="17"/>
  <c r="D190" i="17"/>
  <c r="D191" i="17"/>
  <c r="C192" i="17"/>
  <c r="B193" i="17"/>
  <c r="B194" i="17"/>
  <c r="G194" i="17"/>
  <c r="F195" i="17"/>
  <c r="F196" i="17"/>
  <c r="E197" i="17"/>
  <c r="D198" i="17"/>
  <c r="B199" i="17"/>
  <c r="F199" i="17"/>
  <c r="D200" i="17"/>
  <c r="B201" i="17"/>
  <c r="F201" i="17"/>
  <c r="D202" i="17"/>
  <c r="B203" i="17"/>
  <c r="D19" i="17"/>
  <c r="B28" i="17"/>
  <c r="C34" i="17"/>
  <c r="F40" i="17"/>
  <c r="G46" i="17"/>
  <c r="C53" i="17"/>
  <c r="G59" i="17"/>
  <c r="G64" i="17"/>
  <c r="E69" i="17"/>
  <c r="D74" i="17"/>
  <c r="F78" i="17"/>
  <c r="C82" i="17"/>
  <c r="G85" i="17"/>
  <c r="D89" i="17"/>
  <c r="G92" i="17"/>
  <c r="C96" i="17"/>
  <c r="G98" i="17"/>
  <c r="E101" i="17"/>
  <c r="C104" i="17"/>
  <c r="G106" i="17"/>
  <c r="E109" i="17"/>
  <c r="E111" i="17"/>
  <c r="D113" i="17"/>
  <c r="C115" i="17"/>
  <c r="G116" i="17"/>
  <c r="F118" i="17"/>
  <c r="E120" i="17"/>
  <c r="B122" i="17"/>
  <c r="D123" i="17"/>
  <c r="F124" i="17"/>
  <c r="B126" i="17"/>
  <c r="D127" i="17"/>
  <c r="F128" i="17"/>
  <c r="B130" i="17"/>
  <c r="D131" i="17"/>
  <c r="F132" i="17"/>
  <c r="B134" i="17"/>
  <c r="D135" i="17"/>
  <c r="F136" i="17"/>
  <c r="B138" i="17"/>
  <c r="D139" i="17"/>
  <c r="F140" i="17"/>
  <c r="B142" i="17"/>
  <c r="D143" i="17"/>
  <c r="F144" i="17"/>
  <c r="B146" i="17"/>
  <c r="D147" i="17"/>
  <c r="F148" i="17"/>
  <c r="B150" i="17"/>
  <c r="D151" i="17"/>
  <c r="F152" i="17"/>
  <c r="B154" i="17"/>
  <c r="D155" i="17"/>
  <c r="F156" i="17"/>
  <c r="B158" i="17"/>
  <c r="D159" i="17"/>
  <c r="F160" i="17"/>
  <c r="B162" i="17"/>
  <c r="D163" i="17"/>
  <c r="F164" i="17"/>
  <c r="B166" i="17"/>
  <c r="D167" i="17"/>
  <c r="F168" i="17"/>
  <c r="B170" i="17"/>
  <c r="D171" i="17"/>
  <c r="C172" i="17"/>
  <c r="B173" i="17"/>
  <c r="B174" i="17"/>
  <c r="G174" i="17"/>
  <c r="F175" i="17"/>
  <c r="F176" i="17"/>
  <c r="E177" i="17"/>
  <c r="D178" i="17"/>
  <c r="D179" i="17"/>
  <c r="C180" i="17"/>
  <c r="B181" i="17"/>
  <c r="B182" i="17"/>
  <c r="G182" i="17"/>
  <c r="F183" i="17"/>
  <c r="F184" i="17"/>
  <c r="E185" i="17"/>
  <c r="D186" i="17"/>
  <c r="D187" i="17"/>
  <c r="C188" i="17"/>
  <c r="B189" i="17"/>
  <c r="B190" i="17"/>
  <c r="G190" i="17"/>
  <c r="F191" i="17"/>
  <c r="F192" i="17"/>
  <c r="E193" i="17"/>
  <c r="D194" i="17"/>
  <c r="D195" i="17"/>
  <c r="C196" i="17"/>
  <c r="B197" i="17"/>
  <c r="B198" i="17"/>
  <c r="F198" i="17"/>
  <c r="D199" i="17"/>
  <c r="B200" i="17"/>
  <c r="F200" i="17"/>
  <c r="D201" i="17"/>
  <c r="B202" i="17"/>
  <c r="F202" i="17"/>
  <c r="D203" i="17"/>
  <c r="B204" i="17"/>
  <c r="F204" i="17"/>
  <c r="D205" i="17"/>
  <c r="B206" i="17"/>
  <c r="F206" i="17"/>
  <c r="D207" i="17"/>
  <c r="B208" i="17"/>
  <c r="F208" i="17"/>
  <c r="D209" i="17"/>
  <c r="B210" i="17"/>
  <c r="F210" i="17"/>
  <c r="D211" i="17"/>
  <c r="B212" i="17"/>
  <c r="F212" i="17"/>
  <c r="D213" i="17"/>
  <c r="B214" i="17"/>
  <c r="F214" i="17"/>
  <c r="D215" i="17"/>
  <c r="B216" i="17"/>
  <c r="F216" i="17"/>
  <c r="D217" i="17"/>
  <c r="B218" i="17"/>
  <c r="F218" i="17"/>
  <c r="D219" i="17"/>
  <c r="B220" i="17"/>
  <c r="F220" i="17"/>
  <c r="D221" i="17"/>
  <c r="B222" i="17"/>
  <c r="F222" i="17"/>
  <c r="D223" i="17"/>
  <c r="B224" i="17"/>
  <c r="F224" i="17"/>
  <c r="D225" i="17"/>
  <c r="B226" i="17"/>
  <c r="F226" i="17"/>
  <c r="D227" i="17"/>
  <c r="B228" i="17"/>
  <c r="F228" i="17"/>
  <c r="D229" i="17"/>
  <c r="B230" i="17"/>
  <c r="F230" i="17"/>
  <c r="D231" i="17"/>
  <c r="B232" i="17"/>
  <c r="F232" i="17"/>
  <c r="D233" i="17"/>
  <c r="B234" i="17"/>
  <c r="F234" i="17"/>
  <c r="D235" i="17"/>
  <c r="B236" i="17"/>
  <c r="F236" i="17"/>
  <c r="D237" i="17"/>
  <c r="B238" i="17"/>
  <c r="F238" i="17"/>
  <c r="D239" i="17"/>
  <c r="B240" i="17"/>
  <c r="F240" i="17"/>
  <c r="D241" i="17"/>
  <c r="B242" i="17"/>
  <c r="F242" i="17"/>
  <c r="D243" i="17"/>
  <c r="B244" i="17"/>
  <c r="F244" i="17"/>
  <c r="D245" i="17"/>
  <c r="B246" i="17"/>
  <c r="F246" i="17"/>
  <c r="D247" i="17"/>
  <c r="B248" i="17"/>
  <c r="E14" i="17"/>
  <c r="G31" i="17"/>
  <c r="F44" i="17"/>
  <c r="D57" i="17"/>
  <c r="F67" i="17"/>
  <c r="C77" i="17"/>
  <c r="E84" i="17"/>
  <c r="E91" i="17"/>
  <c r="G97" i="17"/>
  <c r="C103" i="17"/>
  <c r="E108" i="17"/>
  <c r="F112" i="17"/>
  <c r="C116" i="17"/>
  <c r="G119" i="17"/>
  <c r="G122" i="17"/>
  <c r="E125" i="17"/>
  <c r="C128" i="17"/>
  <c r="G130" i="17"/>
  <c r="E133" i="17"/>
  <c r="C136" i="17"/>
  <c r="G138" i="17"/>
  <c r="E141" i="17"/>
  <c r="C144" i="17"/>
  <c r="G146" i="17"/>
  <c r="E149" i="17"/>
  <c r="C152" i="17"/>
  <c r="G154" i="17"/>
  <c r="E157" i="17"/>
  <c r="C160" i="17"/>
  <c r="G162" i="17"/>
  <c r="E165" i="17"/>
  <c r="C168" i="17"/>
  <c r="G170" i="17"/>
  <c r="G172" i="17"/>
  <c r="F174" i="17"/>
  <c r="D176" i="17"/>
  <c r="C178" i="17"/>
  <c r="B180" i="17"/>
  <c r="F181" i="17"/>
  <c r="E183" i="17"/>
  <c r="D185" i="17"/>
  <c r="B187" i="17"/>
  <c r="G188" i="17"/>
  <c r="F190" i="17"/>
  <c r="D192" i="17"/>
  <c r="C194" i="17"/>
  <c r="B196" i="17"/>
  <c r="F197" i="17"/>
  <c r="C199" i="17"/>
  <c r="E200" i="17"/>
  <c r="G201" i="17"/>
  <c r="C203" i="17"/>
  <c r="C204" i="17"/>
  <c r="B205" i="17"/>
  <c r="G205" i="17"/>
  <c r="G206" i="17"/>
  <c r="F207" i="17"/>
  <c r="E208" i="17"/>
  <c r="E209" i="17"/>
  <c r="D210" i="17"/>
  <c r="C211" i="17"/>
  <c r="C212" i="17"/>
  <c r="B213" i="17"/>
  <c r="G213" i="17"/>
  <c r="G214" i="17"/>
  <c r="F215" i="17"/>
  <c r="E216" i="17"/>
  <c r="E217" i="17"/>
  <c r="D218" i="17"/>
  <c r="C219" i="17"/>
  <c r="C220" i="17"/>
  <c r="B221" i="17"/>
  <c r="G221" i="17"/>
  <c r="G222" i="17"/>
  <c r="F223" i="17"/>
  <c r="E224" i="17"/>
  <c r="E225" i="17"/>
  <c r="D226" i="17"/>
  <c r="C227" i="17"/>
  <c r="C228" i="17"/>
  <c r="B229" i="17"/>
  <c r="G229" i="17"/>
  <c r="G230" i="17"/>
  <c r="F231" i="17"/>
  <c r="E232" i="17"/>
  <c r="E233" i="17"/>
  <c r="D234" i="17"/>
  <c r="C235" i="17"/>
  <c r="C236" i="17"/>
  <c r="B237" i="17"/>
  <c r="G237" i="17"/>
  <c r="G238" i="17"/>
  <c r="F239" i="17"/>
  <c r="E240" i="17"/>
  <c r="E241" i="17"/>
  <c r="D242" i="17"/>
  <c r="C243" i="17"/>
  <c r="C244" i="17"/>
  <c r="B245" i="17"/>
  <c r="G245" i="17"/>
  <c r="G246" i="17"/>
  <c r="F247" i="17"/>
  <c r="E248" i="17"/>
  <c r="C249" i="17"/>
  <c r="G249" i="17"/>
  <c r="E250" i="17"/>
  <c r="C251" i="17"/>
  <c r="G251" i="17"/>
  <c r="E252" i="17"/>
  <c r="C253" i="17"/>
  <c r="G253" i="17"/>
  <c r="E254" i="17"/>
  <c r="C255" i="17"/>
  <c r="G255" i="17"/>
  <c r="E256" i="17"/>
  <c r="C257" i="17"/>
  <c r="G257" i="17"/>
  <c r="E258" i="17"/>
  <c r="C259" i="17"/>
  <c r="G259" i="17"/>
  <c r="E260" i="17"/>
  <c r="C261" i="17"/>
  <c r="G261" i="17"/>
  <c r="E262" i="17"/>
  <c r="C263" i="17"/>
  <c r="G263" i="17"/>
  <c r="E264" i="17"/>
  <c r="C265" i="17"/>
  <c r="G265" i="17"/>
  <c r="E266" i="17"/>
  <c r="C267" i="17"/>
  <c r="G267" i="17"/>
  <c r="E268" i="17"/>
  <c r="C269" i="17"/>
  <c r="G269" i="17"/>
  <c r="E270" i="17"/>
  <c r="C271" i="17"/>
  <c r="G271" i="17"/>
  <c r="E272" i="17"/>
  <c r="C273" i="17"/>
  <c r="G273" i="17"/>
  <c r="E274" i="17"/>
  <c r="C275" i="17"/>
  <c r="G275" i="17"/>
  <c r="E276" i="17"/>
  <c r="C277" i="17"/>
  <c r="G277" i="17"/>
  <c r="E278" i="17"/>
  <c r="C279" i="17"/>
  <c r="G279" i="17"/>
  <c r="E280" i="17"/>
  <c r="C281" i="17"/>
  <c r="G281" i="17"/>
  <c r="E282" i="17"/>
  <c r="C283" i="17"/>
  <c r="G283" i="17"/>
  <c r="E284" i="17"/>
  <c r="C285" i="17"/>
  <c r="G285" i="17"/>
  <c r="E286" i="17"/>
  <c r="C287" i="17"/>
  <c r="G287" i="17"/>
  <c r="E288" i="17"/>
  <c r="C289" i="17"/>
  <c r="G289" i="17"/>
  <c r="E290" i="17"/>
  <c r="C291" i="17"/>
  <c r="G291" i="17"/>
  <c r="E292" i="17"/>
  <c r="C293" i="17"/>
  <c r="C20" i="17"/>
  <c r="C35" i="17"/>
  <c r="G47" i="17"/>
  <c r="C60" i="17"/>
  <c r="C70" i="17"/>
  <c r="C79" i="17"/>
  <c r="C86" i="17"/>
  <c r="D93" i="17"/>
  <c r="C99" i="17"/>
  <c r="E104" i="17"/>
  <c r="G109" i="17"/>
  <c r="E113" i="17"/>
  <c r="C117" i="17"/>
  <c r="F120" i="17"/>
  <c r="E123" i="17"/>
  <c r="C126" i="17"/>
  <c r="G128" i="17"/>
  <c r="E131" i="17"/>
  <c r="C134" i="17"/>
  <c r="G136" i="17"/>
  <c r="E139" i="17"/>
  <c r="C142" i="17"/>
  <c r="G144" i="17"/>
  <c r="E147" i="17"/>
  <c r="C150" i="17"/>
  <c r="G152" i="17"/>
  <c r="E155" i="17"/>
  <c r="C158" i="17"/>
  <c r="G160" i="17"/>
  <c r="E163" i="17"/>
  <c r="C166" i="17"/>
  <c r="G168" i="17"/>
  <c r="E171" i="17"/>
  <c r="D173" i="17"/>
  <c r="B175" i="17"/>
  <c r="G176" i="17"/>
  <c r="F178" i="17"/>
  <c r="D180" i="17"/>
  <c r="C182" i="17"/>
  <c r="B184" i="17"/>
  <c r="F185" i="17"/>
  <c r="E187" i="17"/>
  <c r="D189" i="17"/>
  <c r="B191" i="17"/>
  <c r="G192" i="17"/>
  <c r="F194" i="17"/>
  <c r="D196" i="17"/>
  <c r="C198" i="17"/>
  <c r="E199" i="17"/>
  <c r="G200" i="17"/>
  <c r="C202" i="17"/>
  <c r="E203" i="17"/>
  <c r="D204" i="17"/>
  <c r="C205" i="17"/>
  <c r="C206" i="17"/>
  <c r="B207" i="17"/>
  <c r="G207" i="17"/>
  <c r="G208" i="17"/>
  <c r="F209" i="17"/>
  <c r="E210" i="17"/>
  <c r="E211" i="17"/>
  <c r="D212" i="17"/>
  <c r="C213" i="17"/>
  <c r="C214" i="17"/>
  <c r="B215" i="17"/>
  <c r="G215" i="17"/>
  <c r="G216" i="17"/>
  <c r="F217" i="17"/>
  <c r="E218" i="17"/>
  <c r="E219" i="17"/>
  <c r="D220" i="17"/>
  <c r="C221" i="17"/>
  <c r="C222" i="17"/>
  <c r="B223" i="17"/>
  <c r="G223" i="17"/>
  <c r="G224" i="17"/>
  <c r="F225" i="17"/>
  <c r="E226" i="17"/>
  <c r="E227" i="17"/>
  <c r="D228" i="17"/>
  <c r="C229" i="17"/>
  <c r="C230" i="17"/>
  <c r="B231" i="17"/>
  <c r="G231" i="17"/>
  <c r="G232" i="17"/>
  <c r="F233" i="17"/>
  <c r="E234" i="17"/>
  <c r="E235" i="17"/>
  <c r="D236" i="17"/>
  <c r="C237" i="17"/>
  <c r="C238" i="17"/>
  <c r="B239" i="17"/>
  <c r="G239" i="17"/>
  <c r="G240" i="17"/>
  <c r="F241" i="17"/>
  <c r="E242" i="17"/>
  <c r="E243" i="17"/>
  <c r="D244" i="17"/>
  <c r="C245" i="17"/>
  <c r="C246" i="17"/>
  <c r="B247" i="17"/>
  <c r="G247" i="17"/>
  <c r="F248" i="17"/>
  <c r="D249" i="17"/>
  <c r="B250" i="17"/>
  <c r="F250" i="17"/>
  <c r="D251" i="17"/>
  <c r="B252" i="17"/>
  <c r="F252" i="17"/>
  <c r="D253" i="17"/>
  <c r="B254" i="17"/>
  <c r="F254" i="17"/>
  <c r="D255" i="17"/>
  <c r="B256" i="17"/>
  <c r="F256" i="17"/>
  <c r="D257" i="17"/>
  <c r="B258" i="17"/>
  <c r="F258" i="17"/>
  <c r="D259" i="17"/>
  <c r="B260" i="17"/>
  <c r="F260" i="17"/>
  <c r="D261" i="17"/>
  <c r="B262" i="17"/>
  <c r="F262" i="17"/>
  <c r="D263" i="17"/>
  <c r="B264" i="17"/>
  <c r="F264" i="17"/>
  <c r="D265" i="17"/>
  <c r="B266" i="17"/>
  <c r="F266" i="17"/>
  <c r="D267" i="17"/>
  <c r="B268" i="17"/>
  <c r="F268" i="17"/>
  <c r="D269" i="17"/>
  <c r="B270" i="17"/>
  <c r="F270" i="17"/>
  <c r="D271" i="17"/>
  <c r="B272" i="17"/>
  <c r="F272" i="17"/>
  <c r="D273" i="17"/>
  <c r="B274" i="17"/>
  <c r="F274" i="17"/>
  <c r="D275" i="17"/>
  <c r="B276" i="17"/>
  <c r="F276" i="17"/>
  <c r="D277" i="17"/>
  <c r="B278" i="17"/>
  <c r="F278" i="17"/>
  <c r="D279" i="17"/>
  <c r="B280" i="17"/>
  <c r="F280" i="17"/>
  <c r="D281" i="17"/>
  <c r="B282" i="17"/>
  <c r="F282" i="17"/>
  <c r="D283" i="17"/>
  <c r="B284" i="17"/>
  <c r="F284" i="17"/>
  <c r="D285" i="17"/>
  <c r="B286" i="17"/>
  <c r="F286" i="17"/>
  <c r="D287" i="17"/>
  <c r="B288" i="17"/>
  <c r="F288" i="17"/>
  <c r="D289" i="17"/>
  <c r="B290" i="17"/>
  <c r="F290" i="17"/>
  <c r="D291" i="17"/>
  <c r="B292" i="17"/>
  <c r="F292" i="17"/>
  <c r="D293" i="17"/>
  <c r="B294" i="17"/>
  <c r="F294" i="17"/>
  <c r="D295" i="17"/>
  <c r="B296" i="17"/>
  <c r="F296" i="17"/>
  <c r="D297" i="17"/>
  <c r="B298" i="17"/>
  <c r="F298" i="17"/>
  <c r="D299" i="17"/>
  <c r="B300" i="17"/>
  <c r="F300" i="17"/>
  <c r="D301" i="17"/>
  <c r="B302" i="17"/>
  <c r="F302" i="17"/>
  <c r="D303" i="17"/>
  <c r="B304" i="17"/>
  <c r="F304" i="17"/>
  <c r="D305" i="17"/>
  <c r="B306" i="17"/>
  <c r="F306" i="17"/>
  <c r="D307" i="17"/>
  <c r="B308" i="17"/>
  <c r="F308" i="17"/>
  <c r="D309" i="17"/>
  <c r="B310" i="17"/>
  <c r="F310" i="17"/>
  <c r="D311" i="17"/>
  <c r="B312" i="17"/>
  <c r="F312" i="17"/>
  <c r="D313" i="17"/>
  <c r="B314" i="17"/>
  <c r="F314" i="17"/>
  <c r="D315" i="17"/>
  <c r="B316" i="17"/>
  <c r="F316" i="17"/>
  <c r="D317" i="17"/>
  <c r="B318" i="17"/>
  <c r="F318" i="17"/>
  <c r="D319" i="17"/>
  <c r="B320" i="17"/>
  <c r="F320" i="17"/>
  <c r="D321" i="17"/>
  <c r="B322" i="17"/>
  <c r="F322" i="17"/>
  <c r="D323" i="17"/>
  <c r="B324" i="17"/>
  <c r="F324" i="17"/>
  <c r="D325" i="17"/>
  <c r="B326" i="17"/>
  <c r="F326" i="17"/>
  <c r="D327" i="17"/>
  <c r="B328" i="17"/>
  <c r="F328" i="17"/>
  <c r="D329" i="17"/>
  <c r="B330" i="17"/>
  <c r="F330" i="17"/>
  <c r="D331" i="17"/>
  <c r="B332" i="17"/>
  <c r="F332" i="17"/>
  <c r="D333" i="17"/>
  <c r="B334" i="17"/>
  <c r="F334" i="17"/>
  <c r="D335" i="17"/>
  <c r="B336" i="17"/>
  <c r="F336" i="17"/>
  <c r="D337" i="17"/>
  <c r="B338" i="17"/>
  <c r="F338" i="17"/>
  <c r="D339" i="17"/>
  <c r="B340" i="17"/>
  <c r="F340" i="17"/>
  <c r="D341" i="17"/>
  <c r="B342" i="17"/>
  <c r="F342" i="17"/>
  <c r="D343" i="17"/>
  <c r="B344" i="17"/>
  <c r="F344" i="17"/>
  <c r="D345" i="17"/>
  <c r="B346" i="17"/>
  <c r="F346" i="17"/>
  <c r="D347" i="17"/>
  <c r="B348" i="17"/>
  <c r="F348" i="17"/>
  <c r="D349" i="17"/>
  <c r="B350" i="17"/>
  <c r="F350" i="17"/>
  <c r="D351" i="17"/>
  <c r="B352" i="17"/>
  <c r="C25" i="17"/>
  <c r="G50" i="17"/>
  <c r="E72" i="17"/>
  <c r="B88" i="17"/>
  <c r="E100" i="17"/>
  <c r="G110" i="17"/>
  <c r="B118" i="17"/>
  <c r="C124" i="17"/>
  <c r="E129" i="17"/>
  <c r="G134" i="17"/>
  <c r="C140" i="17"/>
  <c r="E145" i="17"/>
  <c r="G150" i="17"/>
  <c r="C156" i="17"/>
  <c r="E161" i="17"/>
  <c r="G166" i="17"/>
  <c r="B172" i="17"/>
  <c r="E175" i="17"/>
  <c r="B179" i="17"/>
  <c r="F182" i="17"/>
  <c r="C186" i="17"/>
  <c r="F189" i="17"/>
  <c r="D193" i="17"/>
  <c r="G196" i="17"/>
  <c r="G199" i="17"/>
  <c r="E202" i="17"/>
  <c r="E204" i="17"/>
  <c r="D206" i="17"/>
  <c r="C208" i="17"/>
  <c r="G209" i="17"/>
  <c r="F211" i="17"/>
  <c r="E213" i="17"/>
  <c r="C215" i="17"/>
  <c r="B217" i="17"/>
  <c r="G218" i="17"/>
  <c r="E220" i="17"/>
  <c r="D222" i="17"/>
  <c r="C224" i="17"/>
  <c r="G225" i="17"/>
  <c r="F227" i="17"/>
  <c r="E229" i="17"/>
  <c r="C231" i="17"/>
  <c r="B233" i="17"/>
  <c r="G234" i="17"/>
  <c r="E236" i="17"/>
  <c r="D238" i="17"/>
  <c r="C240" i="17"/>
  <c r="G241" i="17"/>
  <c r="F243" i="17"/>
  <c r="E245" i="17"/>
  <c r="C247" i="17"/>
  <c r="G248" i="17"/>
  <c r="C250" i="17"/>
  <c r="E251" i="17"/>
  <c r="G252" i="17"/>
  <c r="C254" i="17"/>
  <c r="E255" i="17"/>
  <c r="G256" i="17"/>
  <c r="C258" i="17"/>
  <c r="E259" i="17"/>
  <c r="G260" i="17"/>
  <c r="C262" i="17"/>
  <c r="E263" i="17"/>
  <c r="G264" i="17"/>
  <c r="C266" i="17"/>
  <c r="E267" i="17"/>
  <c r="G268" i="17"/>
  <c r="C270" i="17"/>
  <c r="E271" i="17"/>
  <c r="G272" i="17"/>
  <c r="C274" i="17"/>
  <c r="E275" i="17"/>
  <c r="G276" i="17"/>
  <c r="C278" i="17"/>
  <c r="E279" i="17"/>
  <c r="G280" i="17"/>
  <c r="C282" i="17"/>
  <c r="E283" i="17"/>
  <c r="G284" i="17"/>
  <c r="C286" i="17"/>
  <c r="E287" i="17"/>
  <c r="G288" i="17"/>
  <c r="C290" i="17"/>
  <c r="E291" i="17"/>
  <c r="G292" i="17"/>
  <c r="G293" i="17"/>
  <c r="G294" i="17"/>
  <c r="F295" i="17"/>
  <c r="E296" i="17"/>
  <c r="E297" i="17"/>
  <c r="D298" i="17"/>
  <c r="C299" i="17"/>
  <c r="C300" i="17"/>
  <c r="B301" i="17"/>
  <c r="G301" i="17"/>
  <c r="G302" i="17"/>
  <c r="F303" i="17"/>
  <c r="E304" i="17"/>
  <c r="E305" i="17"/>
  <c r="D306" i="17"/>
  <c r="C307" i="17"/>
  <c r="C308" i="17"/>
  <c r="B309" i="17"/>
  <c r="G309" i="17"/>
  <c r="G310" i="17"/>
  <c r="F311" i="17"/>
  <c r="E312" i="17"/>
  <c r="E313" i="17"/>
  <c r="D314" i="17"/>
  <c r="C315" i="17"/>
  <c r="C316" i="17"/>
  <c r="B317" i="17"/>
  <c r="G317" i="17"/>
  <c r="G318" i="17"/>
  <c r="F319" i="17"/>
  <c r="E320" i="17"/>
  <c r="E321" i="17"/>
  <c r="D322" i="17"/>
  <c r="C323" i="17"/>
  <c r="C324" i="17"/>
  <c r="B325" i="17"/>
  <c r="G325" i="17"/>
  <c r="G326" i="17"/>
  <c r="F327" i="17"/>
  <c r="E328" i="17"/>
  <c r="E329" i="17"/>
  <c r="D330" i="17"/>
  <c r="C331" i="17"/>
  <c r="C332" i="17"/>
  <c r="B333" i="17"/>
  <c r="G333" i="17"/>
  <c r="G334" i="17"/>
  <c r="F335" i="17"/>
  <c r="E336" i="17"/>
  <c r="E337" i="17"/>
  <c r="D338" i="17"/>
  <c r="C339" i="17"/>
  <c r="C340" i="17"/>
  <c r="B341" i="17"/>
  <c r="G341" i="17"/>
  <c r="G342" i="17"/>
  <c r="F343" i="17"/>
  <c r="E344" i="17"/>
  <c r="E345" i="17"/>
  <c r="D346" i="17"/>
  <c r="C347" i="17"/>
  <c r="C348" i="17"/>
  <c r="B349" i="17"/>
  <c r="G349" i="17"/>
  <c r="G350" i="17"/>
  <c r="F351" i="17"/>
  <c r="E352" i="17"/>
  <c r="C353" i="17"/>
  <c r="G353" i="17"/>
  <c r="E354" i="17"/>
  <c r="C355" i="17"/>
  <c r="G355" i="17"/>
  <c r="E356" i="17"/>
  <c r="C357" i="17"/>
  <c r="G357" i="17"/>
  <c r="E358" i="17"/>
  <c r="C359" i="17"/>
  <c r="G359" i="17"/>
  <c r="E360" i="17"/>
  <c r="C361" i="17"/>
  <c r="G361" i="17"/>
  <c r="E362" i="17"/>
  <c r="C363" i="17"/>
  <c r="G363" i="17"/>
  <c r="E364" i="17"/>
  <c r="C365" i="17"/>
  <c r="G365" i="17"/>
  <c r="E366" i="17"/>
  <c r="C367" i="17"/>
  <c r="G367" i="17"/>
  <c r="E368" i="17"/>
  <c r="C369" i="17"/>
  <c r="G369" i="17"/>
  <c r="E370" i="17"/>
  <c r="C371" i="17"/>
  <c r="G371" i="17"/>
  <c r="E372" i="17"/>
  <c r="C373" i="17"/>
  <c r="G373" i="17"/>
  <c r="E374" i="17"/>
  <c r="C375" i="17"/>
  <c r="G375" i="17"/>
  <c r="E376" i="17"/>
  <c r="C377" i="17"/>
  <c r="G377" i="17"/>
  <c r="E378" i="17"/>
  <c r="C379" i="17"/>
  <c r="G379" i="17"/>
  <c r="E380" i="17"/>
  <c r="C381" i="17"/>
  <c r="G381" i="17"/>
  <c r="E382" i="17"/>
  <c r="C383" i="17"/>
  <c r="G383" i="17"/>
  <c r="E384" i="17"/>
  <c r="C385" i="17"/>
  <c r="G385" i="17"/>
  <c r="E386" i="17"/>
  <c r="C387" i="17"/>
  <c r="G387" i="17"/>
  <c r="E388" i="17"/>
  <c r="C389" i="17"/>
  <c r="G389" i="17"/>
  <c r="E390" i="17"/>
  <c r="C391" i="17"/>
  <c r="G391" i="17"/>
  <c r="E392" i="17"/>
  <c r="C393" i="17"/>
  <c r="G393" i="17"/>
  <c r="E394" i="17"/>
  <c r="C395" i="17"/>
  <c r="G395" i="17"/>
  <c r="E396" i="17"/>
  <c r="C397" i="17"/>
  <c r="G397" i="17"/>
  <c r="E398" i="17"/>
  <c r="C399" i="17"/>
  <c r="G399" i="17"/>
  <c r="E400" i="17"/>
  <c r="C401" i="17"/>
  <c r="G401" i="17"/>
  <c r="E402" i="17"/>
  <c r="C403" i="17"/>
  <c r="G403" i="17"/>
  <c r="E404" i="17"/>
  <c r="C405" i="17"/>
  <c r="G405" i="17"/>
  <c r="E406" i="17"/>
  <c r="C407" i="17"/>
  <c r="G407" i="17"/>
  <c r="E408" i="17"/>
  <c r="C409" i="17"/>
  <c r="G409" i="17"/>
  <c r="E38" i="17"/>
  <c r="B63" i="17"/>
  <c r="G80" i="17"/>
  <c r="C95" i="17"/>
  <c r="G105" i="17"/>
  <c r="E114" i="17"/>
  <c r="E121" i="17"/>
  <c r="G126" i="17"/>
  <c r="C132" i="17"/>
  <c r="E137" i="17"/>
  <c r="G142" i="17"/>
  <c r="C148" i="17"/>
  <c r="E153" i="17"/>
  <c r="G158" i="17"/>
  <c r="C164" i="17"/>
  <c r="E169" i="17"/>
  <c r="F173" i="17"/>
  <c r="D177" i="17"/>
  <c r="G180" i="17"/>
  <c r="D184" i="17"/>
  <c r="B188" i="17"/>
  <c r="E191" i="17"/>
  <c r="B195" i="17"/>
  <c r="E198" i="17"/>
  <c r="C201" i="17"/>
  <c r="F203" i="17"/>
  <c r="E205" i="17"/>
  <c r="C207" i="17"/>
  <c r="B209" i="17"/>
  <c r="G210" i="17"/>
  <c r="E212" i="17"/>
  <c r="D214" i="17"/>
  <c r="C216" i="17"/>
  <c r="G217" i="17"/>
  <c r="F219" i="17"/>
  <c r="E221" i="17"/>
  <c r="C223" i="17"/>
  <c r="B225" i="17"/>
  <c r="G226" i="17"/>
  <c r="E228" i="17"/>
  <c r="D230" i="17"/>
  <c r="C232" i="17"/>
  <c r="G233" i="17"/>
  <c r="F235" i="17"/>
  <c r="E237" i="17"/>
  <c r="C239" i="17"/>
  <c r="B241" i="17"/>
  <c r="G242" i="17"/>
  <c r="E244" i="17"/>
  <c r="D246" i="17"/>
  <c r="C248" i="17"/>
  <c r="E249" i="17"/>
  <c r="G250" i="17"/>
  <c r="C252" i="17"/>
  <c r="E253" i="17"/>
  <c r="G254" i="17"/>
  <c r="C256" i="17"/>
  <c r="E257" i="17"/>
  <c r="G258" i="17"/>
  <c r="C260" i="17"/>
  <c r="E261" i="17"/>
  <c r="G262" i="17"/>
  <c r="C264" i="17"/>
  <c r="E265" i="17"/>
  <c r="G266" i="17"/>
  <c r="C268" i="17"/>
  <c r="E269" i="17"/>
  <c r="G270" i="17"/>
  <c r="C272" i="17"/>
  <c r="E273" i="17"/>
  <c r="G274" i="17"/>
  <c r="C276" i="17"/>
  <c r="E277" i="17"/>
  <c r="G278" i="17"/>
  <c r="C280" i="17"/>
  <c r="E281" i="17"/>
  <c r="G282" i="17"/>
  <c r="C284" i="17"/>
  <c r="E285" i="17"/>
  <c r="G286" i="17"/>
  <c r="C288" i="17"/>
  <c r="E289" i="17"/>
  <c r="G290" i="17"/>
  <c r="C292" i="17"/>
  <c r="E293" i="17"/>
  <c r="D294" i="17"/>
  <c r="C295" i="17"/>
  <c r="C296" i="17"/>
  <c r="B297" i="17"/>
  <c r="G297" i="17"/>
  <c r="G298" i="17"/>
  <c r="F299" i="17"/>
  <c r="E300" i="17"/>
  <c r="E301" i="17"/>
  <c r="D302" i="17"/>
  <c r="C303" i="17"/>
  <c r="C304" i="17"/>
  <c r="B305" i="17"/>
  <c r="G305" i="17"/>
  <c r="G306" i="17"/>
  <c r="F307" i="17"/>
  <c r="E308" i="17"/>
  <c r="E309" i="17"/>
  <c r="D310" i="17"/>
  <c r="C311" i="17"/>
  <c r="C312" i="17"/>
  <c r="B313" i="17"/>
  <c r="G313" i="17"/>
  <c r="G314" i="17"/>
  <c r="F315" i="17"/>
  <c r="E316" i="17"/>
  <c r="E317" i="17"/>
  <c r="D318" i="17"/>
  <c r="C319" i="17"/>
  <c r="C320" i="17"/>
  <c r="B321" i="17"/>
  <c r="G321" i="17"/>
  <c r="G322" i="17"/>
  <c r="F323" i="17"/>
  <c r="E324" i="17"/>
  <c r="E325" i="17"/>
  <c r="D326" i="17"/>
  <c r="C327" i="17"/>
  <c r="C328" i="17"/>
  <c r="B329" i="17"/>
  <c r="G329" i="17"/>
  <c r="G330" i="17"/>
  <c r="F331" i="17"/>
  <c r="E332" i="17"/>
  <c r="E333" i="17"/>
  <c r="D334" i="17"/>
  <c r="C335" i="17"/>
  <c r="C336" i="17"/>
  <c r="B337" i="17"/>
  <c r="G337" i="17"/>
  <c r="G338" i="17"/>
  <c r="F339" i="17"/>
  <c r="E340" i="17"/>
  <c r="E341" i="17"/>
  <c r="D342" i="17"/>
  <c r="C343" i="17"/>
  <c r="C344" i="17"/>
  <c r="B345" i="17"/>
  <c r="G345" i="17"/>
  <c r="G346" i="17"/>
  <c r="F347" i="17"/>
  <c r="E348" i="17"/>
  <c r="E349" i="17"/>
  <c r="D350" i="17"/>
  <c r="C351" i="17"/>
  <c r="C352" i="17"/>
  <c r="G352" i="17"/>
  <c r="E353" i="17"/>
  <c r="C354" i="17"/>
  <c r="G354" i="17"/>
  <c r="E355" i="17"/>
  <c r="C356" i="17"/>
  <c r="G356" i="17"/>
  <c r="E357" i="17"/>
  <c r="C358" i="17"/>
  <c r="G358" i="17"/>
  <c r="E359" i="17"/>
  <c r="C360" i="17"/>
  <c r="G360" i="17"/>
  <c r="E361" i="17"/>
  <c r="C362" i="17"/>
  <c r="G362" i="17"/>
  <c r="E363" i="17"/>
  <c r="C364" i="17"/>
  <c r="G364" i="17"/>
  <c r="E365" i="17"/>
  <c r="C366" i="17"/>
  <c r="G366" i="17"/>
  <c r="E367" i="17"/>
  <c r="C368" i="17"/>
  <c r="G368" i="17"/>
  <c r="E369" i="17"/>
  <c r="C370" i="17"/>
  <c r="G370" i="17"/>
  <c r="E371" i="17"/>
  <c r="C372" i="17"/>
  <c r="G372" i="17"/>
  <c r="E373" i="17"/>
  <c r="C374" i="17"/>
  <c r="G374" i="17"/>
  <c r="E375" i="17"/>
  <c r="C376" i="17"/>
  <c r="G376" i="17"/>
  <c r="E377" i="17"/>
  <c r="C378" i="17"/>
  <c r="G378" i="17"/>
  <c r="E379" i="17"/>
  <c r="C380" i="17"/>
  <c r="G380" i="17"/>
  <c r="E381" i="17"/>
  <c r="C382" i="17"/>
  <c r="G382" i="17"/>
  <c r="E383" i="17"/>
  <c r="C384" i="17"/>
  <c r="G384" i="17"/>
  <c r="E385" i="17"/>
  <c r="C386" i="17"/>
  <c r="G386" i="17"/>
  <c r="E387" i="17"/>
  <c r="C388" i="17"/>
  <c r="G388" i="17"/>
  <c r="E389" i="17"/>
  <c r="C390" i="17"/>
  <c r="G390" i="17"/>
  <c r="E391" i="17"/>
  <c r="C392" i="17"/>
  <c r="G392" i="17"/>
  <c r="E393" i="17"/>
  <c r="C394" i="17"/>
  <c r="G394" i="17"/>
  <c r="E395" i="17"/>
  <c r="C396" i="17"/>
  <c r="G396" i="17"/>
  <c r="E397" i="17"/>
  <c r="C398" i="17"/>
  <c r="G398" i="17"/>
  <c r="E399" i="17"/>
  <c r="C400" i="17"/>
  <c r="G400" i="17"/>
  <c r="E401" i="17"/>
  <c r="C402" i="17"/>
  <c r="G402" i="17"/>
  <c r="E403" i="17"/>
  <c r="C404" i="17"/>
  <c r="G404" i="17"/>
  <c r="E405" i="17"/>
  <c r="C406" i="17"/>
  <c r="G406" i="17"/>
  <c r="E407" i="17"/>
  <c r="C408" i="17"/>
  <c r="G408" i="17"/>
  <c r="E409" i="17"/>
  <c r="C410" i="17"/>
  <c r="G410" i="17"/>
  <c r="E411" i="17"/>
  <c r="C412" i="17"/>
  <c r="G412" i="17"/>
  <c r="E413" i="17"/>
  <c r="C414" i="17"/>
  <c r="G414" i="17"/>
  <c r="E415" i="17"/>
  <c r="C416" i="17"/>
  <c r="G416" i="17"/>
  <c r="E417" i="17"/>
  <c r="C418" i="17"/>
  <c r="G418" i="17"/>
  <c r="E419" i="17"/>
  <c r="C420" i="17"/>
  <c r="G420" i="17"/>
  <c r="E421" i="17"/>
  <c r="C422" i="17"/>
  <c r="G422" i="17"/>
  <c r="E423" i="17"/>
  <c r="C424" i="17"/>
  <c r="G424" i="17"/>
  <c r="E425" i="17"/>
  <c r="C426" i="17"/>
  <c r="G426" i="17"/>
  <c r="E427" i="17"/>
  <c r="C428" i="17"/>
  <c r="G428" i="17"/>
  <c r="E429" i="17"/>
  <c r="C430" i="17"/>
  <c r="G430" i="17"/>
  <c r="E431" i="17"/>
  <c r="C432" i="17"/>
  <c r="G432" i="17"/>
  <c r="E433" i="17"/>
  <c r="C434" i="17"/>
  <c r="G434" i="17"/>
  <c r="E435" i="17"/>
  <c r="C436" i="17"/>
  <c r="G436" i="17"/>
  <c r="E437" i="17"/>
  <c r="C438" i="17"/>
  <c r="G438" i="17"/>
  <c r="E439" i="17"/>
  <c r="C440" i="17"/>
  <c r="G440" i="17"/>
  <c r="E441" i="17"/>
  <c r="C442" i="17"/>
  <c r="G442" i="17"/>
  <c r="E443" i="17"/>
  <c r="C444" i="17"/>
  <c r="G444" i="17"/>
  <c r="E445" i="17"/>
  <c r="C446" i="17"/>
  <c r="G446" i="17"/>
  <c r="E447" i="17"/>
  <c r="C448" i="17"/>
  <c r="G448" i="17"/>
  <c r="E449" i="17"/>
  <c r="C450" i="17"/>
  <c r="G450" i="17"/>
  <c r="E451" i="17"/>
  <c r="C452" i="17"/>
  <c r="G452" i="17"/>
  <c r="E453" i="17"/>
  <c r="C454" i="17"/>
  <c r="G454" i="17"/>
  <c r="E455" i="17"/>
  <c r="C456" i="17"/>
  <c r="G456" i="17"/>
  <c r="E457" i="17"/>
  <c r="C458" i="17"/>
  <c r="G458" i="17"/>
  <c r="E459" i="17"/>
  <c r="C460" i="17"/>
  <c r="G460" i="17"/>
  <c r="E461" i="17"/>
  <c r="C462" i="17"/>
  <c r="G462" i="17"/>
  <c r="E463" i="17"/>
  <c r="C464" i="17"/>
  <c r="G464" i="17"/>
  <c r="E465" i="17"/>
  <c r="C466" i="17"/>
  <c r="G466" i="17"/>
  <c r="E467" i="17"/>
  <c r="C468" i="17"/>
  <c r="G468" i="17"/>
  <c r="E469" i="17"/>
  <c r="C470" i="17"/>
  <c r="G470" i="17"/>
  <c r="E471" i="17"/>
  <c r="C472" i="17"/>
  <c r="G472" i="17"/>
  <c r="E473" i="17"/>
  <c r="C474" i="17"/>
  <c r="G474" i="17"/>
  <c r="E475" i="17"/>
  <c r="C476" i="17"/>
  <c r="G476" i="17"/>
  <c r="E477" i="17"/>
  <c r="C478" i="17"/>
  <c r="G478" i="17"/>
  <c r="G28" i="17"/>
  <c r="G74" i="17"/>
  <c r="G101" i="17"/>
  <c r="G118" i="17"/>
  <c r="C130" i="17"/>
  <c r="G140" i="17"/>
  <c r="E151" i="17"/>
  <c r="C162" i="17"/>
  <c r="D172" i="17"/>
  <c r="E179" i="17"/>
  <c r="F186" i="17"/>
  <c r="F193" i="17"/>
  <c r="C200" i="17"/>
  <c r="G204" i="17"/>
  <c r="D208" i="17"/>
  <c r="G211" i="17"/>
  <c r="E215" i="17"/>
  <c r="B219" i="17"/>
  <c r="E222" i="17"/>
  <c r="C226" i="17"/>
  <c r="F229" i="17"/>
  <c r="C233" i="17"/>
  <c r="G236" i="17"/>
  <c r="D240" i="17"/>
  <c r="G243" i="17"/>
  <c r="E247" i="17"/>
  <c r="D250" i="17"/>
  <c r="B253" i="17"/>
  <c r="F255" i="17"/>
  <c r="D258" i="17"/>
  <c r="B261" i="17"/>
  <c r="F263" i="17"/>
  <c r="D266" i="17"/>
  <c r="B269" i="17"/>
  <c r="F271" i="17"/>
  <c r="D274" i="17"/>
  <c r="B277" i="17"/>
  <c r="F279" i="17"/>
  <c r="D282" i="17"/>
  <c r="B285" i="17"/>
  <c r="F287" i="17"/>
  <c r="D290" i="17"/>
  <c r="B293" i="17"/>
  <c r="B295" i="17"/>
  <c r="G296" i="17"/>
  <c r="E298" i="17"/>
  <c r="D300" i="17"/>
  <c r="C302" i="17"/>
  <c r="G303" i="17"/>
  <c r="F305" i="17"/>
  <c r="E307" i="17"/>
  <c r="C309" i="17"/>
  <c r="B311" i="17"/>
  <c r="G312" i="17"/>
  <c r="E314" i="17"/>
  <c r="D316" i="17"/>
  <c r="C318" i="17"/>
  <c r="G319" i="17"/>
  <c r="F321" i="17"/>
  <c r="E323" i="17"/>
  <c r="C325" i="17"/>
  <c r="B327" i="17"/>
  <c r="G328" i="17"/>
  <c r="E330" i="17"/>
  <c r="D332" i="17"/>
  <c r="C334" i="17"/>
  <c r="G335" i="17"/>
  <c r="F337" i="17"/>
  <c r="E339" i="17"/>
  <c r="C341" i="17"/>
  <c r="B343" i="17"/>
  <c r="G344" i="17"/>
  <c r="E346" i="17"/>
  <c r="D348" i="17"/>
  <c r="C350" i="17"/>
  <c r="G351" i="17"/>
  <c r="D353" i="17"/>
  <c r="F354" i="17"/>
  <c r="B356" i="17"/>
  <c r="D357" i="17"/>
  <c r="F358" i="17"/>
  <c r="B360" i="17"/>
  <c r="D361" i="17"/>
  <c r="F362" i="17"/>
  <c r="B364" i="17"/>
  <c r="D365" i="17"/>
  <c r="F366" i="17"/>
  <c r="B368" i="17"/>
  <c r="D369" i="17"/>
  <c r="F370" i="17"/>
  <c r="B372" i="17"/>
  <c r="D373" i="17"/>
  <c r="F374" i="17"/>
  <c r="B376" i="17"/>
  <c r="D377" i="17"/>
  <c r="F378" i="17"/>
  <c r="B380" i="17"/>
  <c r="D381" i="17"/>
  <c r="F382" i="17"/>
  <c r="B384" i="17"/>
  <c r="D385" i="17"/>
  <c r="F386" i="17"/>
  <c r="B388" i="17"/>
  <c r="D389" i="17"/>
  <c r="F390" i="17"/>
  <c r="B392" i="17"/>
  <c r="D393" i="17"/>
  <c r="F394" i="17"/>
  <c r="B396" i="17"/>
  <c r="D397" i="17"/>
  <c r="F398" i="17"/>
  <c r="B400" i="17"/>
  <c r="D401" i="17"/>
  <c r="F402" i="17"/>
  <c r="B404" i="17"/>
  <c r="D405" i="17"/>
  <c r="F406" i="17"/>
  <c r="B408" i="17"/>
  <c r="D409" i="17"/>
  <c r="E410" i="17"/>
  <c r="D411" i="17"/>
  <c r="D412" i="17"/>
  <c r="C413" i="17"/>
  <c r="B414" i="17"/>
  <c r="B415" i="17"/>
  <c r="G415" i="17"/>
  <c r="F416" i="17"/>
  <c r="F417" i="17"/>
  <c r="E418" i="17"/>
  <c r="D419" i="17"/>
  <c r="D420" i="17"/>
  <c r="C421" i="17"/>
  <c r="B422" i="17"/>
  <c r="B423" i="17"/>
  <c r="G423" i="17"/>
  <c r="F424" i="17"/>
  <c r="F425" i="17"/>
  <c r="E426" i="17"/>
  <c r="D427" i="17"/>
  <c r="D428" i="17"/>
  <c r="C429" i="17"/>
  <c r="B430" i="17"/>
  <c r="B431" i="17"/>
  <c r="G431" i="17"/>
  <c r="F432" i="17"/>
  <c r="F433" i="17"/>
  <c r="E434" i="17"/>
  <c r="D435" i="17"/>
  <c r="D436" i="17"/>
  <c r="C437" i="17"/>
  <c r="B438" i="17"/>
  <c r="B439" i="17"/>
  <c r="G439" i="17"/>
  <c r="F440" i="17"/>
  <c r="F441" i="17"/>
  <c r="E442" i="17"/>
  <c r="D443" i="17"/>
  <c r="D444" i="17"/>
  <c r="C445" i="17"/>
  <c r="B446" i="17"/>
  <c r="B447" i="17"/>
  <c r="G447" i="17"/>
  <c r="F448" i="17"/>
  <c r="F449" i="17"/>
  <c r="E450" i="17"/>
  <c r="D451" i="17"/>
  <c r="D452" i="17"/>
  <c r="C453" i="17"/>
  <c r="B454" i="17"/>
  <c r="B455" i="17"/>
  <c r="G455" i="17"/>
  <c r="F456" i="17"/>
  <c r="F457" i="17"/>
  <c r="E458" i="17"/>
  <c r="D459" i="17"/>
  <c r="D460" i="17"/>
  <c r="C461" i="17"/>
  <c r="B462" i="17"/>
  <c r="B463" i="17"/>
  <c r="G463" i="17"/>
  <c r="F464" i="17"/>
  <c r="F465" i="17"/>
  <c r="E466" i="17"/>
  <c r="D467" i="17"/>
  <c r="D468" i="17"/>
  <c r="C469" i="17"/>
  <c r="B470" i="17"/>
  <c r="B471" i="17"/>
  <c r="G471" i="17"/>
  <c r="F472" i="17"/>
  <c r="F473" i="17"/>
  <c r="E474" i="17"/>
  <c r="D475" i="17"/>
  <c r="D476" i="17"/>
  <c r="C477" i="17"/>
  <c r="B478" i="17"/>
  <c r="B479" i="17"/>
  <c r="F479" i="17"/>
  <c r="D480" i="17"/>
  <c r="B481" i="17"/>
  <c r="F481" i="17"/>
  <c r="D482" i="17"/>
  <c r="B483" i="17"/>
  <c r="F483" i="17"/>
  <c r="D484" i="17"/>
  <c r="B485" i="17"/>
  <c r="F485" i="17"/>
  <c r="D486" i="17"/>
  <c r="B487" i="17"/>
  <c r="F487" i="17"/>
  <c r="D488" i="17"/>
  <c r="B489" i="17"/>
  <c r="F489" i="17"/>
  <c r="D490" i="17"/>
  <c r="D41" i="17"/>
  <c r="F82" i="17"/>
  <c r="C107" i="17"/>
  <c r="C122" i="17"/>
  <c r="G132" i="17"/>
  <c r="E143" i="17"/>
  <c r="C154" i="17"/>
  <c r="G164" i="17"/>
  <c r="C174" i="17"/>
  <c r="D181" i="17"/>
  <c r="D188" i="17"/>
  <c r="E195" i="17"/>
  <c r="E201" i="17"/>
  <c r="F205" i="17"/>
  <c r="C209" i="17"/>
  <c r="G212" i="17"/>
  <c r="D216" i="17"/>
  <c r="G219" i="17"/>
  <c r="E223" i="17"/>
  <c r="B227" i="17"/>
  <c r="E230" i="17"/>
  <c r="C234" i="17"/>
  <c r="F237" i="17"/>
  <c r="C241" i="17"/>
  <c r="G244" i="17"/>
  <c r="D248" i="17"/>
  <c r="B251" i="17"/>
  <c r="F253" i="17"/>
  <c r="D256" i="17"/>
  <c r="B259" i="17"/>
  <c r="F261" i="17"/>
  <c r="D264" i="17"/>
  <c r="B267" i="17"/>
  <c r="F269" i="17"/>
  <c r="D272" i="17"/>
  <c r="B275" i="17"/>
  <c r="F277" i="17"/>
  <c r="D280" i="17"/>
  <c r="B283" i="17"/>
  <c r="F285" i="17"/>
  <c r="D288" i="17"/>
  <c r="B291" i="17"/>
  <c r="F293" i="17"/>
  <c r="E295" i="17"/>
  <c r="C297" i="17"/>
  <c r="B299" i="17"/>
  <c r="G300" i="17"/>
  <c r="E302" i="17"/>
  <c r="D304" i="17"/>
  <c r="C306" i="17"/>
  <c r="G307" i="17"/>
  <c r="F309" i="17"/>
  <c r="E311" i="17"/>
  <c r="C313" i="17"/>
  <c r="B315" i="17"/>
  <c r="G316" i="17"/>
  <c r="E318" i="17"/>
  <c r="D320" i="17"/>
  <c r="C322" i="17"/>
  <c r="G323" i="17"/>
  <c r="F325" i="17"/>
  <c r="E327" i="17"/>
  <c r="C329" i="17"/>
  <c r="B331" i="17"/>
  <c r="G332" i="17"/>
  <c r="E334" i="17"/>
  <c r="D336" i="17"/>
  <c r="C338" i="17"/>
  <c r="G339" i="17"/>
  <c r="F341" i="17"/>
  <c r="E343" i="17"/>
  <c r="C345" i="17"/>
  <c r="B347" i="17"/>
  <c r="G348" i="17"/>
  <c r="E350" i="17"/>
  <c r="D352" i="17"/>
  <c r="F353" i="17"/>
  <c r="B355" i="17"/>
  <c r="D356" i="17"/>
  <c r="F357" i="17"/>
  <c r="B359" i="17"/>
  <c r="D360" i="17"/>
  <c r="F361" i="17"/>
  <c r="B363" i="17"/>
  <c r="D364" i="17"/>
  <c r="F365" i="17"/>
  <c r="B367" i="17"/>
  <c r="D368" i="17"/>
  <c r="F369" i="17"/>
  <c r="B371" i="17"/>
  <c r="D372" i="17"/>
  <c r="F373" i="17"/>
  <c r="B375" i="17"/>
  <c r="D376" i="17"/>
  <c r="F377" i="17"/>
  <c r="B379" i="17"/>
  <c r="D380" i="17"/>
  <c r="F381" i="17"/>
  <c r="B383" i="17"/>
  <c r="D384" i="17"/>
  <c r="F385" i="17"/>
  <c r="B387" i="17"/>
  <c r="D388" i="17"/>
  <c r="F389" i="17"/>
  <c r="B391" i="17"/>
  <c r="D392" i="17"/>
  <c r="F393" i="17"/>
  <c r="B395" i="17"/>
  <c r="D396" i="17"/>
  <c r="F397" i="17"/>
  <c r="B399" i="17"/>
  <c r="D400" i="17"/>
  <c r="F401" i="17"/>
  <c r="B403" i="17"/>
  <c r="D404" i="17"/>
  <c r="F405" i="17"/>
  <c r="B407" i="17"/>
  <c r="D408" i="17"/>
  <c r="F409" i="17"/>
  <c r="F410" i="17"/>
  <c r="F411" i="17"/>
  <c r="E412" i="17"/>
  <c r="D413" i="17"/>
  <c r="D414" i="17"/>
  <c r="C415" i="17"/>
  <c r="B416" i="17"/>
  <c r="B417" i="17"/>
  <c r="G417" i="17"/>
  <c r="F418" i="17"/>
  <c r="F419" i="17"/>
  <c r="E420" i="17"/>
  <c r="D421" i="17"/>
  <c r="D422" i="17"/>
  <c r="C423" i="17"/>
  <c r="B424" i="17"/>
  <c r="B425" i="17"/>
  <c r="G425" i="17"/>
  <c r="F426" i="17"/>
  <c r="F427" i="17"/>
  <c r="E428" i="17"/>
  <c r="D429" i="17"/>
  <c r="D430" i="17"/>
  <c r="C431" i="17"/>
  <c r="B432" i="17"/>
  <c r="B433" i="17"/>
  <c r="G433" i="17"/>
  <c r="F434" i="17"/>
  <c r="F435" i="17"/>
  <c r="E436" i="17"/>
  <c r="D437" i="17"/>
  <c r="D438" i="17"/>
  <c r="C439" i="17"/>
  <c r="B440" i="17"/>
  <c r="B441" i="17"/>
  <c r="G441" i="17"/>
  <c r="F442" i="17"/>
  <c r="F443" i="17"/>
  <c r="E444" i="17"/>
  <c r="D445" i="17"/>
  <c r="D446" i="17"/>
  <c r="C447" i="17"/>
  <c r="B448" i="17"/>
  <c r="B449" i="17"/>
  <c r="G449" i="17"/>
  <c r="F450" i="17"/>
  <c r="F451" i="17"/>
  <c r="E452" i="17"/>
  <c r="D453" i="17"/>
  <c r="D454" i="17"/>
  <c r="C455" i="17"/>
  <c r="B456" i="17"/>
  <c r="B457" i="17"/>
  <c r="G457" i="17"/>
  <c r="F458" i="17"/>
  <c r="F459" i="17"/>
  <c r="E460" i="17"/>
  <c r="D461" i="17"/>
  <c r="D462" i="17"/>
  <c r="C463" i="17"/>
  <c r="B464" i="17"/>
  <c r="B465" i="17"/>
  <c r="G465" i="17"/>
  <c r="F466" i="17"/>
  <c r="F467" i="17"/>
  <c r="E468" i="17"/>
  <c r="D469" i="17"/>
  <c r="D470" i="17"/>
  <c r="C471" i="17"/>
  <c r="B472" i="17"/>
  <c r="B473" i="17"/>
  <c r="G473" i="17"/>
  <c r="F474" i="17"/>
  <c r="F475" i="17"/>
  <c r="E476" i="17"/>
  <c r="D477" i="17"/>
  <c r="D478" i="17"/>
  <c r="C479" i="17"/>
  <c r="G479" i="17"/>
  <c r="E480" i="17"/>
  <c r="C481" i="17"/>
  <c r="G481" i="17"/>
  <c r="E482" i="17"/>
  <c r="C483" i="17"/>
  <c r="G483" i="17"/>
  <c r="E484" i="17"/>
  <c r="C485" i="17"/>
  <c r="G485" i="17"/>
  <c r="E486" i="17"/>
  <c r="C487" i="17"/>
  <c r="G487" i="17"/>
  <c r="E488" i="17"/>
  <c r="C489" i="17"/>
  <c r="G489" i="17"/>
  <c r="E490" i="17"/>
  <c r="C491" i="17"/>
  <c r="G491" i="17"/>
  <c r="E492" i="17"/>
  <c r="C493" i="17"/>
  <c r="G493" i="17"/>
  <c r="E494" i="17"/>
  <c r="C495" i="17"/>
  <c r="G495" i="17"/>
  <c r="E496" i="17"/>
  <c r="C497" i="17"/>
  <c r="G497" i="17"/>
  <c r="E498" i="17"/>
  <c r="C499" i="17"/>
  <c r="G499" i="17"/>
  <c r="E500" i="17"/>
  <c r="C501" i="17"/>
  <c r="G501" i="17"/>
  <c r="E502" i="17"/>
  <c r="C503" i="17"/>
  <c r="G503" i="17"/>
  <c r="E504" i="17"/>
  <c r="C505" i="17"/>
  <c r="G505" i="17"/>
  <c r="E506" i="17"/>
  <c r="C507" i="17"/>
  <c r="G507" i="17"/>
  <c r="E508" i="17"/>
  <c r="C509" i="17"/>
  <c r="G509" i="17"/>
  <c r="E510" i="17"/>
  <c r="C511" i="17"/>
  <c r="G511" i="17"/>
  <c r="E512" i="17"/>
  <c r="C513" i="17"/>
  <c r="G513" i="17"/>
  <c r="E514" i="17"/>
  <c r="C515" i="17"/>
  <c r="G515" i="17"/>
  <c r="E516" i="17"/>
  <c r="C517" i="17"/>
  <c r="G517" i="17"/>
  <c r="E518" i="17"/>
  <c r="C519" i="17"/>
  <c r="G519" i="17"/>
  <c r="E520" i="17"/>
  <c r="C521" i="17"/>
  <c r="G521" i="17"/>
  <c r="E522" i="17"/>
  <c r="C523" i="17"/>
  <c r="G523" i="17"/>
  <c r="E524" i="17"/>
  <c r="C525" i="17"/>
  <c r="G525" i="17"/>
  <c r="E526" i="17"/>
  <c r="C527" i="17"/>
  <c r="G527" i="17"/>
  <c r="E528" i="17"/>
  <c r="C529" i="17"/>
  <c r="G529" i="17"/>
  <c r="E530" i="17"/>
  <c r="C531" i="17"/>
  <c r="G531" i="17"/>
  <c r="E532" i="17"/>
  <c r="C533" i="17"/>
  <c r="G533" i="17"/>
  <c r="E534" i="17"/>
  <c r="C535" i="17"/>
  <c r="G535" i="17"/>
  <c r="E536" i="17"/>
  <c r="C537" i="17"/>
  <c r="G537" i="17"/>
  <c r="E538" i="17"/>
  <c r="C539" i="17"/>
  <c r="G539" i="17"/>
  <c r="E540" i="17"/>
  <c r="C541" i="17"/>
  <c r="G541" i="17"/>
  <c r="E542" i="17"/>
  <c r="C543" i="17"/>
  <c r="G543" i="17"/>
  <c r="E544" i="17"/>
  <c r="C545" i="17"/>
  <c r="G545" i="17"/>
  <c r="E546" i="17"/>
  <c r="C547" i="17"/>
  <c r="G547" i="17"/>
  <c r="E548" i="17"/>
  <c r="C549" i="17"/>
  <c r="G549" i="17"/>
  <c r="E550" i="17"/>
  <c r="C551" i="17"/>
  <c r="G551" i="17"/>
  <c r="E552" i="17"/>
  <c r="C553" i="17"/>
  <c r="G553" i="17"/>
  <c r="E554" i="17"/>
  <c r="C555" i="17"/>
  <c r="G555" i="17"/>
  <c r="E556" i="17"/>
  <c r="C557" i="17"/>
  <c r="G557" i="17"/>
  <c r="E558" i="17"/>
  <c r="C559" i="17"/>
  <c r="G559" i="17"/>
  <c r="E560" i="17"/>
  <c r="C561" i="17"/>
  <c r="G561" i="17"/>
  <c r="E562" i="17"/>
  <c r="C563" i="17"/>
  <c r="G563" i="17"/>
  <c r="E564" i="17"/>
  <c r="C565" i="17"/>
  <c r="G565" i="17"/>
  <c r="E566" i="17"/>
  <c r="C567" i="17"/>
  <c r="G567" i="17"/>
  <c r="E568" i="17"/>
  <c r="C569" i="17"/>
  <c r="G569" i="17"/>
  <c r="E570" i="17"/>
  <c r="C571" i="17"/>
  <c r="G571" i="17"/>
  <c r="E572" i="17"/>
  <c r="C573" i="17"/>
  <c r="G573" i="17"/>
  <c r="E574" i="17"/>
  <c r="C575" i="17"/>
  <c r="B54" i="17"/>
  <c r="G111" i="17"/>
  <c r="E135" i="17"/>
  <c r="G156" i="17"/>
  <c r="B176" i="17"/>
  <c r="C190" i="17"/>
  <c r="G202" i="17"/>
  <c r="C210" i="17"/>
  <c r="C217" i="17"/>
  <c r="D224" i="17"/>
  <c r="E231" i="17"/>
  <c r="E238" i="17"/>
  <c r="F245" i="17"/>
  <c r="F251" i="17"/>
  <c r="B257" i="17"/>
  <c r="D262" i="17"/>
  <c r="F267" i="17"/>
  <c r="B273" i="17"/>
  <c r="D278" i="17"/>
  <c r="F283" i="17"/>
  <c r="B289" i="17"/>
  <c r="C294" i="17"/>
  <c r="F297" i="17"/>
  <c r="C301" i="17"/>
  <c r="G304" i="17"/>
  <c r="D308" i="17"/>
  <c r="G311" i="17"/>
  <c r="E315" i="17"/>
  <c r="B319" i="17"/>
  <c r="E322" i="17"/>
  <c r="C326" i="17"/>
  <c r="F329" i="17"/>
  <c r="C333" i="17"/>
  <c r="G336" i="17"/>
  <c r="D340" i="17"/>
  <c r="G343" i="17"/>
  <c r="E347" i="17"/>
  <c r="B351" i="17"/>
  <c r="B354" i="17"/>
  <c r="F356" i="17"/>
  <c r="D359" i="17"/>
  <c r="B362" i="17"/>
  <c r="F364" i="17"/>
  <c r="D367" i="17"/>
  <c r="B370" i="17"/>
  <c r="F372" i="17"/>
  <c r="D375" i="17"/>
  <c r="B378" i="17"/>
  <c r="F380" i="17"/>
  <c r="D383" i="17"/>
  <c r="B386" i="17"/>
  <c r="F388" i="17"/>
  <c r="D391" i="17"/>
  <c r="B394" i="17"/>
  <c r="F396" i="17"/>
  <c r="D399" i="17"/>
  <c r="B402" i="17"/>
  <c r="F404" i="17"/>
  <c r="D407" i="17"/>
  <c r="B410" i="17"/>
  <c r="G411" i="17"/>
  <c r="F413" i="17"/>
  <c r="D415" i="17"/>
  <c r="C417" i="17"/>
  <c r="B419" i="17"/>
  <c r="F420" i="17"/>
  <c r="E422" i="17"/>
  <c r="D424" i="17"/>
  <c r="B426" i="17"/>
  <c r="G427" i="17"/>
  <c r="F429" i="17"/>
  <c r="D431" i="17"/>
  <c r="C433" i="17"/>
  <c r="B435" i="17"/>
  <c r="F436" i="17"/>
  <c r="E438" i="17"/>
  <c r="D440" i="17"/>
  <c r="B442" i="17"/>
  <c r="G443" i="17"/>
  <c r="F445" i="17"/>
  <c r="D447" i="17"/>
  <c r="C449" i="17"/>
  <c r="B451" i="17"/>
  <c r="F452" i="17"/>
  <c r="E454" i="17"/>
  <c r="D456" i="17"/>
  <c r="B458" i="17"/>
  <c r="G459" i="17"/>
  <c r="F461" i="17"/>
  <c r="D463" i="17"/>
  <c r="C465" i="17"/>
  <c r="B467" i="17"/>
  <c r="F468" i="17"/>
  <c r="E470" i="17"/>
  <c r="D472" i="17"/>
  <c r="B474" i="17"/>
  <c r="G475" i="17"/>
  <c r="F477" i="17"/>
  <c r="D479" i="17"/>
  <c r="F480" i="17"/>
  <c r="B482" i="17"/>
  <c r="D483" i="17"/>
  <c r="F484" i="17"/>
  <c r="B486" i="17"/>
  <c r="D487" i="17"/>
  <c r="F488" i="17"/>
  <c r="B490" i="17"/>
  <c r="B491" i="17"/>
  <c r="B492" i="17"/>
  <c r="G492" i="17"/>
  <c r="F493" i="17"/>
  <c r="F494" i="17"/>
  <c r="E495" i="17"/>
  <c r="D496" i="17"/>
  <c r="D497" i="17"/>
  <c r="C498" i="17"/>
  <c r="B499" i="17"/>
  <c r="B500" i="17"/>
  <c r="G500" i="17"/>
  <c r="F501" i="17"/>
  <c r="F502" i="17"/>
  <c r="E503" i="17"/>
  <c r="D504" i="17"/>
  <c r="D505" i="17"/>
  <c r="C506" i="17"/>
  <c r="B507" i="17"/>
  <c r="B508" i="17"/>
  <c r="G508" i="17"/>
  <c r="F509" i="17"/>
  <c r="F510" i="17"/>
  <c r="E511" i="17"/>
  <c r="D512" i="17"/>
  <c r="D513" i="17"/>
  <c r="C514" i="17"/>
  <c r="B515" i="17"/>
  <c r="B516" i="17"/>
  <c r="G516" i="17"/>
  <c r="F517" i="17"/>
  <c r="F518" i="17"/>
  <c r="E519" i="17"/>
  <c r="D520" i="17"/>
  <c r="D521" i="17"/>
  <c r="C522" i="17"/>
  <c r="B523" i="17"/>
  <c r="B524" i="17"/>
  <c r="G524" i="17"/>
  <c r="F525" i="17"/>
  <c r="F526" i="17"/>
  <c r="E527" i="17"/>
  <c r="D528" i="17"/>
  <c r="D529" i="17"/>
  <c r="C530" i="17"/>
  <c r="B531" i="17"/>
  <c r="B532" i="17"/>
  <c r="G532" i="17"/>
  <c r="F533" i="17"/>
  <c r="F534" i="17"/>
  <c r="E535" i="17"/>
  <c r="D536" i="17"/>
  <c r="D537" i="17"/>
  <c r="C538" i="17"/>
  <c r="B539" i="17"/>
  <c r="B540" i="17"/>
  <c r="G540" i="17"/>
  <c r="F541" i="17"/>
  <c r="F542" i="17"/>
  <c r="E543" i="17"/>
  <c r="D544" i="17"/>
  <c r="D545" i="17"/>
  <c r="C546" i="17"/>
  <c r="B547" i="17"/>
  <c r="B548" i="17"/>
  <c r="G548" i="17"/>
  <c r="F549" i="17"/>
  <c r="F550" i="17"/>
  <c r="E551" i="17"/>
  <c r="D552" i="17"/>
  <c r="D553" i="17"/>
  <c r="C554" i="17"/>
  <c r="B555" i="17"/>
  <c r="B556" i="17"/>
  <c r="G556" i="17"/>
  <c r="F557" i="17"/>
  <c r="F558" i="17"/>
  <c r="E559" i="17"/>
  <c r="D560" i="17"/>
  <c r="D561" i="17"/>
  <c r="C562" i="17"/>
  <c r="B563" i="17"/>
  <c r="B564" i="17"/>
  <c r="G564" i="17"/>
  <c r="F565" i="17"/>
  <c r="F566" i="17"/>
  <c r="E567" i="17"/>
  <c r="D568" i="17"/>
  <c r="D569" i="17"/>
  <c r="C570" i="17"/>
  <c r="B571" i="17"/>
  <c r="B572" i="17"/>
  <c r="G572" i="17"/>
  <c r="F573" i="17"/>
  <c r="F574" i="17"/>
  <c r="E575" i="17"/>
  <c r="C576" i="17"/>
  <c r="G576" i="17"/>
  <c r="E577" i="17"/>
  <c r="C578" i="17"/>
  <c r="G578" i="17"/>
  <c r="E579" i="17"/>
  <c r="C580" i="17"/>
  <c r="G580" i="17"/>
  <c r="E581" i="17"/>
  <c r="C582" i="17"/>
  <c r="G582" i="17"/>
  <c r="E583" i="17"/>
  <c r="C584" i="17"/>
  <c r="G584" i="17"/>
  <c r="E585" i="17"/>
  <c r="C586" i="17"/>
  <c r="G586" i="17"/>
  <c r="E587" i="17"/>
  <c r="C588" i="17"/>
  <c r="G588" i="17"/>
  <c r="E589" i="17"/>
  <c r="C590" i="17"/>
  <c r="G590" i="17"/>
  <c r="E591" i="17"/>
  <c r="C592" i="17"/>
  <c r="G592" i="17"/>
  <c r="E593" i="17"/>
  <c r="C594" i="17"/>
  <c r="G594" i="17"/>
  <c r="E595" i="17"/>
  <c r="C596" i="17"/>
  <c r="G596" i="17"/>
  <c r="E597" i="17"/>
  <c r="C598" i="17"/>
  <c r="G598" i="17"/>
  <c r="E599" i="17"/>
  <c r="C600" i="17"/>
  <c r="G600" i="17"/>
  <c r="E601" i="17"/>
  <c r="C602" i="17"/>
  <c r="G602" i="17"/>
  <c r="E603" i="17"/>
  <c r="C604" i="17"/>
  <c r="G604" i="17"/>
  <c r="E605" i="17"/>
  <c r="C606" i="17"/>
  <c r="G606" i="17"/>
  <c r="E607" i="17"/>
  <c r="C608" i="17"/>
  <c r="G608" i="17"/>
  <c r="E609" i="17"/>
  <c r="C610" i="17"/>
  <c r="G610" i="17"/>
  <c r="E611" i="17"/>
  <c r="C612" i="17"/>
  <c r="G612" i="17"/>
  <c r="E613" i="17"/>
  <c r="C614" i="17"/>
  <c r="G614" i="17"/>
  <c r="E615" i="17"/>
  <c r="C616" i="17"/>
  <c r="G616" i="17"/>
  <c r="E617" i="17"/>
  <c r="C618" i="17"/>
  <c r="G618" i="17"/>
  <c r="E619" i="17"/>
  <c r="C620" i="17"/>
  <c r="G620" i="17"/>
  <c r="E621" i="17"/>
  <c r="C622" i="17"/>
  <c r="G622" i="17"/>
  <c r="E623" i="17"/>
  <c r="C624" i="17"/>
  <c r="G624" i="17"/>
  <c r="E625" i="17"/>
  <c r="C626" i="17"/>
  <c r="G626" i="17"/>
  <c r="E627" i="17"/>
  <c r="C628" i="17"/>
  <c r="G628" i="17"/>
  <c r="E629" i="17"/>
  <c r="C630" i="17"/>
  <c r="G630" i="17"/>
  <c r="E631" i="17"/>
  <c r="C632" i="17"/>
  <c r="G632" i="17"/>
  <c r="E633" i="17"/>
  <c r="C634" i="17"/>
  <c r="G634" i="17"/>
  <c r="E635" i="17"/>
  <c r="C636" i="17"/>
  <c r="G636" i="17"/>
  <c r="E637" i="17"/>
  <c r="C638" i="17"/>
  <c r="G638" i="17"/>
  <c r="E639" i="17"/>
  <c r="C640" i="17"/>
  <c r="G640" i="17"/>
  <c r="E641" i="17"/>
  <c r="C642" i="17"/>
  <c r="G642" i="17"/>
  <c r="E643" i="17"/>
  <c r="C644" i="17"/>
  <c r="G644" i="17"/>
  <c r="E645" i="17"/>
  <c r="C646" i="17"/>
  <c r="G646" i="17"/>
  <c r="E647" i="17"/>
  <c r="C648" i="17"/>
  <c r="G648" i="17"/>
  <c r="E649" i="17"/>
  <c r="C650" i="17"/>
  <c r="G650" i="17"/>
  <c r="E651" i="17"/>
  <c r="C652" i="17"/>
  <c r="G652" i="17"/>
  <c r="E653" i="17"/>
  <c r="C654" i="17"/>
  <c r="G654" i="17"/>
  <c r="E655" i="17"/>
  <c r="C656" i="17"/>
  <c r="G656" i="17"/>
  <c r="E657" i="17"/>
  <c r="C658" i="17"/>
  <c r="G658" i="17"/>
  <c r="E659" i="17"/>
  <c r="C660" i="17"/>
  <c r="G660" i="17"/>
  <c r="E661" i="17"/>
  <c r="C662" i="17"/>
  <c r="G662" i="17"/>
  <c r="E663" i="17"/>
  <c r="C664" i="17"/>
  <c r="G664" i="17"/>
  <c r="E665" i="17"/>
  <c r="C666" i="17"/>
  <c r="G666" i="17"/>
  <c r="E667" i="17"/>
  <c r="G89" i="17"/>
  <c r="G124" i="17"/>
  <c r="C146" i="17"/>
  <c r="E167" i="17"/>
  <c r="B183" i="17"/>
  <c r="D197" i="17"/>
  <c r="E206" i="17"/>
  <c r="F213" i="17"/>
  <c r="G220" i="17"/>
  <c r="G227" i="17"/>
  <c r="B235" i="17"/>
  <c r="C242" i="17"/>
  <c r="B249" i="17"/>
  <c r="D254" i="17"/>
  <c r="F259" i="17"/>
  <c r="B265" i="17"/>
  <c r="D270" i="17"/>
  <c r="F275" i="17"/>
  <c r="B281" i="17"/>
  <c r="D286" i="17"/>
  <c r="F291" i="17"/>
  <c r="G295" i="17"/>
  <c r="E299" i="17"/>
  <c r="B303" i="17"/>
  <c r="E306" i="17"/>
  <c r="C310" i="17"/>
  <c r="F313" i="17"/>
  <c r="C317" i="17"/>
  <c r="G320" i="17"/>
  <c r="D324" i="17"/>
  <c r="G327" i="17"/>
  <c r="E331" i="17"/>
  <c r="B335" i="17"/>
  <c r="E338" i="17"/>
  <c r="C342" i="17"/>
  <c r="F345" i="17"/>
  <c r="C349" i="17"/>
  <c r="F352" i="17"/>
  <c r="D355" i="17"/>
  <c r="B358" i="17"/>
  <c r="F360" i="17"/>
  <c r="D363" i="17"/>
  <c r="B366" i="17"/>
  <c r="F368" i="17"/>
  <c r="D371" i="17"/>
  <c r="B374" i="17"/>
  <c r="F376" i="17"/>
  <c r="D379" i="17"/>
  <c r="B382" i="17"/>
  <c r="F384" i="17"/>
  <c r="D387" i="17"/>
  <c r="B390" i="17"/>
  <c r="F392" i="17"/>
  <c r="D395" i="17"/>
  <c r="B398" i="17"/>
  <c r="F400" i="17"/>
  <c r="D403" i="17"/>
  <c r="B406" i="17"/>
  <c r="F408" i="17"/>
  <c r="B411" i="17"/>
  <c r="F412" i="17"/>
  <c r="E414" i="17"/>
  <c r="D416" i="17"/>
  <c r="B418" i="17"/>
  <c r="G419" i="17"/>
  <c r="F421" i="17"/>
  <c r="D423" i="17"/>
  <c r="C425" i="17"/>
  <c r="B427" i="17"/>
  <c r="F428" i="17"/>
  <c r="E430" i="17"/>
  <c r="D432" i="17"/>
  <c r="B434" i="17"/>
  <c r="G435" i="17"/>
  <c r="F437" i="17"/>
  <c r="D439" i="17"/>
  <c r="C441" i="17"/>
  <c r="B443" i="17"/>
  <c r="F444" i="17"/>
  <c r="E446" i="17"/>
  <c r="D448" i="17"/>
  <c r="B450" i="17"/>
  <c r="G451" i="17"/>
  <c r="F453" i="17"/>
  <c r="D455" i="17"/>
  <c r="C457" i="17"/>
  <c r="B459" i="17"/>
  <c r="F460" i="17"/>
  <c r="E462" i="17"/>
  <c r="D464" i="17"/>
  <c r="B466" i="17"/>
  <c r="G467" i="17"/>
  <c r="F469" i="17"/>
  <c r="D471" i="17"/>
  <c r="C473" i="17"/>
  <c r="B475" i="17"/>
  <c r="F476" i="17"/>
  <c r="E478" i="17"/>
  <c r="B480" i="17"/>
  <c r="D481" i="17"/>
  <c r="F482" i="17"/>
  <c r="B484" i="17"/>
  <c r="D485" i="17"/>
  <c r="F486" i="17"/>
  <c r="B488" i="17"/>
  <c r="D489" i="17"/>
  <c r="F490" i="17"/>
  <c r="E491" i="17"/>
  <c r="D492" i="17"/>
  <c r="D493" i="17"/>
  <c r="C494" i="17"/>
  <c r="B495" i="17"/>
  <c r="B496" i="17"/>
  <c r="G496" i="17"/>
  <c r="F497" i="17"/>
  <c r="F498" i="17"/>
  <c r="E499" i="17"/>
  <c r="D500" i="17"/>
  <c r="D501" i="17"/>
  <c r="C502" i="17"/>
  <c r="B503" i="17"/>
  <c r="B504" i="17"/>
  <c r="G504" i="17"/>
  <c r="F505" i="17"/>
  <c r="F506" i="17"/>
  <c r="E507" i="17"/>
  <c r="D508" i="17"/>
  <c r="D509" i="17"/>
  <c r="C510" i="17"/>
  <c r="B511" i="17"/>
  <c r="B512" i="17"/>
  <c r="G512" i="17"/>
  <c r="F513" i="17"/>
  <c r="F514" i="17"/>
  <c r="E515" i="17"/>
  <c r="D516" i="17"/>
  <c r="D517" i="17"/>
  <c r="C518" i="17"/>
  <c r="B519" i="17"/>
  <c r="B520" i="17"/>
  <c r="G520" i="17"/>
  <c r="F521" i="17"/>
  <c r="F522" i="17"/>
  <c r="E523" i="17"/>
  <c r="D524" i="17"/>
  <c r="D525" i="17"/>
  <c r="C526" i="17"/>
  <c r="B527" i="17"/>
  <c r="B528" i="17"/>
  <c r="G528" i="17"/>
  <c r="F529" i="17"/>
  <c r="F530" i="17"/>
  <c r="E531" i="17"/>
  <c r="D532" i="17"/>
  <c r="D533" i="17"/>
  <c r="C534" i="17"/>
  <c r="B535" i="17"/>
  <c r="B536" i="17"/>
  <c r="G536" i="17"/>
  <c r="F537" i="17"/>
  <c r="F538" i="17"/>
  <c r="E539" i="17"/>
  <c r="D540" i="17"/>
  <c r="D541" i="17"/>
  <c r="C542" i="17"/>
  <c r="B543" i="17"/>
  <c r="B544" i="17"/>
  <c r="G544" i="17"/>
  <c r="F545" i="17"/>
  <c r="F546" i="17"/>
  <c r="E547" i="17"/>
  <c r="D548" i="17"/>
  <c r="D549" i="17"/>
  <c r="C550" i="17"/>
  <c r="B551" i="17"/>
  <c r="B552" i="17"/>
  <c r="G552" i="17"/>
  <c r="F553" i="17"/>
  <c r="F554" i="17"/>
  <c r="E555" i="17"/>
  <c r="D556" i="17"/>
  <c r="D557" i="17"/>
  <c r="C558" i="17"/>
  <c r="B559" i="17"/>
  <c r="B560" i="17"/>
  <c r="G560" i="17"/>
  <c r="F561" i="17"/>
  <c r="F562" i="17"/>
  <c r="E563" i="17"/>
  <c r="D564" i="17"/>
  <c r="D565" i="17"/>
  <c r="C566" i="17"/>
  <c r="B567" i="17"/>
  <c r="B568" i="17"/>
  <c r="G568" i="17"/>
  <c r="F569" i="17"/>
  <c r="F570" i="17"/>
  <c r="E571" i="17"/>
  <c r="D572" i="17"/>
  <c r="D573" i="17"/>
  <c r="C574" i="17"/>
  <c r="B575" i="17"/>
  <c r="G575" i="17"/>
  <c r="E576" i="17"/>
  <c r="C577" i="17"/>
  <c r="G577" i="17"/>
  <c r="E578" i="17"/>
  <c r="C579" i="17"/>
  <c r="G579" i="17"/>
  <c r="E580" i="17"/>
  <c r="C581" i="17"/>
  <c r="G581" i="17"/>
  <c r="E582" i="17"/>
  <c r="C583" i="17"/>
  <c r="G583" i="17"/>
  <c r="E584" i="17"/>
  <c r="C585" i="17"/>
  <c r="G585" i="17"/>
  <c r="E586" i="17"/>
  <c r="C587" i="17"/>
  <c r="G587" i="17"/>
  <c r="E588" i="17"/>
  <c r="C589" i="17"/>
  <c r="G589" i="17"/>
  <c r="E590" i="17"/>
  <c r="C591" i="17"/>
  <c r="G591" i="17"/>
  <c r="E592" i="17"/>
  <c r="C593" i="17"/>
  <c r="G593" i="17"/>
  <c r="E594" i="17"/>
  <c r="C595" i="17"/>
  <c r="G595" i="17"/>
  <c r="E596" i="17"/>
  <c r="C597" i="17"/>
  <c r="G597" i="17"/>
  <c r="E598" i="17"/>
  <c r="C599" i="17"/>
  <c r="G599" i="17"/>
  <c r="E600" i="17"/>
  <c r="C601" i="17"/>
  <c r="G601" i="17"/>
  <c r="E602" i="17"/>
  <c r="C603" i="17"/>
  <c r="G603" i="17"/>
  <c r="E604" i="17"/>
  <c r="C605" i="17"/>
  <c r="G605" i="17"/>
  <c r="E606" i="17"/>
  <c r="C607" i="17"/>
  <c r="G607" i="17"/>
  <c r="E608" i="17"/>
  <c r="C609" i="17"/>
  <c r="G609" i="17"/>
  <c r="E610" i="17"/>
  <c r="C611" i="17"/>
  <c r="G611" i="17"/>
  <c r="E612" i="17"/>
  <c r="C613" i="17"/>
  <c r="G613" i="17"/>
  <c r="E614" i="17"/>
  <c r="C615" i="17"/>
  <c r="G615" i="17"/>
  <c r="E616" i="17"/>
  <c r="C617" i="17"/>
  <c r="G617" i="17"/>
  <c r="E618" i="17"/>
  <c r="C619" i="17"/>
  <c r="G619" i="17"/>
  <c r="E620" i="17"/>
  <c r="C621" i="17"/>
  <c r="G621" i="17"/>
  <c r="E622" i="17"/>
  <c r="C623" i="17"/>
  <c r="G623" i="17"/>
  <c r="E624" i="17"/>
  <c r="C625" i="17"/>
  <c r="G625" i="17"/>
  <c r="E626" i="17"/>
  <c r="C627" i="17"/>
  <c r="G627" i="17"/>
  <c r="E628" i="17"/>
  <c r="C629" i="17"/>
  <c r="G629" i="17"/>
  <c r="E630" i="17"/>
  <c r="C631" i="17"/>
  <c r="G631" i="17"/>
  <c r="E632" i="17"/>
  <c r="C633" i="17"/>
  <c r="G633" i="17"/>
  <c r="E634" i="17"/>
  <c r="C635" i="17"/>
  <c r="G635" i="17"/>
  <c r="E636" i="17"/>
  <c r="C637" i="17"/>
  <c r="G637" i="17"/>
  <c r="E638" i="17"/>
  <c r="C639" i="17"/>
  <c r="G639" i="17"/>
  <c r="E640" i="17"/>
  <c r="C641" i="17"/>
  <c r="G641" i="17"/>
  <c r="E642" i="17"/>
  <c r="C643" i="17"/>
  <c r="G643" i="17"/>
  <c r="E644" i="17"/>
  <c r="C645" i="17"/>
  <c r="G645" i="17"/>
  <c r="E646" i="17"/>
  <c r="C647" i="17"/>
  <c r="G647" i="17"/>
  <c r="E648" i="17"/>
  <c r="C649" i="17"/>
  <c r="G649" i="17"/>
  <c r="E650" i="17"/>
  <c r="C651" i="17"/>
  <c r="G651" i="17"/>
  <c r="E652" i="17"/>
  <c r="C653" i="17"/>
  <c r="G653" i="17"/>
  <c r="E654" i="17"/>
  <c r="C655" i="17"/>
  <c r="G655" i="17"/>
  <c r="E656" i="17"/>
  <c r="C657" i="17"/>
  <c r="G657" i="17"/>
  <c r="E658" i="17"/>
  <c r="C659" i="17"/>
  <c r="G659" i="17"/>
  <c r="E660" i="17"/>
  <c r="C661" i="17"/>
  <c r="G661" i="17"/>
  <c r="E662" i="17"/>
  <c r="C663" i="17"/>
  <c r="G663" i="17"/>
  <c r="E664" i="17"/>
  <c r="C665" i="17"/>
  <c r="G665" i="17"/>
  <c r="E666" i="17"/>
  <c r="C667" i="17"/>
  <c r="G667" i="17"/>
  <c r="E668" i="17"/>
  <c r="C669" i="17"/>
  <c r="G669" i="17"/>
  <c r="E670" i="17"/>
  <c r="C671" i="17"/>
  <c r="G671" i="17"/>
  <c r="E65" i="17"/>
  <c r="C138" i="17"/>
  <c r="F177" i="17"/>
  <c r="G203" i="17"/>
  <c r="C218" i="17"/>
  <c r="D232" i="17"/>
  <c r="E246" i="17"/>
  <c r="F257" i="17"/>
  <c r="D268" i="17"/>
  <c r="B279" i="17"/>
  <c r="F289" i="17"/>
  <c r="C298" i="17"/>
  <c r="C305" i="17"/>
  <c r="D312" i="17"/>
  <c r="E319" i="17"/>
  <c r="E326" i="17"/>
  <c r="F333" i="17"/>
  <c r="G340" i="17"/>
  <c r="G347" i="17"/>
  <c r="D354" i="17"/>
  <c r="F359" i="17"/>
  <c r="B365" i="17"/>
  <c r="D370" i="17"/>
  <c r="F375" i="17"/>
  <c r="B381" i="17"/>
  <c r="D386" i="17"/>
  <c r="F391" i="17"/>
  <c r="B397" i="17"/>
  <c r="D402" i="17"/>
  <c r="F407" i="17"/>
  <c r="B412" i="17"/>
  <c r="F415" i="17"/>
  <c r="C419" i="17"/>
  <c r="F422" i="17"/>
  <c r="D426" i="17"/>
  <c r="G429" i="17"/>
  <c r="D433" i="17"/>
  <c r="B437" i="17"/>
  <c r="E440" i="17"/>
  <c r="B444" i="17"/>
  <c r="F447" i="17"/>
  <c r="C451" i="17"/>
  <c r="F454" i="17"/>
  <c r="D458" i="17"/>
  <c r="G461" i="17"/>
  <c r="D465" i="17"/>
  <c r="B469" i="17"/>
  <c r="E472" i="17"/>
  <c r="B476" i="17"/>
  <c r="E479" i="17"/>
  <c r="C482" i="17"/>
  <c r="G484" i="17"/>
  <c r="E487" i="17"/>
  <c r="C490" i="17"/>
  <c r="C492" i="17"/>
  <c r="B494" i="17"/>
  <c r="F495" i="17"/>
  <c r="E497" i="17"/>
  <c r="D499" i="17"/>
  <c r="B501" i="17"/>
  <c r="G502" i="17"/>
  <c r="F504" i="17"/>
  <c r="D506" i="17"/>
  <c r="C508" i="17"/>
  <c r="B510" i="17"/>
  <c r="F511" i="17"/>
  <c r="E513" i="17"/>
  <c r="D515" i="17"/>
  <c r="B517" i="17"/>
  <c r="G518" i="17"/>
  <c r="F520" i="17"/>
  <c r="D522" i="17"/>
  <c r="C524" i="17"/>
  <c r="B526" i="17"/>
  <c r="F527" i="17"/>
  <c r="E529" i="17"/>
  <c r="D531" i="17"/>
  <c r="B533" i="17"/>
  <c r="G534" i="17"/>
  <c r="F536" i="17"/>
  <c r="D538" i="17"/>
  <c r="C540" i="17"/>
  <c r="B542" i="17"/>
  <c r="F543" i="17"/>
  <c r="E545" i="17"/>
  <c r="D547" i="17"/>
  <c r="B549" i="17"/>
  <c r="G550" i="17"/>
  <c r="F552" i="17"/>
  <c r="D554" i="17"/>
  <c r="C556" i="17"/>
  <c r="B558" i="17"/>
  <c r="F559" i="17"/>
  <c r="E561" i="17"/>
  <c r="D563" i="17"/>
  <c r="B565" i="17"/>
  <c r="G566" i="17"/>
  <c r="F568" i="17"/>
  <c r="D570" i="17"/>
  <c r="C572" i="17"/>
  <c r="B574" i="17"/>
  <c r="F575" i="17"/>
  <c r="B577" i="17"/>
  <c r="D578" i="17"/>
  <c r="F579" i="17"/>
  <c r="B581" i="17"/>
  <c r="D582" i="17"/>
  <c r="F583" i="17"/>
  <c r="B585" i="17"/>
  <c r="D586" i="17"/>
  <c r="F587" i="17"/>
  <c r="B589" i="17"/>
  <c r="D590" i="17"/>
  <c r="F591" i="17"/>
  <c r="B593" i="17"/>
  <c r="D594" i="17"/>
  <c r="F595" i="17"/>
  <c r="B597" i="17"/>
  <c r="D598" i="17"/>
  <c r="F599" i="17"/>
  <c r="B601" i="17"/>
  <c r="D602" i="17"/>
  <c r="F603" i="17"/>
  <c r="B605" i="17"/>
  <c r="D606" i="17"/>
  <c r="F607" i="17"/>
  <c r="B609" i="17"/>
  <c r="D610" i="17"/>
  <c r="F611" i="17"/>
  <c r="B613" i="17"/>
  <c r="D614" i="17"/>
  <c r="F615" i="17"/>
  <c r="B617" i="17"/>
  <c r="D618" i="17"/>
  <c r="F619" i="17"/>
  <c r="B621" i="17"/>
  <c r="D622" i="17"/>
  <c r="F623" i="17"/>
  <c r="B625" i="17"/>
  <c r="D626" i="17"/>
  <c r="F627" i="17"/>
  <c r="B629" i="17"/>
  <c r="D630" i="17"/>
  <c r="F631" i="17"/>
  <c r="B633" i="17"/>
  <c r="D634" i="17"/>
  <c r="F635" i="17"/>
  <c r="B637" i="17"/>
  <c r="D638" i="17"/>
  <c r="F639" i="17"/>
  <c r="B641" i="17"/>
  <c r="D642" i="17"/>
  <c r="F643" i="17"/>
  <c r="B645" i="17"/>
  <c r="D646" i="17"/>
  <c r="F647" i="17"/>
  <c r="B649" i="17"/>
  <c r="D650" i="17"/>
  <c r="F651" i="17"/>
  <c r="B653" i="17"/>
  <c r="D654" i="17"/>
  <c r="F655" i="17"/>
  <c r="B657" i="17"/>
  <c r="D658" i="17"/>
  <c r="F659" i="17"/>
  <c r="B661" i="17"/>
  <c r="D662" i="17"/>
  <c r="F663" i="17"/>
  <c r="B665" i="17"/>
  <c r="D666" i="17"/>
  <c r="F667" i="17"/>
  <c r="F668" i="17"/>
  <c r="E669" i="17"/>
  <c r="D670" i="17"/>
  <c r="D671" i="17"/>
  <c r="E96" i="17"/>
  <c r="G148" i="17"/>
  <c r="G184" i="17"/>
  <c r="E207" i="17"/>
  <c r="F221" i="17"/>
  <c r="G235" i="17"/>
  <c r="F249" i="17"/>
  <c r="D260" i="17"/>
  <c r="B271" i="17"/>
  <c r="F281" i="17"/>
  <c r="D292" i="17"/>
  <c r="G299" i="17"/>
  <c r="B307" i="17"/>
  <c r="C314" i="17"/>
  <c r="C321" i="17"/>
  <c r="D328" i="17"/>
  <c r="E335" i="17"/>
  <c r="E342" i="17"/>
  <c r="F349" i="17"/>
  <c r="F355" i="17"/>
  <c r="B361" i="17"/>
  <c r="D366" i="17"/>
  <c r="F371" i="17"/>
  <c r="B377" i="17"/>
  <c r="D382" i="17"/>
  <c r="F387" i="17"/>
  <c r="B393" i="17"/>
  <c r="D398" i="17"/>
  <c r="F403" i="17"/>
  <c r="B409" i="17"/>
  <c r="B413" i="17"/>
  <c r="E416" i="17"/>
  <c r="B420" i="17"/>
  <c r="F423" i="17"/>
  <c r="C427" i="17"/>
  <c r="F430" i="17"/>
  <c r="D434" i="17"/>
  <c r="G437" i="17"/>
  <c r="D441" i="17"/>
  <c r="B445" i="17"/>
  <c r="E448" i="17"/>
  <c r="B452" i="17"/>
  <c r="F455" i="17"/>
  <c r="C459" i="17"/>
  <c r="F462" i="17"/>
  <c r="D466" i="17"/>
  <c r="G469" i="17"/>
  <c r="D473" i="17"/>
  <c r="B477" i="17"/>
  <c r="C480" i="17"/>
  <c r="G482" i="17"/>
  <c r="E485" i="17"/>
  <c r="C488" i="17"/>
  <c r="G490" i="17"/>
  <c r="F492" i="17"/>
  <c r="D494" i="17"/>
  <c r="C496" i="17"/>
  <c r="B498" i="17"/>
  <c r="F499" i="17"/>
  <c r="E501" i="17"/>
  <c r="D503" i="17"/>
  <c r="B505" i="17"/>
  <c r="G506" i="17"/>
  <c r="F508" i="17"/>
  <c r="D510" i="17"/>
  <c r="C512" i="17"/>
  <c r="B514" i="17"/>
  <c r="F515" i="17"/>
  <c r="E517" i="17"/>
  <c r="D519" i="17"/>
  <c r="B521" i="17"/>
  <c r="G522" i="17"/>
  <c r="F524" i="17"/>
  <c r="D526" i="17"/>
  <c r="C528" i="17"/>
  <c r="B530" i="17"/>
  <c r="F531" i="17"/>
  <c r="E533" i="17"/>
  <c r="D535" i="17"/>
  <c r="B537" i="17"/>
  <c r="G538" i="17"/>
  <c r="F540" i="17"/>
  <c r="D542" i="17"/>
  <c r="C544" i="17"/>
  <c r="B546" i="17"/>
  <c r="F547" i="17"/>
  <c r="E549" i="17"/>
  <c r="D551" i="17"/>
  <c r="B553" i="17"/>
  <c r="G554" i="17"/>
  <c r="F556" i="17"/>
  <c r="D558" i="17"/>
  <c r="C560" i="17"/>
  <c r="B562" i="17"/>
  <c r="F563" i="17"/>
  <c r="E565" i="17"/>
  <c r="D567" i="17"/>
  <c r="B569" i="17"/>
  <c r="G570" i="17"/>
  <c r="F572" i="17"/>
  <c r="D574" i="17"/>
  <c r="B576" i="17"/>
  <c r="D577" i="17"/>
  <c r="F578" i="17"/>
  <c r="B580" i="17"/>
  <c r="D581" i="17"/>
  <c r="F582" i="17"/>
  <c r="B584" i="17"/>
  <c r="D585" i="17"/>
  <c r="F586" i="17"/>
  <c r="B588" i="17"/>
  <c r="D589" i="17"/>
  <c r="F590" i="17"/>
  <c r="B592" i="17"/>
  <c r="D593" i="17"/>
  <c r="F594" i="17"/>
  <c r="B596" i="17"/>
  <c r="D597" i="17"/>
  <c r="F598" i="17"/>
  <c r="B600" i="17"/>
  <c r="D601" i="17"/>
  <c r="F602" i="17"/>
  <c r="B604" i="17"/>
  <c r="D605" i="17"/>
  <c r="F606" i="17"/>
  <c r="B608" i="17"/>
  <c r="D609" i="17"/>
  <c r="F610" i="17"/>
  <c r="B612" i="17"/>
  <c r="D613" i="17"/>
  <c r="F614" i="17"/>
  <c r="B616" i="17"/>
  <c r="D617" i="17"/>
  <c r="F618" i="17"/>
  <c r="B620" i="17"/>
  <c r="D621" i="17"/>
  <c r="F622" i="17"/>
  <c r="B624" i="17"/>
  <c r="D625" i="17"/>
  <c r="F626" i="17"/>
  <c r="B628" i="17"/>
  <c r="D629" i="17"/>
  <c r="F630" i="17"/>
  <c r="B632" i="17"/>
  <c r="D633" i="17"/>
  <c r="F634" i="17"/>
  <c r="B636" i="17"/>
  <c r="D637" i="17"/>
  <c r="F638" i="17"/>
  <c r="B640" i="17"/>
  <c r="D641" i="17"/>
  <c r="F642" i="17"/>
  <c r="B644" i="17"/>
  <c r="D645" i="17"/>
  <c r="F646" i="17"/>
  <c r="B648" i="17"/>
  <c r="D649" i="17"/>
  <c r="F650" i="17"/>
  <c r="B652" i="17"/>
  <c r="D653" i="17"/>
  <c r="F654" i="17"/>
  <c r="B656" i="17"/>
  <c r="D657" i="17"/>
  <c r="F658" i="17"/>
  <c r="B660" i="17"/>
  <c r="D661" i="17"/>
  <c r="F662" i="17"/>
  <c r="B664" i="17"/>
  <c r="D665" i="17"/>
  <c r="F666" i="17"/>
  <c r="B668" i="17"/>
  <c r="G668" i="17"/>
  <c r="F669" i="17"/>
  <c r="F670" i="17"/>
  <c r="E671" i="17"/>
  <c r="D115" i="17"/>
  <c r="E159" i="17"/>
  <c r="B192" i="17"/>
  <c r="B211" i="17"/>
  <c r="C225" i="17"/>
  <c r="E239" i="17"/>
  <c r="D252" i="17"/>
  <c r="B263" i="17"/>
  <c r="F273" i="17"/>
  <c r="D284" i="17"/>
  <c r="E294" i="17"/>
  <c r="F301" i="17"/>
  <c r="G308" i="17"/>
  <c r="G315" i="17"/>
  <c r="B323" i="17"/>
  <c r="C330" i="17"/>
  <c r="C337" i="17"/>
  <c r="D344" i="17"/>
  <c r="E351" i="17"/>
  <c r="B357" i="17"/>
  <c r="D362" i="17"/>
  <c r="F367" i="17"/>
  <c r="B373" i="17"/>
  <c r="D378" i="17"/>
  <c r="F383" i="17"/>
  <c r="B389" i="17"/>
  <c r="D394" i="17"/>
  <c r="F399" i="17"/>
  <c r="B405" i="17"/>
  <c r="D410" i="17"/>
  <c r="G413" i="17"/>
  <c r="D417" i="17"/>
  <c r="B421" i="17"/>
  <c r="E424" i="17"/>
  <c r="B428" i="17"/>
  <c r="F431" i="17"/>
  <c r="C435" i="17"/>
  <c r="F438" i="17"/>
  <c r="D442" i="17"/>
  <c r="G445" i="17"/>
  <c r="D449" i="17"/>
  <c r="B453" i="17"/>
  <c r="E456" i="17"/>
  <c r="B460" i="17"/>
  <c r="F463" i="17"/>
  <c r="C467" i="17"/>
  <c r="F470" i="17"/>
  <c r="D474" i="17"/>
  <c r="G477" i="17"/>
  <c r="G480" i="17"/>
  <c r="E483" i="17"/>
  <c r="C486" i="17"/>
  <c r="G488" i="17"/>
  <c r="D491" i="17"/>
  <c r="B493" i="17"/>
  <c r="G494" i="17"/>
  <c r="F496" i="17"/>
  <c r="D498" i="17"/>
  <c r="C500" i="17"/>
  <c r="B502" i="17"/>
  <c r="F503" i="17"/>
  <c r="E505" i="17"/>
  <c r="D507" i="17"/>
  <c r="B509" i="17"/>
  <c r="G510" i="17"/>
  <c r="F512" i="17"/>
  <c r="D514" i="17"/>
  <c r="C516" i="17"/>
  <c r="B518" i="17"/>
  <c r="F519" i="17"/>
  <c r="E521" i="17"/>
  <c r="D523" i="17"/>
  <c r="B525" i="17"/>
  <c r="G526" i="17"/>
  <c r="F528" i="17"/>
  <c r="D530" i="17"/>
  <c r="C532" i="17"/>
  <c r="B534" i="17"/>
  <c r="F535" i="17"/>
  <c r="E537" i="17"/>
  <c r="D539" i="17"/>
  <c r="B541" i="17"/>
  <c r="G542" i="17"/>
  <c r="F544" i="17"/>
  <c r="D546" i="17"/>
  <c r="C548" i="17"/>
  <c r="B550" i="17"/>
  <c r="F551" i="17"/>
  <c r="E553" i="17"/>
  <c r="D555" i="17"/>
  <c r="B557" i="17"/>
  <c r="G558" i="17"/>
  <c r="F560" i="17"/>
  <c r="D562" i="17"/>
  <c r="C564" i="17"/>
  <c r="B566" i="17"/>
  <c r="E127" i="17"/>
  <c r="G228" i="17"/>
  <c r="D276" i="17"/>
  <c r="E310" i="17"/>
  <c r="B339" i="17"/>
  <c r="F363" i="17"/>
  <c r="B385" i="17"/>
  <c r="D406" i="17"/>
  <c r="G421" i="17"/>
  <c r="B436" i="17"/>
  <c r="D450" i="17"/>
  <c r="E464" i="17"/>
  <c r="F478" i="17"/>
  <c r="E489" i="17"/>
  <c r="B497" i="17"/>
  <c r="C504" i="17"/>
  <c r="D511" i="17"/>
  <c r="D518" i="17"/>
  <c r="E525" i="17"/>
  <c r="F532" i="17"/>
  <c r="F539" i="17"/>
  <c r="G546" i="17"/>
  <c r="B554" i="17"/>
  <c r="B561" i="17"/>
  <c r="F567" i="17"/>
  <c r="D571" i="17"/>
  <c r="G574" i="17"/>
  <c r="F577" i="17"/>
  <c r="D580" i="17"/>
  <c r="B583" i="17"/>
  <c r="F585" i="17"/>
  <c r="D588" i="17"/>
  <c r="B591" i="17"/>
  <c r="F593" i="17"/>
  <c r="D596" i="17"/>
  <c r="B599" i="17"/>
  <c r="F601" i="17"/>
  <c r="D604" i="17"/>
  <c r="B607" i="17"/>
  <c r="F609" i="17"/>
  <c r="D612" i="17"/>
  <c r="B615" i="17"/>
  <c r="F617" i="17"/>
  <c r="D620" i="17"/>
  <c r="B623" i="17"/>
  <c r="F625" i="17"/>
  <c r="D628" i="17"/>
  <c r="B631" i="17"/>
  <c r="F633" i="17"/>
  <c r="D636" i="17"/>
  <c r="B639" i="17"/>
  <c r="F641" i="17"/>
  <c r="D644" i="17"/>
  <c r="B647" i="17"/>
  <c r="F649" i="17"/>
  <c r="D652" i="17"/>
  <c r="B655" i="17"/>
  <c r="F657" i="17"/>
  <c r="D660" i="17"/>
  <c r="B663" i="17"/>
  <c r="F665" i="17"/>
  <c r="C668" i="17"/>
  <c r="B670" i="17"/>
  <c r="F671" i="17"/>
  <c r="E214" i="17"/>
  <c r="F265" i="17"/>
  <c r="E303" i="17"/>
  <c r="G331" i="17"/>
  <c r="D358" i="17"/>
  <c r="F379" i="17"/>
  <c r="B401" i="17"/>
  <c r="D418" i="17"/>
  <c r="E432" i="17"/>
  <c r="F446" i="17"/>
  <c r="B461" i="17"/>
  <c r="C475" i="17"/>
  <c r="G486" i="17"/>
  <c r="D495" i="17"/>
  <c r="D502" i="17"/>
  <c r="E509" i="17"/>
  <c r="F516" i="17"/>
  <c r="F523" i="17"/>
  <c r="G530" i="17"/>
  <c r="B538" i="17"/>
  <c r="B545" i="17"/>
  <c r="C552" i="17"/>
  <c r="D559" i="17"/>
  <c r="D566" i="17"/>
  <c r="B570" i="17"/>
  <c r="E573" i="17"/>
  <c r="F576" i="17"/>
  <c r="D579" i="17"/>
  <c r="B582" i="17"/>
  <c r="F584" i="17"/>
  <c r="D587" i="17"/>
  <c r="B590" i="17"/>
  <c r="F592" i="17"/>
  <c r="D595" i="17"/>
  <c r="B598" i="17"/>
  <c r="F600" i="17"/>
  <c r="D603" i="17"/>
  <c r="B606" i="17"/>
  <c r="F608" i="17"/>
  <c r="D611" i="17"/>
  <c r="B614" i="17"/>
  <c r="F616" i="17"/>
  <c r="D619" i="17"/>
  <c r="B622" i="17"/>
  <c r="F624" i="17"/>
  <c r="D627" i="17"/>
  <c r="B630" i="17"/>
  <c r="F632" i="17"/>
  <c r="D635" i="17"/>
  <c r="B638" i="17"/>
  <c r="F640" i="17"/>
  <c r="D643" i="17"/>
  <c r="B646" i="17"/>
  <c r="F648" i="17"/>
  <c r="D651" i="17"/>
  <c r="B654" i="17"/>
  <c r="F656" i="17"/>
  <c r="D659" i="17"/>
  <c r="B662" i="17"/>
  <c r="F664" i="17"/>
  <c r="D667" i="17"/>
  <c r="D669" i="17"/>
  <c r="B671" i="17"/>
  <c r="C170" i="17"/>
  <c r="B287" i="17"/>
  <c r="C346" i="17"/>
  <c r="D390" i="17"/>
  <c r="D425" i="17"/>
  <c r="G453" i="17"/>
  <c r="E481" i="17"/>
  <c r="G498" i="17"/>
  <c r="B513" i="17"/>
  <c r="D527" i="17"/>
  <c r="E541" i="17"/>
  <c r="F555" i="17"/>
  <c r="C568" i="17"/>
  <c r="D575" i="17"/>
  <c r="F580" i="17"/>
  <c r="B586" i="17"/>
  <c r="D591" i="17"/>
  <c r="F596" i="17"/>
  <c r="B602" i="17"/>
  <c r="D607" i="17"/>
  <c r="F612" i="17"/>
  <c r="B618" i="17"/>
  <c r="D623" i="17"/>
  <c r="F628" i="17"/>
  <c r="B634" i="17"/>
  <c r="D639" i="17"/>
  <c r="F644" i="17"/>
  <c r="B650" i="17"/>
  <c r="D655" i="17"/>
  <c r="F660" i="17"/>
  <c r="B666" i="17"/>
  <c r="C670" i="17"/>
  <c r="D296" i="17"/>
  <c r="B255" i="17"/>
  <c r="G324" i="17"/>
  <c r="D374" i="17"/>
  <c r="F414" i="17"/>
  <c r="C443" i="17"/>
  <c r="F471" i="17"/>
  <c r="E493" i="17"/>
  <c r="F507" i="17"/>
  <c r="B522" i="17"/>
  <c r="C536" i="17"/>
  <c r="D550" i="17"/>
  <c r="F564" i="17"/>
  <c r="B573" i="17"/>
  <c r="B579" i="17"/>
  <c r="D584" i="17"/>
  <c r="F589" i="17"/>
  <c r="B595" i="17"/>
  <c r="D600" i="17"/>
  <c r="F605" i="17"/>
  <c r="B611" i="17"/>
  <c r="D616" i="17"/>
  <c r="F621" i="17"/>
  <c r="B627" i="17"/>
  <c r="D632" i="17"/>
  <c r="F637" i="17"/>
  <c r="B643" i="17"/>
  <c r="D648" i="17"/>
  <c r="F653" i="17"/>
  <c r="B659" i="17"/>
  <c r="D664" i="17"/>
  <c r="B669" i="17"/>
  <c r="G198" i="17"/>
  <c r="B353" i="17"/>
  <c r="F395" i="17"/>
  <c r="B429" i="17"/>
  <c r="D457" i="17"/>
  <c r="C484" i="17"/>
  <c r="F500" i="17"/>
  <c r="G514" i="17"/>
  <c r="B529" i="17"/>
  <c r="D543" i="17"/>
  <c r="E557" i="17"/>
  <c r="E569" i="17"/>
  <c r="D576" i="17"/>
  <c r="F581" i="17"/>
  <c r="B587" i="17"/>
  <c r="D592" i="17"/>
  <c r="F597" i="17"/>
  <c r="B603" i="17"/>
  <c r="D608" i="17"/>
  <c r="F613" i="17"/>
  <c r="B619" i="17"/>
  <c r="D624" i="17"/>
  <c r="F629" i="17"/>
  <c r="B635" i="17"/>
  <c r="D640" i="17"/>
  <c r="F645" i="17"/>
  <c r="B651" i="17"/>
  <c r="D656" i="17"/>
  <c r="F661" i="17"/>
  <c r="B667" i="17"/>
  <c r="G670" i="17"/>
  <c r="B243" i="17"/>
  <c r="F439" i="17"/>
  <c r="C520" i="17"/>
  <c r="F571" i="17"/>
  <c r="B594" i="17"/>
  <c r="D615" i="17"/>
  <c r="F636" i="17"/>
  <c r="B658" i="17"/>
  <c r="B468" i="17"/>
  <c r="B369" i="17"/>
  <c r="C411" i="17"/>
  <c r="B506" i="17"/>
  <c r="G562" i="17"/>
  <c r="F588" i="17"/>
  <c r="B610" i="17"/>
  <c r="D631" i="17"/>
  <c r="F652" i="17"/>
  <c r="F317" i="17"/>
  <c r="D534" i="17"/>
  <c r="B578" i="17"/>
  <c r="D599" i="17"/>
  <c r="F620" i="17"/>
  <c r="B642" i="17"/>
  <c r="D663" i="17"/>
  <c r="F491" i="17"/>
  <c r="F548" i="17"/>
  <c r="D583" i="17"/>
  <c r="F604" i="17"/>
  <c r="B626" i="17"/>
  <c r="D647" i="17"/>
  <c r="D668" i="17"/>
  <c r="B61" i="17"/>
  <c r="D60" i="17"/>
  <c r="F59" i="17"/>
  <c r="B59" i="17"/>
  <c r="D58" i="17"/>
  <c r="F57" i="17"/>
  <c r="B57" i="17"/>
  <c r="D56" i="17"/>
  <c r="F55" i="17"/>
  <c r="B55" i="17"/>
  <c r="D54" i="17"/>
  <c r="F53" i="17"/>
  <c r="B53" i="17"/>
  <c r="D52" i="17"/>
  <c r="F51" i="17"/>
  <c r="B51" i="17"/>
  <c r="D50" i="17"/>
  <c r="F49" i="17"/>
  <c r="B49" i="17"/>
  <c r="D48" i="17"/>
  <c r="F47" i="17"/>
  <c r="B47" i="17"/>
  <c r="D46" i="17"/>
  <c r="F45" i="17"/>
  <c r="B45" i="17"/>
  <c r="D44" i="17"/>
  <c r="F43" i="17"/>
  <c r="B43" i="17"/>
  <c r="D42" i="17"/>
  <c r="F41" i="17"/>
  <c r="B41" i="17"/>
  <c r="D40" i="17"/>
  <c r="F39" i="17"/>
  <c r="B39" i="17"/>
  <c r="D38" i="17"/>
  <c r="F37" i="17"/>
  <c r="B37" i="17"/>
  <c r="D36" i="17"/>
  <c r="F35" i="17"/>
  <c r="B35" i="17"/>
  <c r="D34" i="17"/>
  <c r="F33" i="17"/>
  <c r="B33" i="17"/>
  <c r="D32" i="17"/>
  <c r="F31" i="17"/>
  <c r="B31" i="17"/>
  <c r="D30" i="17"/>
  <c r="F29" i="17"/>
  <c r="B29" i="17"/>
  <c r="D28" i="17"/>
  <c r="F27" i="17"/>
  <c r="B27" i="17"/>
  <c r="D26" i="17"/>
  <c r="F25" i="17"/>
  <c r="B25" i="17"/>
  <c r="D24" i="17"/>
  <c r="F23" i="17"/>
  <c r="B23" i="17"/>
  <c r="D22" i="17"/>
  <c r="F21" i="17"/>
  <c r="B21" i="17"/>
  <c r="D20" i="17"/>
  <c r="F19" i="17"/>
  <c r="B19" i="17"/>
  <c r="D18" i="17"/>
  <c r="F17" i="17"/>
  <c r="B17" i="17"/>
  <c r="D16" i="17"/>
  <c r="F15" i="17"/>
  <c r="B15" i="17"/>
  <c r="D14" i="17"/>
  <c r="F13" i="17"/>
  <c r="B13" i="17"/>
  <c r="D12" i="17"/>
  <c r="F11" i="17"/>
  <c r="B11" i="17"/>
  <c r="D10" i="17"/>
  <c r="F9" i="17"/>
  <c r="B9" i="17"/>
  <c r="D8" i="17"/>
  <c r="F7" i="17"/>
  <c r="B7" i="17"/>
  <c r="D6" i="17"/>
  <c r="F5" i="17"/>
  <c r="B5" i="17"/>
  <c r="C13" i="17"/>
  <c r="E12" i="17"/>
  <c r="G11" i="17"/>
  <c r="C11" i="17"/>
  <c r="E10" i="17"/>
  <c r="G9" i="17"/>
  <c r="C9" i="17"/>
  <c r="E8" i="17"/>
  <c r="G7" i="17"/>
  <c r="C7" i="17"/>
  <c r="E6" i="17"/>
  <c r="G5" i="17"/>
  <c r="C5" i="17"/>
  <c r="T47" i="9"/>
  <c r="T63" i="9"/>
  <c r="T79" i="9"/>
  <c r="T87" i="9"/>
  <c r="X44" i="9"/>
  <c r="X60" i="9"/>
  <c r="X76" i="9"/>
  <c r="X84" i="9"/>
  <c r="V46" i="9"/>
  <c r="V62" i="9"/>
  <c r="V78" i="9"/>
  <c r="V86" i="9"/>
  <c r="O48" i="9"/>
  <c r="O64" i="9"/>
  <c r="Q47" i="9"/>
  <c r="Q63" i="9"/>
  <c r="U47" i="9"/>
  <c r="U63" i="9"/>
  <c r="U79" i="9"/>
  <c r="U87" i="9"/>
  <c r="O47" i="9"/>
  <c r="O63" i="9"/>
  <c r="U45" i="9"/>
  <c r="U61" i="9"/>
  <c r="U77" i="9"/>
  <c r="U85" i="9"/>
  <c r="N45" i="9"/>
  <c r="N61" i="9"/>
  <c r="S45" i="9"/>
  <c r="S61" i="9"/>
  <c r="S55" i="9"/>
  <c r="S71" i="9"/>
  <c r="S79" i="9"/>
  <c r="S87" i="9"/>
  <c r="W55" i="9"/>
  <c r="W71" i="9"/>
  <c r="U55" i="9"/>
  <c r="U71" i="9"/>
  <c r="S44" i="9"/>
  <c r="S60" i="9"/>
  <c r="W44" i="9"/>
  <c r="W60" i="9"/>
  <c r="W76" i="9"/>
  <c r="W84" i="9"/>
  <c r="W46" i="9"/>
  <c r="W62" i="9"/>
  <c r="W78" i="9"/>
  <c r="W86" i="9"/>
  <c r="S46" i="9"/>
  <c r="S62" i="9"/>
  <c r="S48" i="9"/>
  <c r="S64" i="9"/>
  <c r="W48" i="9"/>
  <c r="W64" i="9"/>
  <c r="W80" i="9"/>
  <c r="W88" i="9"/>
  <c r="Q52" i="9"/>
  <c r="Q68" i="9"/>
  <c r="Q76" i="9"/>
  <c r="Q84" i="9"/>
  <c r="S52" i="9"/>
  <c r="S68" i="9"/>
  <c r="S76" i="9"/>
  <c r="S84" i="9"/>
  <c r="X52" i="9"/>
  <c r="X68" i="9"/>
  <c r="S54" i="9"/>
  <c r="S70" i="9"/>
  <c r="S78" i="9"/>
  <c r="S86" i="9"/>
  <c r="X54" i="9"/>
  <c r="X70" i="9"/>
  <c r="Q56" i="9"/>
  <c r="Q72" i="9"/>
  <c r="Q80" i="9"/>
  <c r="Q88" i="9"/>
  <c r="S56" i="9"/>
  <c r="S72" i="9"/>
  <c r="S80" i="9"/>
  <c r="S88" i="9"/>
  <c r="X56" i="9"/>
  <c r="X72" i="9"/>
  <c r="C33" i="12"/>
  <c r="Y112" i="14"/>
  <c r="D25" i="14"/>
  <c r="D27" i="14"/>
  <c r="D51" i="14"/>
  <c r="E2" i="16" a="1"/>
  <c r="H12" i="16"/>
  <c r="I9" i="16"/>
  <c r="J6" i="16"/>
  <c r="E5" i="16"/>
  <c r="F2" i="16"/>
  <c r="O11" i="16"/>
  <c r="J10" i="16"/>
  <c r="E9" i="16"/>
  <c r="K7" i="16"/>
  <c r="F6" i="16"/>
  <c r="L4" i="16"/>
  <c r="L12" i="16"/>
  <c r="G11" i="16"/>
  <c r="M9" i="16"/>
  <c r="H8" i="16"/>
  <c r="N6" i="16"/>
  <c r="I5" i="16"/>
  <c r="O3" i="16"/>
  <c r="J2" i="16"/>
  <c r="N10" i="16"/>
  <c r="O7" i="16"/>
  <c r="K3" i="16"/>
  <c r="G3" i="16"/>
  <c r="K11" i="16"/>
  <c r="F10" i="16"/>
  <c r="L8" i="16"/>
  <c r="G7" i="16"/>
  <c r="M5" i="16"/>
  <c r="H4" i="16"/>
  <c r="N2" i="16"/>
  <c r="O12" i="16"/>
  <c r="G12" i="16"/>
  <c r="J11" i="16"/>
  <c r="M10" i="16"/>
  <c r="E10" i="16"/>
  <c r="H9" i="16"/>
  <c r="K8" i="16"/>
  <c r="N7" i="16"/>
  <c r="F7" i="16"/>
  <c r="I6" i="16"/>
  <c r="L5" i="16"/>
  <c r="O4" i="16"/>
  <c r="G4" i="16"/>
  <c r="J3" i="16"/>
  <c r="M2" i="16"/>
  <c r="E2" i="16"/>
  <c r="K12" i="16"/>
  <c r="N11" i="16"/>
  <c r="F11" i="16"/>
  <c r="I10" i="16"/>
  <c r="L9" i="16"/>
  <c r="O8" i="16"/>
  <c r="G8" i="16"/>
  <c r="J7" i="16"/>
  <c r="M6" i="16"/>
  <c r="E6" i="16"/>
  <c r="H5" i="16"/>
  <c r="K4" i="16"/>
  <c r="N3" i="16"/>
  <c r="F3" i="16"/>
  <c r="I2" i="16"/>
  <c r="M12" i="16"/>
  <c r="I12" i="16"/>
  <c r="E12" i="16"/>
  <c r="L11" i="16"/>
  <c r="H11" i="16"/>
  <c r="O10" i="16"/>
  <c r="K10" i="16"/>
  <c r="G10" i="16"/>
  <c r="N9" i="16"/>
  <c r="J9" i="16"/>
  <c r="F9" i="16"/>
  <c r="M8" i="16"/>
  <c r="I8" i="16"/>
  <c r="E8" i="16"/>
  <c r="L7" i="16"/>
  <c r="H7" i="16"/>
  <c r="O6" i="16"/>
  <c r="K6" i="16"/>
  <c r="G6" i="16"/>
  <c r="N5" i="16"/>
  <c r="J5" i="16"/>
  <c r="F5" i="16"/>
  <c r="M4" i="16"/>
  <c r="I4" i="16"/>
  <c r="E4" i="16"/>
  <c r="L3" i="16"/>
  <c r="H3" i="16"/>
  <c r="O2" i="16"/>
  <c r="K2" i="16"/>
  <c r="G2" i="16"/>
  <c r="N12" i="16"/>
  <c r="J12" i="16"/>
  <c r="F12" i="16"/>
  <c r="M11" i="16"/>
  <c r="I11" i="16"/>
  <c r="E11" i="16"/>
  <c r="L10" i="16"/>
  <c r="H10" i="16"/>
  <c r="O9" i="16"/>
  <c r="K9" i="16"/>
  <c r="G9" i="16"/>
  <c r="N8" i="16"/>
  <c r="J8" i="16"/>
  <c r="F8" i="16"/>
  <c r="M7" i="16"/>
  <c r="I7" i="16"/>
  <c r="E7" i="16"/>
  <c r="L6" i="16"/>
  <c r="H6" i="16"/>
  <c r="O5" i="16"/>
  <c r="K5" i="16"/>
  <c r="G5" i="16"/>
  <c r="N4" i="16"/>
  <c r="J4" i="16"/>
  <c r="F4" i="16"/>
  <c r="M3" i="16"/>
  <c r="I3" i="16"/>
  <c r="E3" i="16"/>
  <c r="L2" i="16"/>
  <c r="H2" i="16"/>
  <c r="D28" i="14"/>
  <c r="Q116" i="14"/>
  <c r="U112" i="14"/>
  <c r="V113" i="14"/>
  <c r="W114" i="14"/>
  <c r="X115" i="14"/>
  <c r="Y116" i="14"/>
  <c r="Z113" i="14"/>
  <c r="P115" i="14"/>
  <c r="Q112" i="14"/>
  <c r="R113" i="14"/>
  <c r="S114" i="14"/>
  <c r="T115" i="14"/>
  <c r="U116" i="14"/>
  <c r="D90" i="10"/>
  <c r="D8" i="14"/>
  <c r="R112" i="14"/>
  <c r="Z112" i="14"/>
  <c r="S113" i="14"/>
  <c r="T114" i="14"/>
  <c r="U115" i="14"/>
  <c r="V116" i="14"/>
  <c r="D11" i="9"/>
  <c r="W116" i="14"/>
  <c r="S116" i="14"/>
  <c r="Z115" i="14"/>
  <c r="V115" i="14"/>
  <c r="R115" i="14"/>
  <c r="Y114" i="14"/>
  <c r="U114" i="14"/>
  <c r="Q114" i="14"/>
  <c r="X113" i="14"/>
  <c r="T113" i="14"/>
  <c r="P113" i="14"/>
  <c r="W112" i="14"/>
  <c r="S112" i="14"/>
  <c r="X116" i="14"/>
  <c r="T116" i="14"/>
  <c r="P116" i="14"/>
  <c r="W115" i="14"/>
  <c r="S115" i="14"/>
  <c r="Z114" i="14"/>
  <c r="V114" i="14"/>
  <c r="R114" i="14"/>
  <c r="Y113" i="14"/>
  <c r="U113" i="14"/>
  <c r="Q113" i="14"/>
  <c r="X112" i="14"/>
  <c r="T112" i="14"/>
  <c r="P112" i="14"/>
  <c r="Z116" i="14"/>
  <c r="R116" i="14"/>
  <c r="Y115" i="14"/>
  <c r="Q115" i="14"/>
  <c r="X114" i="14"/>
  <c r="P114" i="14"/>
  <c r="W113" i="14"/>
  <c r="V112" i="14"/>
  <c r="D50" i="14"/>
  <c r="D9" i="14"/>
  <c r="D10" i="9"/>
  <c r="D52" i="14"/>
  <c r="D53" i="14"/>
  <c r="D56" i="14"/>
  <c r="D66" i="14"/>
  <c r="D67" i="14"/>
  <c r="D69" i="14"/>
  <c r="T76" i="14"/>
  <c r="T92" i="14"/>
  <c r="R74" i="14"/>
  <c r="R90" i="14"/>
  <c r="T72" i="14"/>
  <c r="T88" i="14"/>
  <c r="R73" i="14"/>
  <c r="R89" i="14"/>
  <c r="P72" i="14"/>
  <c r="P88" i="14"/>
  <c r="U72" i="14"/>
  <c r="U88" i="14"/>
  <c r="U104" i="14"/>
  <c r="U120" i="14"/>
  <c r="W75" i="14"/>
  <c r="W91" i="14"/>
  <c r="W107" i="14"/>
  <c r="W123" i="14"/>
  <c r="T75" i="14"/>
  <c r="T91" i="14"/>
  <c r="P76" i="14"/>
  <c r="P92" i="14"/>
  <c r="V74" i="14"/>
  <c r="V90" i="14"/>
  <c r="V106" i="14"/>
  <c r="V122" i="14"/>
  <c r="S74" i="14"/>
  <c r="S90" i="14"/>
  <c r="W74" i="14"/>
  <c r="W90" i="14"/>
  <c r="W106" i="14"/>
  <c r="W122" i="14"/>
  <c r="Y73" i="14"/>
  <c r="Y89" i="14"/>
  <c r="Y105" i="14"/>
  <c r="Y121" i="14"/>
  <c r="X72" i="14"/>
  <c r="X88" i="14"/>
  <c r="X104" i="14"/>
  <c r="X120" i="14"/>
  <c r="U76" i="14"/>
  <c r="U92" i="14"/>
  <c r="U108" i="14"/>
  <c r="U124" i="14"/>
  <c r="U73" i="14"/>
  <c r="U89" i="14"/>
  <c r="U105" i="14"/>
  <c r="U121" i="14"/>
  <c r="Q76" i="14"/>
  <c r="Q92" i="14"/>
  <c r="Z74" i="14"/>
  <c r="Z90" i="14"/>
  <c r="Z106" i="14"/>
  <c r="Z122" i="14"/>
  <c r="X75" i="14"/>
  <c r="X91" i="14"/>
  <c r="X107" i="14"/>
  <c r="X123" i="14"/>
  <c r="Q72" i="14"/>
  <c r="Q88" i="14"/>
  <c r="Y72" i="14"/>
  <c r="Y88" i="14"/>
  <c r="Y104" i="14"/>
  <c r="Y120" i="14"/>
  <c r="P75" i="14"/>
  <c r="P91" i="14"/>
  <c r="V73" i="14"/>
  <c r="V89" i="14"/>
  <c r="V105" i="14"/>
  <c r="V121" i="14"/>
  <c r="X76" i="14"/>
  <c r="X92" i="14"/>
  <c r="X108" i="14"/>
  <c r="X124" i="14"/>
  <c r="Z73" i="14"/>
  <c r="Z89" i="14"/>
  <c r="Z105" i="14"/>
  <c r="Z121" i="14"/>
  <c r="Q73" i="14"/>
  <c r="Q89" i="14"/>
  <c r="S75" i="14"/>
  <c r="S91" i="14"/>
  <c r="Y76" i="14"/>
  <c r="Y92" i="14"/>
  <c r="Y108" i="14"/>
  <c r="Y124" i="14"/>
  <c r="T73" i="14"/>
  <c r="T89" i="14"/>
  <c r="P74" i="14"/>
  <c r="P90" i="14"/>
  <c r="X74" i="14"/>
  <c r="X90" i="14"/>
  <c r="X106" i="14"/>
  <c r="X122" i="14"/>
  <c r="Q83" i="14"/>
  <c r="Q99" i="14"/>
  <c r="Q107" i="14"/>
  <c r="Q123" i="14"/>
  <c r="W82" i="14"/>
  <c r="W98" i="14"/>
  <c r="W72" i="14"/>
  <c r="W88" i="14"/>
  <c r="W104" i="14"/>
  <c r="W120" i="14"/>
  <c r="R76" i="14"/>
  <c r="R92" i="14"/>
  <c r="Y84" i="14"/>
  <c r="Y100" i="14"/>
  <c r="W73" i="14"/>
  <c r="W89" i="14"/>
  <c r="W105" i="14"/>
  <c r="W121" i="14"/>
  <c r="R81" i="14"/>
  <c r="R97" i="14"/>
  <c r="R105" i="14"/>
  <c r="R121" i="14"/>
  <c r="U80" i="14"/>
  <c r="U96" i="14"/>
  <c r="V76" i="14"/>
  <c r="V92" i="14"/>
  <c r="V108" i="14"/>
  <c r="V124" i="14"/>
  <c r="Q84" i="14"/>
  <c r="Q100" i="14"/>
  <c r="Q108" i="14"/>
  <c r="Q124" i="14"/>
  <c r="Q80" i="14"/>
  <c r="Q96" i="14"/>
  <c r="Q104" i="14"/>
  <c r="Q120" i="14"/>
  <c r="Y80" i="14"/>
  <c r="Y96" i="14"/>
  <c r="Z81" i="14"/>
  <c r="Z97" i="14"/>
  <c r="V72" i="14"/>
  <c r="V88" i="14"/>
  <c r="V104" i="14"/>
  <c r="V120" i="14"/>
  <c r="Q74" i="14"/>
  <c r="Q90" i="14"/>
  <c r="T84" i="14"/>
  <c r="T100" i="14"/>
  <c r="T108" i="14"/>
  <c r="T124" i="14"/>
  <c r="R82" i="14"/>
  <c r="R98" i="14"/>
  <c r="R106" i="14"/>
  <c r="R122" i="14"/>
  <c r="P73" i="14"/>
  <c r="P89" i="14"/>
  <c r="P82" i="14"/>
  <c r="P98" i="14"/>
  <c r="P106" i="14"/>
  <c r="P122" i="14"/>
  <c r="W81" i="14"/>
  <c r="W97" i="14"/>
  <c r="T80" i="14"/>
  <c r="T96" i="14"/>
  <c r="T104" i="14"/>
  <c r="T120" i="14"/>
  <c r="S72" i="14"/>
  <c r="S88" i="14"/>
  <c r="P80" i="14"/>
  <c r="P96" i="14"/>
  <c r="P104" i="14"/>
  <c r="P120" i="14"/>
  <c r="N128" i="14"/>
  <c r="N127" i="14"/>
  <c r="N129" i="14"/>
  <c r="W83" i="14"/>
  <c r="W99" i="14"/>
  <c r="P84" i="14"/>
  <c r="P100" i="14"/>
  <c r="P108" i="14"/>
  <c r="P124" i="14"/>
  <c r="X82" i="14"/>
  <c r="X98" i="14"/>
  <c r="V82" i="14"/>
  <c r="V98" i="14"/>
  <c r="R75" i="14"/>
  <c r="R91" i="14"/>
  <c r="Z84" i="14"/>
  <c r="Z100" i="14"/>
  <c r="Y81" i="14"/>
  <c r="Y97" i="14"/>
  <c r="X80" i="14"/>
  <c r="X96" i="14"/>
  <c r="U81" i="14"/>
  <c r="U97" i="14"/>
  <c r="X73" i="14"/>
  <c r="X89" i="14"/>
  <c r="X105" i="14"/>
  <c r="X121" i="14"/>
  <c r="R72" i="14"/>
  <c r="R88" i="14"/>
  <c r="Z82" i="14"/>
  <c r="Z98" i="14"/>
  <c r="V75" i="14"/>
  <c r="V91" i="14"/>
  <c r="V107" i="14"/>
  <c r="V123" i="14"/>
  <c r="U74" i="14"/>
  <c r="U90" i="14"/>
  <c r="U106" i="14"/>
  <c r="U122" i="14"/>
  <c r="Y74" i="14"/>
  <c r="Y90" i="14"/>
  <c r="Y106" i="14"/>
  <c r="Y122" i="14"/>
  <c r="Z75" i="14"/>
  <c r="Z91" i="14"/>
  <c r="Z107" i="14"/>
  <c r="Z123" i="14"/>
  <c r="P83" i="14"/>
  <c r="P99" i="14"/>
  <c r="P107" i="14"/>
  <c r="P123" i="14"/>
  <c r="X84" i="14"/>
  <c r="X100" i="14"/>
  <c r="Q81" i="14"/>
  <c r="Q97" i="14"/>
  <c r="Q105" i="14"/>
  <c r="Q121" i="14"/>
  <c r="W76" i="14"/>
  <c r="W92" i="14"/>
  <c r="W108" i="14"/>
  <c r="W124" i="14"/>
  <c r="R84" i="14"/>
  <c r="R100" i="14"/>
  <c r="R108" i="14"/>
  <c r="R124" i="14"/>
  <c r="Z72" i="14"/>
  <c r="Z88" i="14"/>
  <c r="Z104" i="14"/>
  <c r="Z120" i="14"/>
  <c r="Z76" i="14"/>
  <c r="Z92" i="14"/>
  <c r="Z108" i="14"/>
  <c r="Z124" i="14"/>
  <c r="S76" i="14"/>
  <c r="S92" i="14"/>
  <c r="U84" i="14"/>
  <c r="U100" i="14"/>
  <c r="T74" i="14"/>
  <c r="T90" i="14"/>
  <c r="Y75" i="14"/>
  <c r="Y91" i="14"/>
  <c r="Y107" i="14"/>
  <c r="Y123" i="14"/>
  <c r="T83" i="14"/>
  <c r="T99" i="14"/>
  <c r="T107" i="14"/>
  <c r="T123" i="14"/>
  <c r="Q75" i="14"/>
  <c r="Q91" i="14"/>
  <c r="S82" i="14"/>
  <c r="S98" i="14"/>
  <c r="S106" i="14"/>
  <c r="S122" i="14"/>
  <c r="S73" i="14"/>
  <c r="S89" i="14"/>
  <c r="U75" i="14"/>
  <c r="U91" i="14"/>
  <c r="U107" i="14"/>
  <c r="U123" i="14"/>
  <c r="Y83" i="14"/>
  <c r="Y99" i="14"/>
  <c r="S83" i="14"/>
  <c r="S99" i="14"/>
  <c r="S107" i="14"/>
  <c r="S123" i="14"/>
  <c r="V81" i="14"/>
  <c r="V97" i="14"/>
  <c r="X83" i="14"/>
  <c r="X99" i="14"/>
  <c r="W84" i="14"/>
  <c r="W100" i="14"/>
  <c r="U83" i="14"/>
  <c r="U99" i="14"/>
  <c r="S81" i="14"/>
  <c r="S97" i="14"/>
  <c r="S105" i="14"/>
  <c r="S121" i="14"/>
  <c r="T81" i="14"/>
  <c r="T97" i="14"/>
  <c r="T105" i="14"/>
  <c r="T121" i="14"/>
  <c r="Z83" i="14"/>
  <c r="Z99" i="14"/>
  <c r="W80" i="14"/>
  <c r="W96" i="14"/>
  <c r="Y82" i="14"/>
  <c r="Y98" i="14"/>
  <c r="U82" i="14"/>
  <c r="U98" i="14"/>
  <c r="V83" i="14"/>
  <c r="V99" i="14"/>
  <c r="T82" i="14"/>
  <c r="T98" i="14"/>
  <c r="T106" i="14"/>
  <c r="T122" i="14"/>
  <c r="R80" i="14"/>
  <c r="R96" i="14"/>
  <c r="R104" i="14"/>
  <c r="R120" i="14"/>
  <c r="X81" i="14"/>
  <c r="X97" i="14"/>
  <c r="S84" i="14"/>
  <c r="S100" i="14"/>
  <c r="S108" i="14"/>
  <c r="S124" i="14"/>
  <c r="V84" i="14"/>
  <c r="V100" i="14"/>
  <c r="R83" i="14"/>
  <c r="R99" i="14"/>
  <c r="R107" i="14"/>
  <c r="R123" i="14"/>
  <c r="S80" i="14"/>
  <c r="S96" i="14"/>
  <c r="S104" i="14"/>
  <c r="S120" i="14"/>
  <c r="P81" i="14"/>
  <c r="P97" i="14"/>
  <c r="P105" i="14"/>
  <c r="P121" i="14"/>
  <c r="Z80" i="14"/>
  <c r="Z96" i="14"/>
  <c r="Q82" i="14"/>
  <c r="Q98" i="14"/>
  <c r="Q106" i="14"/>
  <c r="Q122" i="14"/>
  <c r="V80" i="14"/>
  <c r="V96" i="14"/>
</calcChain>
</file>

<file path=xl/sharedStrings.xml><?xml version="1.0" encoding="utf-8"?>
<sst xmlns="http://schemas.openxmlformats.org/spreadsheetml/2006/main" count="853" uniqueCount="240">
  <si>
    <t>Today</t>
  </si>
  <si>
    <t>Key</t>
  </si>
  <si>
    <t>Payoff</t>
  </si>
  <si>
    <t>Date</t>
  </si>
  <si>
    <t>DateString</t>
  </si>
  <si>
    <t>DIV-S1</t>
  </si>
  <si>
    <t>DIV-S2</t>
  </si>
  <si>
    <t>Corr</t>
  </si>
  <si>
    <t>Model</t>
  </si>
  <si>
    <t>EndTerm</t>
  </si>
  <si>
    <t>Tenor</t>
  </si>
  <si>
    <t>Schedule</t>
  </si>
  <si>
    <t>Npaths</t>
  </si>
  <si>
    <t>Seed</t>
  </si>
  <si>
    <t>RichEx</t>
  </si>
  <si>
    <t>TimeInterp</t>
  </si>
  <si>
    <t>StoreBrownians</t>
  </si>
  <si>
    <t>MC Simulation</t>
  </si>
  <si>
    <t>Simulate</t>
  </si>
  <si>
    <t>DoAdjust</t>
  </si>
  <si>
    <t>AssetAdjuster</t>
  </si>
  <si>
    <t>1y1m</t>
  </si>
  <si>
    <t>1m</t>
  </si>
  <si>
    <t>YCF-DOM</t>
  </si>
  <si>
    <t>1y</t>
  </si>
  <si>
    <t>Term</t>
  </si>
  <si>
    <t>ValuationDate</t>
  </si>
  <si>
    <t>SetValuationDate</t>
  </si>
  <si>
    <t>20Y</t>
  </si>
  <si>
    <t>3m</t>
  </si>
  <si>
    <t>ExpiryDate</t>
  </si>
  <si>
    <t>Strikes</t>
  </si>
  <si>
    <t>6m</t>
  </si>
  <si>
    <t>9m</t>
  </si>
  <si>
    <t>Labels</t>
  </si>
  <si>
    <t>Call Payoffs</t>
  </si>
  <si>
    <t>Put Payoffs</t>
  </si>
  <si>
    <t>Call Script</t>
  </si>
  <si>
    <t>Put Script</t>
  </si>
  <si>
    <t>Call Vols</t>
  </si>
  <si>
    <t>Put Vols</t>
  </si>
  <si>
    <t>Call Price</t>
  </si>
  <si>
    <t>Put Price</t>
  </si>
  <si>
    <t>ATM</t>
  </si>
  <si>
    <t>5D Put EUR</t>
  </si>
  <si>
    <t>10D Put EUR</t>
  </si>
  <si>
    <t>15D Put EUR</t>
  </si>
  <si>
    <t>25D Put EUR</t>
  </si>
  <si>
    <t>35D Put EUR</t>
  </si>
  <si>
    <t>35D Call EUR</t>
  </si>
  <si>
    <t>25D Call EUR</t>
  </si>
  <si>
    <t>15D Call EUR</t>
  </si>
  <si>
    <t>10D Call EUR</t>
  </si>
  <si>
    <t>5D Call EUR</t>
  </si>
  <si>
    <t>Mid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</si>
  <si>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</si>
  <si>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</si>
  <si>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</si>
  <si>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</si>
  <si>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</si>
  <si>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</si>
  <si>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</si>
  <si>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</si>
  <si>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</si>
  <si>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</si>
  <si>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</si>
  <si>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</si>
  <si>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</si>
  <si>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</si>
  <si>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</si>
  <si>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</si>
  <si>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</si>
  <si>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</si>
  <si>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</si>
  <si>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</si>
  <si>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</si>
  <si>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25Y</t>
  </si>
  <si>
    <t>Put</t>
  </si>
  <si>
    <t>Call</t>
  </si>
  <si>
    <t>Time</t>
  </si>
  <si>
    <t>SABR</t>
  </si>
  <si>
    <t>Calibration</t>
  </si>
  <si>
    <t>Forward</t>
  </si>
  <si>
    <t>Alpha</t>
  </si>
  <si>
    <t>Beta</t>
  </si>
  <si>
    <t>Rho</t>
  </si>
  <si>
    <t>Nu</t>
  </si>
  <si>
    <t>SmileSection</t>
  </si>
  <si>
    <t>MaxError</t>
  </si>
  <si>
    <t>Mkt Vols</t>
  </si>
  <si>
    <t>1w</t>
  </si>
  <si>
    <t>Vols</t>
  </si>
  <si>
    <t>BVTS</t>
  </si>
  <si>
    <t>Local Vols</t>
  </si>
  <si>
    <t>VTSF-EURUSD</t>
  </si>
  <si>
    <t>VTSF-GBPUSD</t>
  </si>
  <si>
    <t>Spot-EURUSD (norm.)</t>
  </si>
  <si>
    <t>Spot-GBPUSD (norm.)</t>
  </si>
  <si>
    <t>EURUSD</t>
  </si>
  <si>
    <t>GBPUSD</t>
  </si>
  <si>
    <t>localCorr</t>
  </si>
  <si>
    <t>corrTermStruct</t>
  </si>
  <si>
    <t>ParticleMethod</t>
  </si>
  <si>
    <t>Error</t>
  </si>
  <si>
    <t>ObjectID</t>
  </si>
  <si>
    <t>CTS</t>
  </si>
  <si>
    <t>BSProcesses</t>
  </si>
  <si>
    <t>G3:G4</t>
  </si>
  <si>
    <t>kernel</t>
  </si>
  <si>
    <t>QuarticKernel</t>
  </si>
  <si>
    <t>proccessToCal</t>
  </si>
  <si>
    <t>numberOfPaths</t>
  </si>
  <si>
    <t>maxTime</t>
  </si>
  <si>
    <t>deltaT</t>
  </si>
  <si>
    <t>tMin</t>
  </si>
  <si>
    <t>kappa</t>
  </si>
  <si>
    <t>sigmaAVR</t>
  </si>
  <si>
    <t>exponentN</t>
  </si>
  <si>
    <t>gridMinQuantile</t>
  </si>
  <si>
    <t>gridMaxQuantile</t>
  </si>
  <si>
    <t>nS1</t>
  </si>
  <si>
    <t>nS2</t>
  </si>
  <si>
    <t>DiscountCurve</t>
  </si>
  <si>
    <t>Aliases</t>
  </si>
  <si>
    <t>localCorrelationTermStructure</t>
  </si>
  <si>
    <t>C17:C18</t>
  </si>
  <si>
    <t>D17:D18</t>
  </si>
  <si>
    <t>Parameter</t>
  </si>
  <si>
    <t>Value</t>
  </si>
  <si>
    <t>Grid1</t>
  </si>
  <si>
    <t>localVol</t>
  </si>
  <si>
    <t>Grid2</t>
  </si>
  <si>
    <t>N</t>
  </si>
  <si>
    <t>t</t>
  </si>
  <si>
    <t>A1</t>
  </si>
  <si>
    <t>A2</t>
  </si>
  <si>
    <t>DIV-S3</t>
  </si>
  <si>
    <t>VTSF-EURGBP</t>
  </si>
  <si>
    <t>A3</t>
  </si>
  <si>
    <t>10Nov2017</t>
  </si>
  <si>
    <t>10Jan2018</t>
  </si>
  <si>
    <t>10Apr2018</t>
  </si>
  <si>
    <t>10Jul2018</t>
  </si>
  <si>
    <t>10Oct2018</t>
  </si>
  <si>
    <t>localInCross1Y</t>
  </si>
  <si>
    <t>localCorrModel1y</t>
  </si>
  <si>
    <t>multi asset 100000, corr 55%</t>
  </si>
  <si>
    <t>multi asset 100000, corr 54%</t>
  </si>
  <si>
    <t>multi asset 100000, corr 53%</t>
  </si>
  <si>
    <t>1. Local Vol</t>
  </si>
  <si>
    <t>2. Heston</t>
  </si>
  <si>
    <t>HestonProcess</t>
  </si>
  <si>
    <t>S0</t>
  </si>
  <si>
    <t>v0</t>
  </si>
  <si>
    <t>theta</t>
  </si>
  <si>
    <t>sigma</t>
  </si>
  <si>
    <t>rho</t>
  </si>
  <si>
    <t>HestonModel</t>
  </si>
  <si>
    <t>YCF-FOR1</t>
  </si>
  <si>
    <t>YCF-FOR2</t>
  </si>
  <si>
    <t>YCF-FOR3</t>
  </si>
  <si>
    <t>CalibrationHelper</t>
  </si>
  <si>
    <t>EndCriteriaSA</t>
  </si>
  <si>
    <t>EndCriteria LM</t>
  </si>
  <si>
    <t>LineSearch</t>
  </si>
  <si>
    <t>ConjGrad</t>
  </si>
  <si>
    <t>maxIter</t>
  </si>
  <si>
    <t>epsilon</t>
  </si>
  <si>
    <t>maxIterState</t>
  </si>
  <si>
    <t>alpha</t>
  </si>
  <si>
    <t>epsilonRoot</t>
  </si>
  <si>
    <t>beta</t>
  </si>
  <si>
    <t>Levenm</t>
  </si>
  <si>
    <t>epsilonFunction</t>
  </si>
  <si>
    <t>epsilonGradient</t>
  </si>
  <si>
    <t>simulAneal</t>
  </si>
  <si>
    <t>lambda</t>
  </si>
  <si>
    <t>T0</t>
  </si>
  <si>
    <t>m</t>
  </si>
  <si>
    <t>do calibration</t>
  </si>
  <si>
    <t>hestonModel</t>
  </si>
  <si>
    <t>calHelpers</t>
  </si>
  <si>
    <t>Array</t>
  </si>
  <si>
    <t>optimizer</t>
  </si>
  <si>
    <t>endCriteria</t>
  </si>
  <si>
    <t>weightsOptions</t>
  </si>
  <si>
    <t>hestonRelTol</t>
  </si>
  <si>
    <t>hestonMaxIter</t>
  </si>
  <si>
    <t>keepFix</t>
  </si>
  <si>
    <t>startParameter</t>
  </si>
  <si>
    <t>CaliParameter</t>
  </si>
  <si>
    <t>cappa</t>
  </si>
  <si>
    <t xml:space="preserve">rho </t>
  </si>
  <si>
    <t>CalibrationInstruments</t>
  </si>
  <si>
    <t>3. Local stochastic vol</t>
  </si>
  <si>
    <t>LocalVol</t>
  </si>
  <si>
    <t>Heston</t>
  </si>
  <si>
    <t>EndDate</t>
  </si>
  <si>
    <t>TimeStepsPerYear</t>
  </si>
  <si>
    <t>NumberOfBins</t>
  </si>
  <si>
    <t>CalibrationPaths</t>
  </si>
  <si>
    <t>Trigger</t>
  </si>
  <si>
    <t>HestonLocalVolModel</t>
  </si>
  <si>
    <t>Leverage Function</t>
  </si>
  <si>
    <t>heston process</t>
  </si>
  <si>
    <t>leveragefunction</t>
  </si>
  <si>
    <t>hestonSLVProcess</t>
  </si>
  <si>
    <t>SLV-EURUSD</t>
  </si>
  <si>
    <t>SLV-GBPUSD</t>
  </si>
  <si>
    <t>2d</t>
  </si>
  <si>
    <t>Diffs</t>
  </si>
  <si>
    <t>Model Vols (Put OTM, Call ITM)</t>
  </si>
  <si>
    <t>min</t>
  </si>
  <si>
    <t>max</t>
  </si>
  <si>
    <t>Stats</t>
  </si>
  <si>
    <t>absAVR</t>
  </si>
  <si>
    <t>multiasset</t>
  </si>
  <si>
    <t>&gt;80000</t>
  </si>
  <si>
    <t>&gt;40000</t>
  </si>
  <si>
    <t>Corr (not used)</t>
  </si>
  <si>
    <t>How to set up a local correlation model with stochastic volatility using QuantLib</t>
  </si>
  <si>
    <t>LocalCorrModel</t>
  </si>
  <si>
    <t>correlation unequal to zero currently not supported. Reason: local correlation model can lead to not-well-defined correlation matrices which first have to be projected to a well-defined one. Projection with constant parameters (which cannot be changed in projection) is not implemented yet. Simplified method in Quantlib: projectSymmetricToCorrelation in file localcorrsurfaceABFFX.</t>
  </si>
  <si>
    <t>diffs</t>
  </si>
  <si>
    <t>Gas Winter</t>
  </si>
  <si>
    <t>Gas Summer</t>
  </si>
  <si>
    <t>Calendar Spread</t>
  </si>
  <si>
    <t>IndexWeights</t>
  </si>
  <si>
    <t>Shift</t>
  </si>
  <si>
    <t>In this Excel, we build a local correlation model with stochastic volatilities for gas markets in QuantLib.</t>
  </si>
  <si>
    <t>For guidance, please have a look at the localCorr-gas example or the localStochCorr example for fx markets</t>
  </si>
  <si>
    <t>GasWinter</t>
  </si>
  <si>
    <t>VTSF-GasWinter</t>
  </si>
  <si>
    <t>Spot-GasWinter (norm.)</t>
  </si>
  <si>
    <t>SLV-GasWinter</t>
  </si>
  <si>
    <t>GasSummer</t>
  </si>
  <si>
    <t>VTSF-GasSummer</t>
  </si>
  <si>
    <t>Spot-GasSummer (norm.)</t>
  </si>
  <si>
    <t>SLV-GasSummer</t>
  </si>
  <si>
    <t>Asset: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</si>
</sst>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1">
    <numFmt numFmtId="43" formatCode="_-* #,##0.00\ _€_-;\-* #,##0.00\ _€_-;_-* &quot;-&quot;??\ _€_-;_-@_-"/>
    <numFmt numFmtId="164" formatCode="0.000"/>
    <numFmt numFmtId="165" formatCode="0.0%"/>
    <numFmt numFmtId="166" formatCode="0.000%"/>
    <numFmt numFmtId="167" formatCode="&quot;\&quot;#,##0.00;[Red]&quot;\&quot;\-#,##0.00"/>
    <numFmt numFmtId="168" formatCode="0.0000000000000%"/>
    <numFmt numFmtId="169" formatCode="0\ 00\ 000\ 000"/>
    <numFmt numFmtId="170" formatCode="_-* #,##0\ _B_F_-;\-* #,##0\ _B_F_-;_-* &quot;-&quot;\ _B_F_-;_-@_-"/>
    <numFmt numFmtId="171" formatCode="_-* #,##0.00_-;\-* #,##0.00_-;_-* &quot;-&quot;??_-;_-@_-"/>
    <numFmt numFmtId="172" formatCode="_(&quot;$&quot;* #,##0.00_);_(&quot;$&quot;* \(#,##0.00\);_(&quot;$&quot;* &quot;-&quot;??_);_(@_)"/>
    <numFmt numFmtId="173" formatCode="dd\-mmm\-yy_)"/>
    <numFmt numFmtId="174" formatCode="dd\ mmmyy\ hh:mm"/>
    <numFmt numFmtId="175" formatCode="_-[$€-2]* #,##0.00_-;\-[$€-2]* #,##0.00_-;_-[$€-2]* &quot;-&quot;??_-"/>
    <numFmt numFmtId="176" formatCode="0.00000000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0.000000%"/>
    <numFmt numFmtId="182" formatCode="0.0&quot; X EBITDA&quot;"/>
    <numFmt numFmtId="183" formatCode="0.00_)"/>
    <numFmt numFmtId="184" formatCode="[Blue]#,##0;[Red]\-#,##0"/>
    <numFmt numFmtId="185" formatCode="#,##0.0000"/>
    <numFmt numFmtId="186" formatCode="\+#,##0.00;\-#,##0.00"/>
    <numFmt numFmtId="187" formatCode="#,##0&quot;  &quot;"/>
    <numFmt numFmtId="188" formatCode="#,##0.0;\-#,##0.0"/>
    <numFmt numFmtId="189" formatCode="&quot;\&quot;#,##0;[Red]&quot;\&quot;\-#,##0"/>
    <numFmt numFmtId="190" formatCode="0.0000"/>
    <numFmt numFmtId="191" formatCode="0.0000%"/>
    <numFmt numFmtId="192" formatCode="0.00000"/>
    <numFmt numFmtId="193" formatCode="_-* #,##0.000\ _€_-;\-* #,##0.000\ _€_-;_-* &quot;-&quot;??\ _€_-;_-@_-"/>
  </numFmts>
  <fonts count="168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MS P????"/>
      <family val="3"/>
    </font>
    <font>
      <sz val="8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0"/>
      <name val="Helv"/>
    </font>
    <font>
      <sz val="11"/>
      <color indexed="9"/>
      <name val="Calibri"/>
      <family val="2"/>
    </font>
    <font>
      <sz val="10"/>
      <name val="MS Sans Serif"/>
      <family val="2"/>
    </font>
    <font>
      <b/>
      <sz val="10"/>
      <color indexed="63"/>
      <name val="Arial"/>
      <family val="2"/>
    </font>
    <font>
      <b/>
      <sz val="10"/>
      <color rgb="FF3F3F3F"/>
      <name val="Arial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b/>
      <sz val="10"/>
      <color indexed="52"/>
      <name val="Arial"/>
      <family val="2"/>
    </font>
    <font>
      <b/>
      <sz val="10"/>
      <color rgb="FFFA7D00"/>
      <name val="Arial"/>
      <family val="2"/>
    </font>
    <font>
      <sz val="10"/>
      <color indexed="5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sz val="12"/>
      <name val="Tms Rmn"/>
    </font>
    <font>
      <b/>
      <sz val="9"/>
      <color indexed="12"/>
      <name val="Tahoma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sz val="10"/>
      <name val="Helv"/>
    </font>
    <font>
      <sz val="8"/>
      <name val="Arial MT"/>
    </font>
    <font>
      <b/>
      <sz val="8"/>
      <name val="Arial"/>
      <family val="2"/>
    </font>
    <font>
      <b/>
      <sz val="9"/>
      <name val="Tahoma"/>
      <family val="2"/>
    </font>
    <font>
      <b/>
      <i/>
      <sz val="10"/>
      <name val="Arial"/>
      <family val="2"/>
    </font>
    <font>
      <sz val="10"/>
      <color indexed="62"/>
      <name val="Arial"/>
      <family val="2"/>
    </font>
    <font>
      <sz val="10"/>
      <color rgb="FF3F3F76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7"/>
      <name val="Palatino"/>
      <family val="1"/>
    </font>
    <font>
      <sz val="11"/>
      <color indexed="17"/>
      <name val="Calibri"/>
      <family val="2"/>
    </font>
    <font>
      <b/>
      <sz val="9"/>
      <color indexed="23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0"/>
      <color indexed="8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2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0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sz val="8"/>
      <name val="Helv"/>
    </font>
    <font>
      <b/>
      <sz val="12"/>
      <color indexed="20"/>
      <name val="Tahoma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b/>
      <sz val="11"/>
      <color indexed="39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9"/>
      <color indexed="52"/>
      <name val="Arial"/>
      <family val="2"/>
    </font>
    <font>
      <b/>
      <sz val="9"/>
      <color indexed="16"/>
      <name val="Verdana"/>
      <family val="2"/>
    </font>
    <font>
      <sz val="10"/>
      <color indexed="16"/>
      <name val="Helvetica-Black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0"/>
      <color indexed="17"/>
      <name val="MS Sans Serif"/>
      <family val="2"/>
    </font>
    <font>
      <b/>
      <sz val="12"/>
      <name val="Helv"/>
    </font>
    <font>
      <sz val="8"/>
      <color indexed="18"/>
      <name val="Helvetica"/>
      <family val="2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sz val="8.5"/>
      <color indexed="8"/>
      <name val="MS Sans Serif"/>
      <family val="2"/>
    </font>
    <font>
      <b/>
      <sz val="8"/>
      <name val="Tahoma"/>
      <family val="2"/>
    </font>
    <font>
      <b/>
      <sz val="6"/>
      <name val="Helv"/>
    </font>
    <font>
      <b/>
      <sz val="9"/>
      <name val="Times New Roman"/>
      <family val="1"/>
    </font>
    <font>
      <sz val="8"/>
      <color indexed="12"/>
      <name val="MS Sans Serif"/>
      <family val="2"/>
    </font>
    <font>
      <b/>
      <i/>
      <sz val="8"/>
      <name val="Helv"/>
      <family val="2"/>
    </font>
    <font>
      <b/>
      <sz val="8"/>
      <color indexed="12"/>
      <name val="Arial"/>
      <family val="2"/>
    </font>
    <font>
      <b/>
      <sz val="12"/>
      <color indexed="17"/>
      <name val="MS Sans Serif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9"/>
      <name val="NewsGoth Lt BT"/>
      <family val="2"/>
    </font>
    <font>
      <sz val="7.5"/>
      <name val="NewsGoth Lt BT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1"/>
      <color indexed="10"/>
      <name val="Arial"/>
      <family val="2"/>
    </font>
    <font>
      <b/>
      <sz val="24"/>
      <name val="MS Sans Serif"/>
      <family val="2"/>
    </font>
    <font>
      <b/>
      <i/>
      <sz val="12"/>
      <name val="Galliard BT"/>
      <family val="1"/>
    </font>
    <font>
      <b/>
      <sz val="18"/>
      <color indexed="56"/>
      <name val="Cambria"/>
      <family val="2"/>
    </font>
    <font>
      <b/>
      <sz val="8"/>
      <name val="Helv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8"/>
      <color indexed="18"/>
      <name val="Cambria"/>
      <family val="2"/>
    </font>
    <font>
      <sz val="8"/>
      <color indexed="10"/>
      <name val="Arial Narrow"/>
      <family val="2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1"/>
      <name val="ＭＳ Ｐゴシック"/>
      <family val="3"/>
      <charset val="128"/>
    </font>
    <font>
      <u/>
      <sz val="10"/>
      <color indexed="36"/>
      <name val="Arial"/>
      <family val="2"/>
    </font>
    <font>
      <i/>
      <sz val="10"/>
      <color rgb="FF7030A0"/>
      <name val="Calibri"/>
      <family val="2"/>
      <scheme val="minor"/>
    </font>
    <font>
      <b/>
      <sz val="10"/>
      <color indexed="20"/>
      <name val="Arial"/>
      <family val="2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rgb="FF7030A0"/>
      <name val="Calibri"/>
      <family val="2"/>
    </font>
    <font>
      <sz val="11"/>
      <color rgb="FF0070C0"/>
      <name val="Calibri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  <font>
      <b/>
      <sz val="14"/>
      <color theme="1"/>
      <name val="Calibri"/>
      <family val="2"/>
      <scheme val="minor"/>
    </font>
  </fonts>
  <fills count="9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mediumGray"/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mediumGray">
        <fgColor indexed="17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1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18">
    <xf numFmtId="0" fontId="0" fillId="0" borderId="0">
      <alignment vertical="top"/>
    </xf>
    <xf numFmtId="9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4" fillId="0" borderId="0"/>
    <xf numFmtId="167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 applyNumberFormat="0" applyFill="0" applyBorder="0" applyAlignment="0" applyProtection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7" fillId="0" borderId="0">
      <alignment vertical="top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6" fillId="0" borderId="0">
      <alignment vertical="center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7" fillId="34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3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8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3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7" fillId="4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4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4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7" fillId="37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7" fillId="40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7" fillId="43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9" fillId="44" borderId="0" applyNumberFormat="0" applyBorder="0" applyAlignment="0" applyProtection="0"/>
    <xf numFmtId="0" fontId="20" fillId="13" borderId="0" applyNumberFormat="0" applyBorder="0" applyAlignment="0" applyProtection="0"/>
    <xf numFmtId="0" fontId="19" fillId="41" borderId="0" applyNumberFormat="0" applyBorder="0" applyAlignment="0" applyProtection="0"/>
    <xf numFmtId="0" fontId="20" fillId="17" borderId="0" applyNumberFormat="0" applyBorder="0" applyAlignment="0" applyProtection="0"/>
    <xf numFmtId="0" fontId="19" fillId="42" borderId="0" applyNumberFormat="0" applyBorder="0" applyAlignment="0" applyProtection="0"/>
    <xf numFmtId="0" fontId="20" fillId="21" borderId="0" applyNumberFormat="0" applyBorder="0" applyAlignment="0" applyProtection="0"/>
    <xf numFmtId="0" fontId="19" fillId="45" borderId="0" applyNumberFormat="0" applyBorder="0" applyAlignment="0" applyProtection="0"/>
    <xf numFmtId="0" fontId="20" fillId="25" borderId="0" applyNumberFormat="0" applyBorder="0" applyAlignment="0" applyProtection="0"/>
    <xf numFmtId="0" fontId="19" fillId="46" borderId="0" applyNumberFormat="0" applyBorder="0" applyAlignment="0" applyProtection="0"/>
    <xf numFmtId="0" fontId="20" fillId="29" borderId="0" applyNumberFormat="0" applyBorder="0" applyAlignment="0" applyProtection="0"/>
    <xf numFmtId="0" fontId="19" fillId="47" borderId="0" applyNumberFormat="0" applyBorder="0" applyAlignment="0" applyProtection="0"/>
    <xf numFmtId="0" fontId="20" fillId="33" borderId="0" applyNumberFormat="0" applyBorder="0" applyAlignment="0" applyProtection="0"/>
    <xf numFmtId="4" fontId="21" fillId="0" borderId="12">
      <alignment horizontal="center"/>
      <protection locked="0"/>
    </xf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0" fontId="19" fillId="48" borderId="0" applyNumberFormat="0" applyBorder="0" applyAlignment="0" applyProtection="0"/>
    <xf numFmtId="0" fontId="20" fillId="10" borderId="0" applyNumberFormat="0" applyBorder="0" applyAlignment="0" applyProtection="0"/>
    <xf numFmtId="0" fontId="19" fillId="49" borderId="0" applyNumberFormat="0" applyBorder="0" applyAlignment="0" applyProtection="0"/>
    <xf numFmtId="0" fontId="20" fillId="14" borderId="0" applyNumberFormat="0" applyBorder="0" applyAlignment="0" applyProtection="0"/>
    <xf numFmtId="0" fontId="19" fillId="50" borderId="0" applyNumberFormat="0" applyBorder="0" applyAlignment="0" applyProtection="0"/>
    <xf numFmtId="0" fontId="20" fillId="18" borderId="0" applyNumberFormat="0" applyBorder="0" applyAlignment="0" applyProtection="0"/>
    <xf numFmtId="0" fontId="19" fillId="45" borderId="0" applyNumberFormat="0" applyBorder="0" applyAlignment="0" applyProtection="0"/>
    <xf numFmtId="0" fontId="20" fillId="22" borderId="0" applyNumberFormat="0" applyBorder="0" applyAlignment="0" applyProtection="0"/>
    <xf numFmtId="0" fontId="19" fillId="46" borderId="0" applyNumberFormat="0" applyBorder="0" applyAlignment="0" applyProtection="0"/>
    <xf numFmtId="0" fontId="20" fillId="26" borderId="0" applyNumberFormat="0" applyBorder="0" applyAlignment="0" applyProtection="0"/>
    <xf numFmtId="0" fontId="19" fillId="51" borderId="0" applyNumberFormat="0" applyBorder="0" applyAlignment="0" applyProtection="0"/>
    <xf numFmtId="0" fontId="20" fillId="30" borderId="0" applyNumberFormat="0" applyBorder="0" applyAlignment="0" applyProtection="0"/>
    <xf numFmtId="39" fontId="23" fillId="52" borderId="0" applyFont="0" applyFill="0" applyBorder="0" applyAlignment="0" applyProtection="0"/>
    <xf numFmtId="0" fontId="24" fillId="53" borderId="25" applyNumberFormat="0" applyAlignment="0" applyProtection="0"/>
    <xf numFmtId="0" fontId="25" fillId="7" borderId="20" applyNumberFormat="0" applyAlignment="0" applyProtection="0"/>
    <xf numFmtId="0" fontId="26" fillId="0" borderId="0"/>
    <xf numFmtId="0" fontId="27" fillId="54" borderId="0" applyAlignment="0"/>
    <xf numFmtId="0" fontId="28" fillId="55" borderId="0"/>
    <xf numFmtId="0" fontId="29" fillId="35" borderId="0" applyNumberFormat="0" applyBorder="0" applyAlignment="0" applyProtection="0"/>
    <xf numFmtId="0" fontId="30" fillId="56" borderId="0">
      <alignment vertical="center"/>
    </xf>
    <xf numFmtId="0" fontId="13" fillId="52" borderId="0"/>
    <xf numFmtId="0" fontId="31" fillId="53" borderId="26" applyNumberFormat="0" applyAlignment="0" applyProtection="0"/>
    <xf numFmtId="0" fontId="32" fillId="7" borderId="19" applyNumberFormat="0" applyAlignment="0" applyProtection="0"/>
    <xf numFmtId="168" fontId="13" fillId="0" borderId="0" applyFont="0" applyFill="0" applyBorder="0" applyAlignment="0" applyProtection="0"/>
    <xf numFmtId="10" fontId="33" fillId="0" borderId="0" applyNumberFormat="0"/>
    <xf numFmtId="0" fontId="34" fillId="57" borderId="0">
      <alignment horizontal="left"/>
    </xf>
    <xf numFmtId="2" fontId="35" fillId="52" borderId="8" applyProtection="0">
      <alignment horizontal="left"/>
      <protection locked="0"/>
    </xf>
    <xf numFmtId="2" fontId="35" fillId="52" borderId="8" applyProtection="0">
      <alignment horizontal="left"/>
      <protection locked="0"/>
    </xf>
    <xf numFmtId="0" fontId="36" fillId="0" borderId="0" applyNumberFormat="0" applyFill="0" applyBorder="0" applyAlignment="0" applyProtection="0"/>
    <xf numFmtId="0" fontId="37" fillId="58" borderId="0"/>
    <xf numFmtId="0" fontId="38" fillId="59" borderId="27" applyNumberFormat="0" applyAlignment="0" applyProtection="0"/>
    <xf numFmtId="169" fontId="39" fillId="0" borderId="8" applyBorder="0">
      <alignment horizontal="center" vertical="center"/>
    </xf>
    <xf numFmtId="169" fontId="39" fillId="0" borderId="8" applyBorder="0">
      <alignment horizontal="center" vertical="center"/>
    </xf>
    <xf numFmtId="170" fontId="40" fillId="0" borderId="0"/>
    <xf numFmtId="0" fontId="41" fillId="0" borderId="0" applyFont="0" applyFill="0" applyBorder="0" applyAlignment="0" applyProtection="0">
      <alignment horizontal="right"/>
    </xf>
    <xf numFmtId="171" fontId="15" fillId="0" borderId="0" applyFont="0" applyFill="0" applyBorder="0" applyAlignment="0" applyProtection="0"/>
    <xf numFmtId="3" fontId="42" fillId="0" borderId="0">
      <protection locked="0"/>
    </xf>
    <xf numFmtId="0" fontId="43" fillId="0" borderId="28"/>
    <xf numFmtId="0" fontId="42" fillId="0" borderId="0">
      <protection locked="0"/>
    </xf>
    <xf numFmtId="172" fontId="13" fillId="0" borderId="0" applyFont="0" applyFill="0" applyBorder="0" applyAlignment="0" applyProtection="0"/>
    <xf numFmtId="0" fontId="28" fillId="60" borderId="0">
      <protection locked="0"/>
    </xf>
    <xf numFmtId="0" fontId="13" fillId="61" borderId="0" applyNumberFormat="0" applyBorder="0" applyAlignment="0" applyProtection="0"/>
    <xf numFmtId="173" fontId="44" fillId="0" borderId="0"/>
    <xf numFmtId="0" fontId="41" fillId="0" borderId="0" applyFont="0" applyFill="0" applyBorder="0" applyAlignment="0" applyProtection="0"/>
    <xf numFmtId="0" fontId="45" fillId="52" borderId="0">
      <alignment horizontal="left"/>
    </xf>
    <xf numFmtId="173" fontId="44" fillId="0" borderId="0"/>
    <xf numFmtId="14" fontId="13" fillId="0" borderId="0"/>
    <xf numFmtId="174" fontId="46" fillId="58" borderId="0" applyFont="0" applyFill="0" applyBorder="0" applyAlignment="0" applyProtection="0">
      <alignment vertical="center"/>
    </xf>
    <xf numFmtId="15" fontId="47" fillId="0" borderId="0">
      <alignment horizontal="right"/>
    </xf>
    <xf numFmtId="0" fontId="17" fillId="0" borderId="0">
      <alignment horizontal="right"/>
    </xf>
    <xf numFmtId="0" fontId="41" fillId="0" borderId="29" applyNumberFormat="0" applyFont="0" applyFill="0" applyAlignment="0" applyProtection="0"/>
    <xf numFmtId="0" fontId="48" fillId="39" borderId="26" applyNumberFormat="0" applyAlignment="0" applyProtection="0"/>
    <xf numFmtId="0" fontId="49" fillId="6" borderId="19" applyNumberFormat="0" applyAlignment="0" applyProtection="0"/>
    <xf numFmtId="0" fontId="50" fillId="0" borderId="30" applyNumberFormat="0" applyFill="0" applyAlignment="0" applyProtection="0"/>
    <xf numFmtId="0" fontId="12" fillId="0" borderId="24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5" fontId="1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15" fillId="0" borderId="0" applyProtection="0"/>
    <xf numFmtId="0" fontId="55" fillId="0" borderId="0" applyProtection="0"/>
    <xf numFmtId="0" fontId="53" fillId="0" borderId="0" applyProtection="0"/>
    <xf numFmtId="0" fontId="56" fillId="0" borderId="0" applyProtection="0"/>
    <xf numFmtId="0" fontId="57" fillId="0" borderId="0" applyProtection="0"/>
    <xf numFmtId="0" fontId="58" fillId="0" borderId="0" applyProtection="0"/>
    <xf numFmtId="0" fontId="42" fillId="0" borderId="0">
      <protection locked="0"/>
    </xf>
    <xf numFmtId="2" fontId="59" fillId="0" borderId="31">
      <alignment horizontal="center"/>
    </xf>
    <xf numFmtId="0" fontId="60" fillId="0" borderId="0" applyFill="0" applyBorder="0" applyProtection="0">
      <alignment horizontal="left"/>
    </xf>
    <xf numFmtId="176" fontId="23" fillId="52" borderId="0" applyFont="0" applyFill="0" applyBorder="0" applyAlignment="0" applyProtection="0"/>
    <xf numFmtId="0" fontId="61" fillId="36" borderId="0" applyNumberFormat="0" applyBorder="0" applyAlignment="0" applyProtection="0"/>
    <xf numFmtId="2" fontId="62" fillId="52" borderId="32" applyProtection="0">
      <alignment horizontal="left"/>
      <protection locked="0"/>
    </xf>
    <xf numFmtId="2" fontId="62" fillId="52" borderId="32" applyProtection="0">
      <alignment horizontal="left"/>
      <protection locked="0"/>
    </xf>
    <xf numFmtId="0" fontId="63" fillId="62" borderId="33" applyAlignment="0" applyProtection="0"/>
    <xf numFmtId="0" fontId="39" fillId="36" borderId="0" applyNumberFormat="0" applyBorder="0" applyAlignment="0" applyProtection="0"/>
    <xf numFmtId="0" fontId="64" fillId="3" borderId="0" applyNumberFormat="0" applyBorder="0" applyAlignment="0" applyProtection="0"/>
    <xf numFmtId="0" fontId="65" fillId="63" borderId="0"/>
    <xf numFmtId="0" fontId="66" fillId="0" borderId="34" applyNumberFormat="0" applyAlignment="0" applyProtection="0">
      <alignment horizontal="left" vertical="center"/>
    </xf>
    <xf numFmtId="0" fontId="66" fillId="0" borderId="33">
      <alignment horizontal="left" vertical="center"/>
    </xf>
    <xf numFmtId="0" fontId="67" fillId="55" borderId="0" applyNumberFormat="0" applyBorder="0" applyAlignment="0" applyProtection="0"/>
    <xf numFmtId="0" fontId="68" fillId="0" borderId="35" applyNumberFormat="0" applyFill="0" applyAlignment="0" applyProtection="0"/>
    <xf numFmtId="0" fontId="69" fillId="0" borderId="36" applyNumberFormat="0" applyFill="0" applyAlignment="0" applyProtection="0"/>
    <xf numFmtId="0" fontId="70" fillId="0" borderId="37" applyNumberFormat="0" applyFill="0" applyAlignment="0" applyProtection="0"/>
    <xf numFmtId="0" fontId="70" fillId="0" borderId="0" applyNumberFormat="0" applyFill="0" applyBorder="0" applyAlignment="0" applyProtection="0"/>
    <xf numFmtId="17" fontId="71" fillId="64" borderId="0" applyNumberFormat="0" applyFill="0">
      <alignment horizontal="left"/>
    </xf>
    <xf numFmtId="0" fontId="72" fillId="65" borderId="0" applyNumberFormat="0" applyBorder="0">
      <alignment horizontal="right" vertical="center"/>
    </xf>
    <xf numFmtId="19" fontId="72" fillId="65" borderId="38" applyNumberFormat="0" applyBorder="0">
      <alignment horizontal="left" vertical="center"/>
    </xf>
    <xf numFmtId="2" fontId="73" fillId="66" borderId="0">
      <alignment horizontal="center" vertical="center"/>
    </xf>
    <xf numFmtId="2" fontId="73" fillId="66" borderId="39" applyBorder="0">
      <alignment horizontal="left" vertical="center"/>
    </xf>
    <xf numFmtId="0" fontId="72" fillId="65" borderId="0">
      <alignment horizontal="right" vertical="center"/>
    </xf>
    <xf numFmtId="19" fontId="74" fillId="65" borderId="40" applyNumberFormat="0" applyBorder="0">
      <alignment horizontal="left" vertical="center" indent="1"/>
    </xf>
    <xf numFmtId="2" fontId="75" fillId="66" borderId="7" applyBorder="0">
      <alignment horizontal="left" vertical="center" indent="1"/>
    </xf>
    <xf numFmtId="2" fontId="75" fillId="66" borderId="41" applyBorder="0">
      <alignment horizontal="center" vertical="center"/>
    </xf>
    <xf numFmtId="2" fontId="13" fillId="67" borderId="42" applyBorder="0">
      <alignment horizontal="left" vertical="center" indent="1"/>
    </xf>
    <xf numFmtId="0" fontId="13" fillId="67" borderId="0">
      <alignment horizontal="right" vertical="center"/>
    </xf>
    <xf numFmtId="2" fontId="13" fillId="67" borderId="38" applyNumberFormat="0" applyBorder="0">
      <alignment horizontal="right" vertical="center"/>
    </xf>
    <xf numFmtId="2" fontId="76" fillId="68" borderId="40" applyBorder="0">
      <alignment horizontal="left" vertical="center" indent="1"/>
    </xf>
    <xf numFmtId="2" fontId="76" fillId="68" borderId="0">
      <alignment horizontal="right" vertical="center"/>
    </xf>
    <xf numFmtId="2" fontId="76" fillId="68" borderId="39" applyBorder="0">
      <alignment horizontal="left" vertical="center"/>
    </xf>
    <xf numFmtId="2" fontId="76" fillId="68" borderId="31" applyBorder="0">
      <alignment horizontal="center" vertical="center"/>
    </xf>
    <xf numFmtId="19" fontId="74" fillId="69" borderId="43" applyNumberFormat="0" applyBorder="0">
      <alignment horizontal="left" vertical="center"/>
    </xf>
    <xf numFmtId="15" fontId="74" fillId="69" borderId="41" applyNumberFormat="0" applyBorder="0">
      <alignment horizontal="right" vertical="center"/>
    </xf>
    <xf numFmtId="19" fontId="74" fillId="69" borderId="44" applyNumberFormat="0" applyBorder="0">
      <alignment horizontal="right" vertical="center"/>
    </xf>
    <xf numFmtId="2" fontId="75" fillId="70" borderId="45" applyBorder="0">
      <alignment horizontal="left" vertical="center" indent="1"/>
    </xf>
    <xf numFmtId="2" fontId="75" fillId="70" borderId="39" applyNumberFormat="0">
      <alignment horizontal="center" vertical="center"/>
    </xf>
    <xf numFmtId="2" fontId="75" fillId="70" borderId="39" applyNumberFormat="0" applyBorder="0">
      <alignment horizontal="left" vertical="center"/>
    </xf>
    <xf numFmtId="2" fontId="13" fillId="71" borderId="44" applyNumberFormat="0" applyBorder="0">
      <alignment horizontal="right" vertical="center"/>
    </xf>
    <xf numFmtId="0" fontId="77" fillId="0" borderId="0"/>
    <xf numFmtId="38" fontId="56" fillId="0" borderId="0"/>
    <xf numFmtId="38" fontId="78" fillId="0" borderId="0"/>
    <xf numFmtId="38" fontId="79" fillId="0" borderId="0"/>
    <xf numFmtId="38" fontId="58" fillId="0" borderId="0"/>
    <xf numFmtId="0" fontId="59" fillId="0" borderId="0"/>
    <xf numFmtId="0" fontId="59" fillId="0" borderId="0"/>
    <xf numFmtId="0" fontId="80" fillId="55" borderId="0"/>
    <xf numFmtId="3" fontId="13" fillId="0" borderId="0"/>
    <xf numFmtId="0" fontId="81" fillId="0" borderId="46" applyNumberFormat="0" applyFill="0" applyAlignment="0" applyProtection="0"/>
    <xf numFmtId="0" fontId="82" fillId="72" borderId="0" applyFill="0" applyBorder="0">
      <protection hidden="1"/>
    </xf>
    <xf numFmtId="0" fontId="83" fillId="73" borderId="47">
      <protection locked="0"/>
    </xf>
    <xf numFmtId="0" fontId="15" fillId="0" borderId="0"/>
    <xf numFmtId="0" fontId="15" fillId="55" borderId="0"/>
    <xf numFmtId="177" fontId="84" fillId="0" borderId="0" applyFont="0" applyFill="0" applyBorder="0" applyAlignment="0" applyProtection="0"/>
    <xf numFmtId="178" fontId="84" fillId="0" borderId="0" applyFont="0" applyFill="0" applyBorder="0" applyAlignment="0" applyProtection="0"/>
    <xf numFmtId="179" fontId="84" fillId="0" borderId="0" applyFont="0" applyFill="0" applyBorder="0" applyAlignment="0" applyProtection="0"/>
    <xf numFmtId="180" fontId="84" fillId="0" borderId="0" applyFont="0" applyFill="0" applyBorder="0" applyAlignment="0" applyProtection="0"/>
    <xf numFmtId="181" fontId="13" fillId="0" borderId="0">
      <alignment horizontal="right"/>
    </xf>
    <xf numFmtId="182" fontId="84" fillId="0" borderId="0" applyFont="0">
      <protection locked="0"/>
    </xf>
    <xf numFmtId="0" fontId="85" fillId="74" borderId="0" applyNumberFormat="0" applyBorder="0" applyAlignment="0" applyProtection="0"/>
    <xf numFmtId="0" fontId="86" fillId="5" borderId="0" applyNumberFormat="0" applyBorder="0" applyAlignment="0" applyProtection="0"/>
    <xf numFmtId="0" fontId="87" fillId="55" borderId="48" applyNumberFormat="0" applyFont="0" applyFill="0" applyAlignment="0" applyProtection="0">
      <alignment horizontal="center"/>
    </xf>
    <xf numFmtId="0" fontId="13" fillId="0" borderId="0" applyNumberFormat="0" applyFont="0" applyFill="0" applyBorder="0" applyAlignment="0"/>
    <xf numFmtId="37" fontId="88" fillId="0" borderId="0"/>
    <xf numFmtId="183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13" fillId="0" borderId="0"/>
    <xf numFmtId="0" fontId="11" fillId="0" borderId="0"/>
    <xf numFmtId="0" fontId="15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75" borderId="49" applyNumberFormat="0" applyFont="0" applyAlignment="0" applyProtection="0"/>
    <xf numFmtId="0" fontId="11" fillId="75" borderId="49" applyNumberFormat="0" applyFont="0" applyAlignment="0" applyProtection="0"/>
    <xf numFmtId="0" fontId="2" fillId="9" borderId="23" applyNumberFormat="0" applyFont="0" applyAlignment="0" applyProtection="0"/>
    <xf numFmtId="0" fontId="13" fillId="75" borderId="49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37" fontId="13" fillId="0" borderId="0"/>
    <xf numFmtId="0" fontId="63" fillId="76" borderId="50" applyNumberFormat="0" applyBorder="0">
      <alignment horizontal="left" vertical="center"/>
    </xf>
    <xf numFmtId="2" fontId="63" fillId="76" borderId="39" applyNumberFormat="0" applyBorder="0">
      <alignment horizontal="left" vertical="center"/>
    </xf>
    <xf numFmtId="2" fontId="76" fillId="68" borderId="51" applyNumberFormat="0" applyBorder="0">
      <alignment horizontal="left" vertical="center"/>
    </xf>
    <xf numFmtId="2" fontId="76" fillId="68" borderId="39" applyNumberFormat="0" applyBorder="0">
      <alignment horizontal="left" vertical="center"/>
    </xf>
    <xf numFmtId="2" fontId="90" fillId="52" borderId="32">
      <alignment horizontal="left"/>
    </xf>
    <xf numFmtId="2" fontId="90" fillId="52" borderId="32">
      <alignment horizontal="left"/>
    </xf>
    <xf numFmtId="19" fontId="13" fillId="77" borderId="14" applyNumberFormat="0" applyBorder="0">
      <alignment horizontal="left" vertical="center" indent="1"/>
    </xf>
    <xf numFmtId="0" fontId="13" fillId="77" borderId="0">
      <alignment horizontal="right" vertical="center"/>
    </xf>
    <xf numFmtId="19" fontId="13" fillId="77" borderId="44" applyNumberFormat="0" applyBorder="0">
      <alignment horizontal="right" vertical="center"/>
    </xf>
    <xf numFmtId="2" fontId="91" fillId="78" borderId="7" applyBorder="0">
      <alignment horizontal="left" vertical="center" indent="1"/>
    </xf>
    <xf numFmtId="2" fontId="91" fillId="78" borderId="0">
      <alignment horizontal="center" vertical="center"/>
    </xf>
    <xf numFmtId="2" fontId="91" fillId="78" borderId="52">
      <alignment horizontal="left" vertical="center"/>
    </xf>
    <xf numFmtId="1" fontId="92" fillId="0" borderId="0" applyProtection="0">
      <alignment horizontal="right" vertical="center"/>
    </xf>
    <xf numFmtId="0" fontId="13" fillId="79" borderId="0" applyNumberFormat="0" applyFont="0" applyBorder="0" applyAlignment="0" applyProtection="0">
      <protection hidden="1"/>
    </xf>
    <xf numFmtId="0" fontId="93" fillId="56" borderId="31">
      <alignment horizontal="center"/>
    </xf>
    <xf numFmtId="9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94" fillId="61" borderId="0" applyNumberFormat="0" applyBorder="0">
      <alignment horizontal="right" vertical="center"/>
    </xf>
    <xf numFmtId="0" fontId="95" fillId="80" borderId="31" applyNumberFormat="0">
      <alignment horizontal="center" vertical="center"/>
    </xf>
    <xf numFmtId="0" fontId="95" fillId="80" borderId="0" applyNumberFormat="0" applyBorder="0">
      <alignment horizontal="left" vertical="center" indent="1"/>
    </xf>
    <xf numFmtId="184" fontId="13" fillId="0" borderId="0"/>
    <xf numFmtId="0" fontId="74" fillId="52" borderId="7">
      <alignment horizontal="center"/>
    </xf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6" fillId="64" borderId="0" applyNumberFormat="0" applyAlignment="0" applyProtection="0"/>
    <xf numFmtId="0" fontId="46" fillId="58" borderId="0"/>
    <xf numFmtId="38" fontId="97" fillId="0" borderId="0"/>
    <xf numFmtId="3" fontId="98" fillId="0" borderId="53">
      <alignment horizontal="center"/>
      <protection locked="0"/>
    </xf>
    <xf numFmtId="0" fontId="37" fillId="81" borderId="0"/>
    <xf numFmtId="0" fontId="13" fillId="82" borderId="54" applyNumberFormat="0" applyProtection="0">
      <alignment horizontal="left" vertical="center" indent="1"/>
    </xf>
    <xf numFmtId="0" fontId="13" fillId="0" borderId="0" applyNumberFormat="0" applyFont="0" applyFill="0" applyBorder="0" applyAlignment="0" applyProtection="0"/>
    <xf numFmtId="0" fontId="99" fillId="35" borderId="0" applyNumberFormat="0" applyBorder="0" applyAlignment="0" applyProtection="0"/>
    <xf numFmtId="0" fontId="100" fillId="4" borderId="0" applyNumberFormat="0" applyBorder="0" applyAlignment="0" applyProtection="0"/>
    <xf numFmtId="15" fontId="101" fillId="52" borderId="0" applyBorder="0" applyAlignment="0" applyProtection="0">
      <alignment horizontal="right"/>
    </xf>
    <xf numFmtId="0" fontId="102" fillId="0" borderId="0"/>
    <xf numFmtId="185" fontId="103" fillId="0" borderId="0"/>
    <xf numFmtId="38" fontId="104" fillId="0" borderId="0"/>
    <xf numFmtId="186" fontId="105" fillId="83" borderId="0">
      <alignment horizontal="center" vertical="center"/>
      <protection locked="0"/>
    </xf>
    <xf numFmtId="0" fontId="17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23" fillId="0" borderId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6" fillId="0" borderId="0"/>
    <xf numFmtId="0" fontId="107" fillId="0" borderId="0"/>
    <xf numFmtId="2" fontId="108" fillId="84" borderId="50" applyNumberFormat="0" applyFill="0" applyBorder="0" applyAlignment="0">
      <alignment horizontal="center"/>
      <protection locked="0"/>
    </xf>
    <xf numFmtId="0" fontId="109" fillId="0" borderId="55" applyNumberFormat="0" applyAlignment="0" applyProtection="0">
      <alignment horizontal="left" vertical="top"/>
    </xf>
    <xf numFmtId="0" fontId="109" fillId="0" borderId="0" applyNumberFormat="0" applyProtection="0">
      <alignment horizontal="right" vertical="top"/>
    </xf>
    <xf numFmtId="0" fontId="13" fillId="0" borderId="0" applyNumberFormat="0" applyFont="0" applyAlignment="0" applyProtection="0"/>
    <xf numFmtId="0" fontId="110" fillId="0" borderId="0" applyNumberFormat="0" applyFill="0" applyBorder="0" applyProtection="0"/>
    <xf numFmtId="0" fontId="111" fillId="0" borderId="0" applyNumberFormat="0" applyFill="0" applyBorder="0" applyProtection="0">
      <alignment vertical="top"/>
    </xf>
    <xf numFmtId="0" fontId="112" fillId="0" borderId="33" applyNumberFormat="0" applyProtection="0">
      <alignment horizontal="left" vertical="top"/>
    </xf>
    <xf numFmtId="0" fontId="112" fillId="0" borderId="33" applyNumberFormat="0" applyProtection="0">
      <alignment horizontal="right" vertical="top"/>
    </xf>
    <xf numFmtId="0" fontId="109" fillId="0" borderId="0" applyNumberFormat="0" applyProtection="0">
      <alignment horizontal="left" vertical="top"/>
    </xf>
    <xf numFmtId="0" fontId="113" fillId="0" borderId="0" applyNumberFormat="0" applyProtection="0">
      <alignment horizontal="left" vertical="top"/>
    </xf>
    <xf numFmtId="0" fontId="113" fillId="0" borderId="0" applyNumberFormat="0" applyProtection="0">
      <alignment horizontal="right" vertical="top"/>
    </xf>
    <xf numFmtId="0" fontId="13" fillId="0" borderId="56" applyNumberFormat="0" applyFont="0" applyAlignment="0" applyProtection="0"/>
    <xf numFmtId="0" fontId="13" fillId="0" borderId="57" applyNumberFormat="0" applyFont="0" applyAlignment="0" applyProtection="0"/>
    <xf numFmtId="0" fontId="13" fillId="0" borderId="58" applyNumberFormat="0" applyFont="0" applyAlignment="0" applyProtection="0"/>
    <xf numFmtId="10" fontId="114" fillId="0" borderId="0" applyNumberFormat="0" applyFill="0" applyBorder="0" applyProtection="0">
      <alignment horizontal="right" vertical="top"/>
    </xf>
    <xf numFmtId="0" fontId="109" fillId="0" borderId="33" applyNumberFormat="0" applyFill="0" applyAlignment="0" applyProtection="0"/>
    <xf numFmtId="0" fontId="113" fillId="0" borderId="59" applyNumberFormat="0" applyFont="0" applyFill="0" applyAlignment="0" applyProtection="0">
      <alignment horizontal="left" vertical="top"/>
    </xf>
    <xf numFmtId="0" fontId="109" fillId="0" borderId="10" applyNumberFormat="0" applyFill="0" applyAlignment="0" applyProtection="0">
      <alignment vertical="top"/>
    </xf>
    <xf numFmtId="0" fontId="115" fillId="0" borderId="0" applyBorder="0" applyProtection="0">
      <alignment vertical="center"/>
    </xf>
    <xf numFmtId="0" fontId="115" fillId="0" borderId="10" applyBorder="0" applyProtection="0">
      <alignment horizontal="right" vertical="center"/>
    </xf>
    <xf numFmtId="0" fontId="116" fillId="85" borderId="0" applyBorder="0" applyProtection="0">
      <alignment horizontal="centerContinuous" vertical="center"/>
    </xf>
    <xf numFmtId="0" fontId="116" fillId="86" borderId="10" applyBorder="0" applyProtection="0">
      <alignment horizontal="centerContinuous" vertical="center"/>
    </xf>
    <xf numFmtId="0" fontId="45" fillId="0" borderId="0" applyBorder="0" applyProtection="0">
      <alignment horizontal="left"/>
    </xf>
    <xf numFmtId="0" fontId="117" fillId="0" borderId="0" applyFill="0" applyBorder="0" applyProtection="0">
      <alignment horizontal="left"/>
    </xf>
    <xf numFmtId="0" fontId="60" fillId="0" borderId="7" applyFill="0" applyBorder="0" applyProtection="0">
      <alignment horizontal="left" vertical="top"/>
    </xf>
    <xf numFmtId="2" fontId="13" fillId="63" borderId="39" applyNumberFormat="0" applyBorder="0">
      <alignment horizontal="right" vertical="center"/>
    </xf>
    <xf numFmtId="2" fontId="13" fillId="63" borderId="0">
      <alignment horizontal="right" vertical="center"/>
    </xf>
    <xf numFmtId="2" fontId="76" fillId="87" borderId="31">
      <alignment horizontal="center" vertical="center"/>
    </xf>
    <xf numFmtId="2" fontId="76" fillId="87" borderId="0" applyNumberFormat="0" applyBorder="0">
      <alignment horizontal="left" vertical="center"/>
    </xf>
    <xf numFmtId="2" fontId="76" fillId="87" borderId="31">
      <alignment horizontal="center" vertical="center"/>
    </xf>
    <xf numFmtId="187" fontId="118" fillId="0" borderId="32">
      <alignment vertical="center"/>
    </xf>
    <xf numFmtId="187" fontId="118" fillId="0" borderId="32">
      <alignment vertical="center"/>
    </xf>
    <xf numFmtId="0" fontId="119" fillId="0" borderId="0">
      <alignment horizontal="center"/>
    </xf>
    <xf numFmtId="0" fontId="120" fillId="0" borderId="0"/>
    <xf numFmtId="0" fontId="121" fillId="0" borderId="0" applyNumberFormat="0" applyFill="0" applyBorder="0" applyAlignment="0" applyProtection="0"/>
    <xf numFmtId="38" fontId="122" fillId="88" borderId="60"/>
    <xf numFmtId="38" fontId="122" fillId="88" borderId="60"/>
    <xf numFmtId="0" fontId="121" fillId="0" borderId="0" applyNumberFormat="0" applyFill="0" applyBorder="0" applyAlignment="0" applyProtection="0"/>
    <xf numFmtId="0" fontId="123" fillId="0" borderId="35" applyNumberFormat="0" applyFill="0" applyAlignment="0" applyProtection="0"/>
    <xf numFmtId="0" fontId="124" fillId="0" borderId="16" applyNumberFormat="0" applyFill="0" applyAlignment="0" applyProtection="0"/>
    <xf numFmtId="0" fontId="125" fillId="0" borderId="36" applyNumberFormat="0" applyFill="0" applyAlignment="0" applyProtection="0"/>
    <xf numFmtId="0" fontId="126" fillId="0" borderId="17" applyNumberFormat="0" applyFill="0" applyAlignment="0" applyProtection="0"/>
    <xf numFmtId="0" fontId="127" fillId="0" borderId="37" applyNumberFormat="0" applyFill="0" applyAlignment="0" applyProtection="0"/>
    <xf numFmtId="0" fontId="128" fillId="0" borderId="18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4" fillId="0" borderId="0"/>
    <xf numFmtId="0" fontId="130" fillId="0" borderId="0">
      <alignment vertical="top"/>
    </xf>
    <xf numFmtId="0" fontId="13" fillId="89" borderId="0" applyNumberFormat="0" applyBorder="0" applyAlignment="0">
      <protection locked="0"/>
    </xf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1" fillId="0" borderId="46" applyNumberFormat="0" applyFill="0" applyAlignment="0" applyProtection="0"/>
    <xf numFmtId="0" fontId="132" fillId="0" borderId="21" applyNumberFormat="0" applyFill="0" applyAlignment="0" applyProtection="0"/>
    <xf numFmtId="0" fontId="13" fillId="55" borderId="0" applyNumberFormat="0" applyFont="0" applyFill="0" applyBorder="0" applyProtection="0">
      <alignment horizontal="center" textRotation="90" wrapText="1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82" borderId="0">
      <alignment horizontal="right"/>
    </xf>
    <xf numFmtId="0" fontId="23" fillId="53" borderId="0" applyNumberFormat="0" applyFont="0" applyBorder="0" applyAlignment="0" applyProtection="0"/>
    <xf numFmtId="0" fontId="136" fillId="55" borderId="0"/>
    <xf numFmtId="14" fontId="40" fillId="0" borderId="0" applyFont="0" applyFill="0" applyBorder="0" applyProtection="0"/>
    <xf numFmtId="188" fontId="13" fillId="0" borderId="0">
      <alignment horizontal="center"/>
    </xf>
    <xf numFmtId="0" fontId="137" fillId="59" borderId="27" applyNumberFormat="0" applyAlignment="0" applyProtection="0"/>
    <xf numFmtId="0" fontId="138" fillId="8" borderId="22" applyNumberFormat="0" applyAlignment="0" applyProtection="0"/>
    <xf numFmtId="9" fontId="13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41" fillId="0" borderId="0" applyNumberFormat="0" applyFill="0" applyBorder="0" applyAlignment="0" applyProtection="0">
      <alignment vertical="top"/>
      <protection locked="0"/>
    </xf>
    <xf numFmtId="167" fontId="140" fillId="0" borderId="0" applyFont="0" applyFill="0" applyBorder="0" applyAlignment="0" applyProtection="0"/>
    <xf numFmtId="189" fontId="140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0" fillId="13" borderId="0" applyNumberFormat="0" applyBorder="0" applyAlignment="0" applyProtection="0"/>
    <xf numFmtId="0" fontId="160" fillId="17" borderId="0" applyNumberFormat="0" applyBorder="0" applyAlignment="0" applyProtection="0"/>
    <xf numFmtId="0" fontId="160" fillId="21" borderId="0" applyNumberFormat="0" applyBorder="0" applyAlignment="0" applyProtection="0"/>
    <xf numFmtId="0" fontId="160" fillId="25" borderId="0" applyNumberFormat="0" applyBorder="0" applyAlignment="0" applyProtection="0"/>
    <xf numFmtId="0" fontId="160" fillId="29" borderId="0" applyNumberFormat="0" applyBorder="0" applyAlignment="0" applyProtection="0"/>
    <xf numFmtId="0" fontId="160" fillId="33" borderId="0" applyNumberFormat="0" applyBorder="0" applyAlignment="0" applyProtection="0"/>
    <xf numFmtId="0" fontId="160" fillId="10" borderId="0" applyNumberFormat="0" applyBorder="0" applyAlignment="0" applyProtection="0"/>
    <xf numFmtId="0" fontId="160" fillId="14" borderId="0" applyNumberFormat="0" applyBorder="0" applyAlignment="0" applyProtection="0"/>
    <xf numFmtId="0" fontId="160" fillId="18" borderId="0" applyNumberFormat="0" applyBorder="0" applyAlignment="0" applyProtection="0"/>
    <xf numFmtId="0" fontId="160" fillId="22" borderId="0" applyNumberFormat="0" applyBorder="0" applyAlignment="0" applyProtection="0"/>
    <xf numFmtId="0" fontId="160" fillId="26" borderId="0" applyNumberFormat="0" applyBorder="0" applyAlignment="0" applyProtection="0"/>
    <xf numFmtId="0" fontId="160" fillId="30" borderId="0" applyNumberFormat="0" applyBorder="0" applyAlignment="0" applyProtection="0"/>
    <xf numFmtId="0" fontId="150" fillId="4" borderId="0" applyNumberFormat="0" applyBorder="0" applyAlignment="0" applyProtection="0"/>
    <xf numFmtId="0" fontId="154" fillId="7" borderId="19" applyNumberFormat="0" applyAlignment="0" applyProtection="0"/>
    <xf numFmtId="0" fontId="156" fillId="8" borderId="22" applyNumberFormat="0" applyAlignment="0" applyProtection="0"/>
    <xf numFmtId="0" fontId="158" fillId="0" borderId="0" applyNumberFormat="0" applyFill="0" applyBorder="0" applyAlignment="0" applyProtection="0"/>
    <xf numFmtId="0" fontId="149" fillId="3" borderId="0" applyNumberFormat="0" applyBorder="0" applyAlignment="0" applyProtection="0"/>
    <xf numFmtId="0" fontId="146" fillId="0" borderId="16" applyNumberFormat="0" applyFill="0" applyAlignment="0" applyProtection="0"/>
    <xf numFmtId="0" fontId="147" fillId="0" borderId="17" applyNumberFormat="0" applyFill="0" applyAlignment="0" applyProtection="0"/>
    <xf numFmtId="0" fontId="148" fillId="0" borderId="18" applyNumberFormat="0" applyFill="0" applyAlignment="0" applyProtection="0"/>
    <xf numFmtId="0" fontId="148" fillId="0" borderId="0" applyNumberFormat="0" applyFill="0" applyBorder="0" applyAlignment="0" applyProtection="0"/>
    <xf numFmtId="0" fontId="152" fillId="6" borderId="19" applyNumberFormat="0" applyAlignment="0" applyProtection="0"/>
    <xf numFmtId="0" fontId="155" fillId="0" borderId="21" applyNumberFormat="0" applyFill="0" applyAlignment="0" applyProtection="0"/>
    <xf numFmtId="0" fontId="151" fillId="5" borderId="0" applyNumberFormat="0" applyBorder="0" applyAlignment="0" applyProtection="0"/>
    <xf numFmtId="0" fontId="161" fillId="0" borderId="0"/>
    <xf numFmtId="0" fontId="161" fillId="0" borderId="0"/>
    <xf numFmtId="0" fontId="161" fillId="0" borderId="0"/>
    <xf numFmtId="0" fontId="153" fillId="7" borderId="20" applyNumberFormat="0" applyAlignment="0" applyProtection="0"/>
    <xf numFmtId="0" fontId="145" fillId="0" borderId="0" applyNumberFormat="0" applyFill="0" applyBorder="0" applyAlignment="0" applyProtection="0"/>
    <xf numFmtId="0" fontId="159" fillId="0" borderId="24" applyNumberFormat="0" applyFill="0" applyAlignment="0" applyProtection="0"/>
    <xf numFmtId="0" fontId="157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150" fillId="4" borderId="0" applyNumberFormat="0" applyBorder="0" applyAlignment="0" applyProtection="0"/>
  </cellStyleXfs>
  <cellXfs count="369">
    <xf numFmtId="0" fontId="0" fillId="0" borderId="0" xfId="0">
      <alignment vertical="top"/>
    </xf>
    <xf numFmtId="0" fontId="4" fillId="0" borderId="1" xfId="0" applyFont="1" applyBorder="1">
      <alignment vertical="top"/>
    </xf>
    <xf numFmtId="0" fontId="0" fillId="0" borderId="2" xfId="0" applyBorder="1">
      <alignment vertical="top"/>
    </xf>
    <xf numFmtId="14" fontId="5" fillId="0" borderId="3" xfId="0" applyNumberFormat="1" applyFont="1" applyBorder="1">
      <alignment vertical="top"/>
    </xf>
    <xf numFmtId="0" fontId="4" fillId="0" borderId="4" xfId="0" applyFont="1" applyBorder="1">
      <alignment vertical="top"/>
    </xf>
    <xf numFmtId="10" fontId="6" fillId="0" borderId="5" xfId="1" applyNumberFormat="1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4" fillId="0" borderId="7" xfId="0" applyFont="1" applyBorder="1">
      <alignment vertical="top"/>
    </xf>
    <xf numFmtId="10" fontId="6" fillId="0" borderId="0" xfId="1" applyNumberFormat="1" applyFont="1" applyBorder="1" applyAlignment="1">
      <alignment vertical="top"/>
    </xf>
    <xf numFmtId="0" fontId="5" fillId="0" borderId="8" xfId="0" applyFont="1" applyBorder="1" applyAlignment="1">
      <alignment horizontal="right" vertical="top"/>
    </xf>
    <xf numFmtId="0" fontId="4" fillId="0" borderId="9" xfId="0" applyFont="1" applyBorder="1">
      <alignment vertical="top"/>
    </xf>
    <xf numFmtId="10" fontId="6" fillId="0" borderId="10" xfId="1" applyNumberFormat="1" applyFont="1" applyBorder="1" applyAlignment="1">
      <alignment vertical="top"/>
    </xf>
    <xf numFmtId="0" fontId="5" fillId="0" borderId="11" xfId="0" applyFont="1" applyBorder="1" applyAlignment="1">
      <alignment horizontal="right" vertical="top"/>
    </xf>
    <xf numFmtId="0" fontId="4" fillId="0" borderId="4" xfId="0" applyFont="1" applyFill="1" applyBorder="1">
      <alignment vertical="top"/>
    </xf>
    <xf numFmtId="10" fontId="6" fillId="0" borderId="5" xfId="1" applyNumberFormat="1" applyFont="1" applyFill="1" applyBorder="1" applyAlignment="1">
      <alignment vertical="top"/>
    </xf>
    <xf numFmtId="0" fontId="4" fillId="0" borderId="9" xfId="0" applyFont="1" applyFill="1" applyBorder="1">
      <alignment vertical="top"/>
    </xf>
    <xf numFmtId="10" fontId="6" fillId="0" borderId="10" xfId="1" applyNumberFormat="1" applyFont="1" applyFill="1" applyBorder="1" applyAlignment="1">
      <alignment vertical="top"/>
    </xf>
    <xf numFmtId="9" fontId="6" fillId="0" borderId="11" xfId="1" applyFont="1" applyBorder="1" applyAlignment="1">
      <alignment vertical="top"/>
    </xf>
    <xf numFmtId="164" fontId="0" fillId="0" borderId="0" xfId="0" applyNumberFormat="1">
      <alignment vertical="top"/>
    </xf>
    <xf numFmtId="0" fontId="0" fillId="0" borderId="5" xfId="0" applyBorder="1">
      <alignment vertical="top"/>
    </xf>
    <xf numFmtId="2" fontId="6" fillId="0" borderId="6" xfId="0" applyNumberFormat="1" applyFont="1" applyBorder="1">
      <alignment vertical="top"/>
    </xf>
    <xf numFmtId="0" fontId="0" fillId="0" borderId="10" xfId="0" applyBorder="1">
      <alignment vertical="top"/>
    </xf>
    <xf numFmtId="2" fontId="6" fillId="0" borderId="11" xfId="0" applyNumberFormat="1" applyFont="1" applyBorder="1">
      <alignment vertical="top"/>
    </xf>
    <xf numFmtId="0" fontId="9" fillId="0" borderId="5" xfId="0" applyFont="1" applyBorder="1">
      <alignment vertical="top"/>
    </xf>
    <xf numFmtId="0" fontId="9" fillId="0" borderId="10" xfId="0" applyFont="1" applyBorder="1">
      <alignment vertical="top"/>
    </xf>
    <xf numFmtId="0" fontId="6" fillId="0" borderId="6" xfId="0" applyFont="1" applyBorder="1" applyAlignment="1">
      <alignment horizontal="right" vertical="top"/>
    </xf>
    <xf numFmtId="0" fontId="0" fillId="0" borderId="0" xfId="0" applyBorder="1">
      <alignment vertical="top"/>
    </xf>
    <xf numFmtId="0" fontId="6" fillId="0" borderId="8" xfId="0" applyFont="1" applyBorder="1" applyAlignment="1">
      <alignment horizontal="right" vertical="top"/>
    </xf>
    <xf numFmtId="0" fontId="6" fillId="0" borderId="8" xfId="0" applyFont="1" applyBorder="1">
      <alignment vertical="top"/>
    </xf>
    <xf numFmtId="0" fontId="4" fillId="0" borderId="7" xfId="0" applyFont="1" applyFill="1" applyBorder="1">
      <alignment vertical="top"/>
    </xf>
    <xf numFmtId="0" fontId="7" fillId="2" borderId="8" xfId="0" applyFont="1" applyFill="1" applyBorder="1" applyAlignment="1">
      <alignment horizontal="center" vertical="top"/>
    </xf>
    <xf numFmtId="0" fontId="5" fillId="0" borderId="11" xfId="0" quotePrefix="1" applyFont="1" applyBorder="1">
      <alignment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>
      <alignment vertical="top"/>
    </xf>
    <xf numFmtId="0" fontId="5" fillId="0" borderId="13" xfId="0" applyFont="1" applyBorder="1">
      <alignment vertical="top"/>
    </xf>
    <xf numFmtId="0" fontId="7" fillId="0" borderId="14" xfId="0" applyFont="1" applyBorder="1">
      <alignment vertical="top"/>
    </xf>
    <xf numFmtId="0" fontId="5" fillId="0" borderId="14" xfId="0" applyFont="1" applyBorder="1">
      <alignment vertical="top"/>
    </xf>
    <xf numFmtId="0" fontId="7" fillId="0" borderId="15" xfId="0" applyFont="1" applyBorder="1">
      <alignment vertical="top"/>
    </xf>
    <xf numFmtId="0" fontId="5" fillId="0" borderId="15" xfId="0" applyFont="1" applyBorder="1">
      <alignment vertical="top"/>
    </xf>
    <xf numFmtId="0" fontId="4" fillId="0" borderId="12" xfId="0" applyFont="1" applyBorder="1">
      <alignment vertical="top"/>
    </xf>
    <xf numFmtId="0" fontId="0" fillId="0" borderId="6" xfId="0" applyBorder="1">
      <alignment vertical="top"/>
    </xf>
    <xf numFmtId="0" fontId="0" fillId="0" borderId="9" xfId="0" applyBorder="1">
      <alignment vertical="top"/>
    </xf>
    <xf numFmtId="0" fontId="0" fillId="0" borderId="11" xfId="0" applyBorder="1">
      <alignment vertical="top"/>
    </xf>
    <xf numFmtId="0" fontId="5" fillId="2" borderId="12" xfId="0" applyFont="1" applyFill="1" applyBorder="1">
      <alignment vertical="top"/>
    </xf>
    <xf numFmtId="165" fontId="0" fillId="0" borderId="0" xfId="0" applyNumberFormat="1">
      <alignment vertical="top"/>
    </xf>
    <xf numFmtId="14" fontId="6" fillId="0" borderId="6" xfId="0" applyNumberFormat="1" applyFont="1" applyBorder="1">
      <alignment vertical="top"/>
    </xf>
    <xf numFmtId="0" fontId="5" fillId="0" borderId="11" xfId="0" applyFont="1" applyBorder="1">
      <alignment vertical="top"/>
    </xf>
    <xf numFmtId="0" fontId="0" fillId="0" borderId="3" xfId="0" applyBorder="1">
      <alignment vertical="top"/>
    </xf>
    <xf numFmtId="0" fontId="8" fillId="0" borderId="0" xfId="0" applyFont="1" applyBorder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6" xfId="0" applyFont="1" applyBorder="1">
      <alignment vertical="top"/>
    </xf>
    <xf numFmtId="0" fontId="6" fillId="0" borderId="7" xfId="0" applyFont="1" applyBorder="1" applyAlignment="1">
      <alignment horizontal="center" vertical="top"/>
    </xf>
    <xf numFmtId="0" fontId="8" fillId="0" borderId="32" xfId="0" applyFont="1" applyBorder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11" xfId="0" applyFont="1" applyBorder="1">
      <alignment vertical="top"/>
    </xf>
    <xf numFmtId="14" fontId="5" fillId="0" borderId="5" xfId="0" applyNumberFormat="1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14" fontId="5" fillId="0" borderId="10" xfId="0" applyNumberFormat="1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8" fillId="0" borderId="4" xfId="0" applyFont="1" applyBorder="1">
      <alignment vertical="top"/>
    </xf>
    <xf numFmtId="0" fontId="8" fillId="0" borderId="5" xfId="0" applyFont="1" applyBorder="1">
      <alignment vertical="top"/>
    </xf>
    <xf numFmtId="0" fontId="8" fillId="0" borderId="7" xfId="0" applyFont="1" applyBorder="1">
      <alignment vertical="top"/>
    </xf>
    <xf numFmtId="0" fontId="8" fillId="0" borderId="9" xfId="0" applyFont="1" applyBorder="1">
      <alignment vertical="top"/>
    </xf>
    <xf numFmtId="0" fontId="8" fillId="0" borderId="10" xfId="0" applyFont="1" applyBorder="1">
      <alignment vertical="top"/>
    </xf>
    <xf numFmtId="0" fontId="8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164" fontId="5" fillId="0" borderId="4" xfId="0" applyNumberFormat="1" applyFont="1" applyBorder="1">
      <alignment vertical="top"/>
    </xf>
    <xf numFmtId="164" fontId="5" fillId="0" borderId="5" xfId="0" applyNumberFormat="1" applyFont="1" applyBorder="1">
      <alignment vertical="top"/>
    </xf>
    <xf numFmtId="164" fontId="5" fillId="0" borderId="6" xfId="0" applyNumberFormat="1" applyFont="1" applyBorder="1">
      <alignment vertical="top"/>
    </xf>
    <xf numFmtId="164" fontId="5" fillId="0" borderId="7" xfId="0" applyNumberFormat="1" applyFont="1" applyBorder="1">
      <alignment vertical="top"/>
    </xf>
    <xf numFmtId="164" fontId="5" fillId="0" borderId="0" xfId="0" applyNumberFormat="1" applyFont="1" applyBorder="1">
      <alignment vertical="top"/>
    </xf>
    <xf numFmtId="164" fontId="5" fillId="0" borderId="32" xfId="0" applyNumberFormat="1" applyFont="1" applyBorder="1">
      <alignment vertical="top"/>
    </xf>
    <xf numFmtId="164" fontId="5" fillId="0" borderId="9" xfId="0" applyNumberFormat="1" applyFont="1" applyBorder="1">
      <alignment vertical="top"/>
    </xf>
    <xf numFmtId="164" fontId="5" fillId="0" borderId="10" xfId="0" applyNumberFormat="1" applyFont="1" applyBorder="1">
      <alignment vertical="top"/>
    </xf>
    <xf numFmtId="164" fontId="5" fillId="0" borderId="11" xfId="0" applyNumberFormat="1" applyFont="1" applyBorder="1">
      <alignment vertical="top"/>
    </xf>
    <xf numFmtId="165" fontId="5" fillId="0" borderId="4" xfId="1" applyNumberFormat="1" applyFont="1" applyBorder="1" applyAlignment="1">
      <alignment vertical="top"/>
    </xf>
    <xf numFmtId="165" fontId="5" fillId="0" borderId="5" xfId="1" applyNumberFormat="1" applyFont="1" applyBorder="1" applyAlignment="1">
      <alignment vertical="top"/>
    </xf>
    <xf numFmtId="165" fontId="5" fillId="0" borderId="6" xfId="1" applyNumberFormat="1" applyFont="1" applyBorder="1" applyAlignment="1">
      <alignment vertical="top"/>
    </xf>
    <xf numFmtId="165" fontId="5" fillId="0" borderId="7" xfId="1" applyNumberFormat="1" applyFont="1" applyBorder="1" applyAlignment="1">
      <alignment vertical="top"/>
    </xf>
    <xf numFmtId="165" fontId="5" fillId="0" borderId="0" xfId="1" applyNumberFormat="1" applyFont="1" applyBorder="1" applyAlignment="1">
      <alignment vertical="top"/>
    </xf>
    <xf numFmtId="165" fontId="5" fillId="0" borderId="32" xfId="1" applyNumberFormat="1" applyFont="1" applyBorder="1" applyAlignment="1">
      <alignment vertical="top"/>
    </xf>
    <xf numFmtId="165" fontId="5" fillId="0" borderId="9" xfId="1" applyNumberFormat="1" applyFont="1" applyBorder="1" applyAlignment="1">
      <alignment vertical="top"/>
    </xf>
    <xf numFmtId="165" fontId="5" fillId="0" borderId="10" xfId="1" applyNumberFormat="1" applyFont="1" applyBorder="1" applyAlignment="1">
      <alignment vertical="top"/>
    </xf>
    <xf numFmtId="165" fontId="5" fillId="0" borderId="11" xfId="1" applyNumberFormat="1" applyFont="1" applyBorder="1" applyAlignment="1">
      <alignment vertical="top"/>
    </xf>
    <xf numFmtId="9" fontId="0" fillId="0" borderId="0" xfId="1" applyFont="1" applyAlignment="1">
      <alignment vertical="top"/>
    </xf>
    <xf numFmtId="0" fontId="7" fillId="2" borderId="6" xfId="0" applyFont="1" applyFill="1" applyBorder="1" applyAlignment="1">
      <alignment horizontal="right" vertical="top"/>
    </xf>
    <xf numFmtId="0" fontId="0" fillId="0" borderId="4" xfId="0" applyBorder="1">
      <alignment vertical="top"/>
    </xf>
    <xf numFmtId="0" fontId="6" fillId="0" borderId="4" xfId="0" applyFont="1" applyBorder="1">
      <alignment vertical="top"/>
    </xf>
    <xf numFmtId="0" fontId="6" fillId="0" borderId="5" xfId="0" applyFont="1" applyBorder="1">
      <alignment vertical="top"/>
    </xf>
    <xf numFmtId="0" fontId="6" fillId="0" borderId="6" xfId="0" applyFont="1" applyBorder="1">
      <alignment vertical="top"/>
    </xf>
    <xf numFmtId="0" fontId="6" fillId="0" borderId="7" xfId="0" applyFont="1" applyBorder="1">
      <alignment vertical="top"/>
    </xf>
    <xf numFmtId="0" fontId="6" fillId="0" borderId="0" xfId="0" applyFont="1" applyBorder="1">
      <alignment vertical="top"/>
    </xf>
    <xf numFmtId="0" fontId="6" fillId="0" borderId="32" xfId="0" applyFont="1" applyBorder="1">
      <alignment vertical="top"/>
    </xf>
    <xf numFmtId="0" fontId="6" fillId="0" borderId="9" xfId="0" applyFont="1" applyBorder="1">
      <alignment vertical="top"/>
    </xf>
    <xf numFmtId="0" fontId="6" fillId="0" borderId="10" xfId="0" applyFont="1" applyBorder="1">
      <alignment vertical="top"/>
    </xf>
    <xf numFmtId="0" fontId="6" fillId="0" borderId="11" xfId="0" applyFont="1" applyBorder="1">
      <alignment vertical="top"/>
    </xf>
    <xf numFmtId="0" fontId="10" fillId="0" borderId="13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0" fillId="0" borderId="15" xfId="0" applyBorder="1">
      <alignment vertical="top"/>
    </xf>
    <xf numFmtId="0" fontId="4" fillId="0" borderId="0" xfId="0" applyFo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14" fontId="5" fillId="0" borderId="4" xfId="0" applyNumberFormat="1" applyFont="1" applyBorder="1">
      <alignment vertical="top"/>
    </xf>
    <xf numFmtId="14" fontId="5" fillId="0" borderId="7" xfId="0" applyNumberFormat="1" applyFont="1" applyBorder="1">
      <alignment vertical="top"/>
    </xf>
    <xf numFmtId="14" fontId="5" fillId="0" borderId="9" xfId="0" applyNumberFormat="1" applyFont="1" applyBorder="1">
      <alignment vertical="top"/>
    </xf>
    <xf numFmtId="2" fontId="8" fillId="0" borderId="6" xfId="0" applyNumberFormat="1" applyFont="1" applyBorder="1">
      <alignment vertical="top"/>
    </xf>
    <xf numFmtId="2" fontId="8" fillId="0" borderId="32" xfId="0" applyNumberFormat="1" applyFont="1" applyBorder="1">
      <alignment vertical="top"/>
    </xf>
    <xf numFmtId="2" fontId="8" fillId="0" borderId="11" xfId="0" applyNumberFormat="1" applyFont="1" applyBorder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2" fontId="5" fillId="0" borderId="4" xfId="1" applyNumberFormat="1" applyFont="1" applyBorder="1" applyAlignment="1">
      <alignment vertical="top"/>
    </xf>
    <xf numFmtId="2" fontId="5" fillId="0" borderId="5" xfId="1" applyNumberFormat="1" applyFont="1" applyBorder="1" applyAlignment="1">
      <alignment vertical="top"/>
    </xf>
    <xf numFmtId="2" fontId="5" fillId="0" borderId="5" xfId="0" applyNumberFormat="1" applyFont="1" applyBorder="1">
      <alignment vertical="top"/>
    </xf>
    <xf numFmtId="2" fontId="5" fillId="0" borderId="6" xfId="1" applyNumberFormat="1" applyFont="1" applyBorder="1" applyAlignment="1">
      <alignment vertical="top"/>
    </xf>
    <xf numFmtId="2" fontId="5" fillId="0" borderId="7" xfId="1" applyNumberFormat="1" applyFont="1" applyBorder="1" applyAlignment="1">
      <alignment vertical="top"/>
    </xf>
    <xf numFmtId="2" fontId="5" fillId="0" borderId="0" xfId="1" applyNumberFormat="1" applyFont="1" applyBorder="1" applyAlignment="1">
      <alignment vertical="top"/>
    </xf>
    <xf numFmtId="2" fontId="5" fillId="0" borderId="0" xfId="0" applyNumberFormat="1" applyFont="1" applyBorder="1">
      <alignment vertical="top"/>
    </xf>
    <xf numFmtId="2" fontId="5" fillId="0" borderId="32" xfId="1" applyNumberFormat="1" applyFont="1" applyBorder="1" applyAlignment="1">
      <alignment vertical="top"/>
    </xf>
    <xf numFmtId="2" fontId="5" fillId="0" borderId="9" xfId="1" applyNumberFormat="1" applyFont="1" applyBorder="1" applyAlignment="1">
      <alignment vertical="top"/>
    </xf>
    <xf numFmtId="2" fontId="5" fillId="0" borderId="10" xfId="1" applyNumberFormat="1" applyFont="1" applyBorder="1" applyAlignment="1">
      <alignment vertical="top"/>
    </xf>
    <xf numFmtId="2" fontId="5" fillId="0" borderId="10" xfId="0" applyNumberFormat="1" applyFont="1" applyBorder="1">
      <alignment vertical="top"/>
    </xf>
    <xf numFmtId="2" fontId="5" fillId="0" borderId="11" xfId="1" applyNumberFormat="1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6" fillId="0" borderId="1" xfId="0" applyFont="1" applyBorder="1">
      <alignment vertical="top"/>
    </xf>
    <xf numFmtId="0" fontId="6" fillId="0" borderId="2" xfId="0" applyFont="1" applyBorder="1">
      <alignment vertical="top"/>
    </xf>
    <xf numFmtId="0" fontId="6" fillId="0" borderId="3" xfId="0" applyFont="1" applyBorder="1">
      <alignment vertical="top"/>
    </xf>
    <xf numFmtId="0" fontId="4" fillId="0" borderId="6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2" fontId="6" fillId="0" borderId="13" xfId="0" applyNumberFormat="1" applyFont="1" applyBorder="1">
      <alignment vertical="top"/>
    </xf>
    <xf numFmtId="2" fontId="6" fillId="0" borderId="14" xfId="0" applyNumberFormat="1" applyFont="1" applyBorder="1">
      <alignment vertical="top"/>
    </xf>
    <xf numFmtId="2" fontId="6" fillId="0" borderId="15" xfId="0" applyNumberFormat="1" applyFont="1" applyBorder="1">
      <alignment vertical="top"/>
    </xf>
    <xf numFmtId="2" fontId="6" fillId="0" borderId="4" xfId="0" applyNumberFormat="1" applyFont="1" applyBorder="1">
      <alignment vertical="top"/>
    </xf>
    <xf numFmtId="2" fontId="6" fillId="0" borderId="5" xfId="0" applyNumberFormat="1" applyFont="1" applyBorder="1">
      <alignment vertical="top"/>
    </xf>
    <xf numFmtId="2" fontId="6" fillId="0" borderId="7" xfId="0" applyNumberFormat="1" applyFont="1" applyBorder="1">
      <alignment vertical="top"/>
    </xf>
    <xf numFmtId="2" fontId="6" fillId="0" borderId="0" xfId="0" applyNumberFormat="1" applyFont="1" applyBorder="1">
      <alignment vertical="top"/>
    </xf>
    <xf numFmtId="2" fontId="6" fillId="0" borderId="32" xfId="0" applyNumberFormat="1" applyFont="1" applyBorder="1">
      <alignment vertical="top"/>
    </xf>
    <xf numFmtId="2" fontId="6" fillId="0" borderId="9" xfId="0" applyNumberFormat="1" applyFont="1" applyBorder="1">
      <alignment vertical="top"/>
    </xf>
    <xf numFmtId="2" fontId="6" fillId="0" borderId="10" xfId="0" applyNumberFormat="1" applyFont="1" applyBorder="1">
      <alignment vertical="top"/>
    </xf>
    <xf numFmtId="0" fontId="5" fillId="0" borderId="0" xfId="0" applyFont="1">
      <alignment vertical="top"/>
    </xf>
    <xf numFmtId="0" fontId="5" fillId="0" borderId="4" xfId="0" applyFont="1" applyBorder="1">
      <alignment vertical="top"/>
    </xf>
    <xf numFmtId="0" fontId="5" fillId="0" borderId="5" xfId="0" applyFont="1" applyBorder="1">
      <alignment vertical="top"/>
    </xf>
    <xf numFmtId="166" fontId="5" fillId="0" borderId="5" xfId="1" applyNumberFormat="1" applyFont="1" applyBorder="1" applyAlignment="1">
      <alignment vertical="top"/>
    </xf>
    <xf numFmtId="9" fontId="5" fillId="0" borderId="5" xfId="1" applyFont="1" applyBorder="1" applyAlignment="1">
      <alignment vertical="top"/>
    </xf>
    <xf numFmtId="2" fontId="5" fillId="0" borderId="6" xfId="0" applyNumberFormat="1" applyFont="1" applyBorder="1">
      <alignment vertical="top"/>
    </xf>
    <xf numFmtId="0" fontId="5" fillId="0" borderId="7" xfId="0" applyFont="1" applyBorder="1">
      <alignment vertical="top"/>
    </xf>
    <xf numFmtId="0" fontId="5" fillId="0" borderId="0" xfId="0" applyFont="1" applyBorder="1">
      <alignment vertical="top"/>
    </xf>
    <xf numFmtId="166" fontId="5" fillId="0" borderId="0" xfId="1" applyNumberFormat="1" applyFont="1" applyBorder="1" applyAlignment="1">
      <alignment vertical="top"/>
    </xf>
    <xf numFmtId="9" fontId="5" fillId="0" borderId="0" xfId="1" applyFont="1" applyBorder="1" applyAlignment="1">
      <alignment vertical="top"/>
    </xf>
    <xf numFmtId="2" fontId="5" fillId="0" borderId="32" xfId="0" applyNumberFormat="1" applyFont="1" applyBorder="1">
      <alignment vertical="top"/>
    </xf>
    <xf numFmtId="0" fontId="5" fillId="0" borderId="9" xfId="0" applyFont="1" applyBorder="1">
      <alignment vertical="top"/>
    </xf>
    <xf numFmtId="0" fontId="5" fillId="0" borderId="10" xfId="0" applyFont="1" applyBorder="1">
      <alignment vertical="top"/>
    </xf>
    <xf numFmtId="166" fontId="5" fillId="0" borderId="10" xfId="1" applyNumberFormat="1" applyFont="1" applyBorder="1" applyAlignment="1">
      <alignment vertical="top"/>
    </xf>
    <xf numFmtId="9" fontId="5" fillId="0" borderId="10" xfId="1" applyFont="1" applyBorder="1" applyAlignment="1">
      <alignment vertical="top"/>
    </xf>
    <xf numFmtId="2" fontId="5" fillId="0" borderId="11" xfId="0" applyNumberFormat="1" applyFont="1" applyBorder="1">
      <alignment vertical="top"/>
    </xf>
    <xf numFmtId="165" fontId="142" fillId="0" borderId="4" xfId="1" applyNumberFormat="1" applyFont="1" applyBorder="1" applyAlignment="1">
      <alignment vertical="top"/>
    </xf>
    <xf numFmtId="165" fontId="142" fillId="0" borderId="5" xfId="1" applyNumberFormat="1" applyFont="1" applyBorder="1" applyAlignment="1">
      <alignment vertical="top"/>
    </xf>
    <xf numFmtId="165" fontId="142" fillId="0" borderId="6" xfId="1" applyNumberFormat="1" applyFont="1" applyBorder="1" applyAlignment="1">
      <alignment vertical="top"/>
    </xf>
    <xf numFmtId="165" fontId="142" fillId="0" borderId="7" xfId="1" applyNumberFormat="1" applyFont="1" applyBorder="1" applyAlignment="1">
      <alignment vertical="top"/>
    </xf>
    <xf numFmtId="165" fontId="142" fillId="0" borderId="0" xfId="1" applyNumberFormat="1" applyFont="1" applyBorder="1" applyAlignment="1">
      <alignment vertical="top"/>
    </xf>
    <xf numFmtId="165" fontId="142" fillId="0" borderId="32" xfId="1" applyNumberFormat="1" applyFont="1" applyBorder="1" applyAlignment="1">
      <alignment vertical="top"/>
    </xf>
    <xf numFmtId="165" fontId="142" fillId="0" borderId="9" xfId="1" applyNumberFormat="1" applyFont="1" applyBorder="1" applyAlignment="1">
      <alignment vertical="top"/>
    </xf>
    <xf numFmtId="165" fontId="142" fillId="0" borderId="10" xfId="1" applyNumberFormat="1" applyFont="1" applyBorder="1" applyAlignment="1">
      <alignment vertical="top"/>
    </xf>
    <xf numFmtId="165" fontId="142" fillId="0" borderId="11" xfId="1" applyNumberFormat="1" applyFont="1" applyBorder="1" applyAlignment="1">
      <alignment vertical="top"/>
    </xf>
    <xf numFmtId="0" fontId="63" fillId="55" borderId="40" xfId="524" applyFont="1" applyFill="1" applyBorder="1" applyAlignment="1">
      <alignment horizontal="left"/>
    </xf>
    <xf numFmtId="0" fontId="143" fillId="90" borderId="61" xfId="524" applyFont="1" applyFill="1" applyBorder="1" applyAlignment="1">
      <alignment horizontal="right"/>
    </xf>
    <xf numFmtId="0" fontId="143" fillId="90" borderId="42" xfId="524" quotePrefix="1" applyFont="1" applyFill="1" applyBorder="1" applyAlignment="1">
      <alignment horizontal="right"/>
    </xf>
    <xf numFmtId="0" fontId="144" fillId="91" borderId="0" xfId="0" applyFont="1" applyFill="1" applyAlignment="1"/>
    <xf numFmtId="0" fontId="63" fillId="55" borderId="14" xfId="524" applyFont="1" applyFill="1" applyBorder="1" applyAlignment="1">
      <alignment horizontal="left"/>
    </xf>
    <xf numFmtId="0" fontId="133" fillId="90" borderId="7" xfId="524" applyFont="1" applyFill="1" applyBorder="1" applyAlignment="1">
      <alignment horizontal="center"/>
    </xf>
    <xf numFmtId="0" fontId="133" fillId="90" borderId="32" xfId="524" applyFont="1" applyFill="1" applyBorder="1" applyAlignment="1">
      <alignment horizontal="center"/>
    </xf>
    <xf numFmtId="0" fontId="144" fillId="91" borderId="61" xfId="0" applyFont="1" applyFill="1" applyBorder="1" applyAlignment="1"/>
    <xf numFmtId="0" fontId="144" fillId="91" borderId="59" xfId="0" applyFont="1" applyFill="1" applyBorder="1" applyAlignment="1"/>
    <xf numFmtId="0" fontId="144" fillId="91" borderId="42" xfId="0" applyFont="1" applyFill="1" applyBorder="1" applyAlignment="1"/>
    <xf numFmtId="0" fontId="144" fillId="91" borderId="7" xfId="0" applyFont="1" applyFill="1" applyBorder="1" applyAlignment="1"/>
    <xf numFmtId="0" fontId="144" fillId="91" borderId="0" xfId="0" applyFont="1" applyFill="1" applyBorder="1" applyAlignment="1"/>
    <xf numFmtId="0" fontId="144" fillId="91" borderId="32" xfId="0" applyFont="1" applyFill="1" applyBorder="1" applyAlignment="1"/>
    <xf numFmtId="0" fontId="144" fillId="91" borderId="9" xfId="0" applyFont="1" applyFill="1" applyBorder="1" applyAlignment="1"/>
    <xf numFmtId="0" fontId="144" fillId="91" borderId="10" xfId="0" applyFont="1" applyFill="1" applyBorder="1" applyAlignment="1"/>
    <xf numFmtId="0" fontId="144" fillId="91" borderId="11" xfId="0" applyFont="1" applyFill="1" applyBorder="1" applyAlignment="1"/>
    <xf numFmtId="0" fontId="63" fillId="55" borderId="15" xfId="524" applyFont="1" applyFill="1" applyBorder="1" applyAlignment="1">
      <alignment horizontal="left"/>
    </xf>
    <xf numFmtId="0" fontId="133" fillId="90" borderId="9" xfId="524" applyFont="1" applyFill="1" applyBorder="1" applyAlignment="1">
      <alignment horizontal="center"/>
    </xf>
    <xf numFmtId="0" fontId="133" fillId="90" borderId="11" xfId="524" applyFont="1" applyFill="1" applyBorder="1" applyAlignment="1">
      <alignment horizontal="center"/>
    </xf>
    <xf numFmtId="0" fontId="0" fillId="91" borderId="32" xfId="0" applyFont="1" applyFill="1" applyBorder="1" applyAlignment="1"/>
    <xf numFmtId="0" fontId="63" fillId="55" borderId="40" xfId="772" applyFont="1" applyFill="1" applyBorder="1" applyAlignment="1">
      <alignment horizontal="left"/>
    </xf>
    <xf numFmtId="0" fontId="11" fillId="0" borderId="0" xfId="2"/>
    <xf numFmtId="0" fontId="144" fillId="91" borderId="61" xfId="2" applyFont="1" applyFill="1" applyBorder="1"/>
    <xf numFmtId="0" fontId="144" fillId="91" borderId="42" xfId="2" applyFont="1" applyFill="1" applyBorder="1"/>
    <xf numFmtId="2" fontId="11" fillId="91" borderId="61" xfId="2" quotePrefix="1" applyNumberFormat="1" applyFill="1" applyBorder="1"/>
    <xf numFmtId="2" fontId="11" fillId="91" borderId="59" xfId="2" quotePrefix="1" applyNumberFormat="1" applyFill="1" applyBorder="1"/>
    <xf numFmtId="2" fontId="11" fillId="91" borderId="59" xfId="2" applyNumberFormat="1" applyFill="1" applyBorder="1"/>
    <xf numFmtId="0" fontId="11" fillId="91" borderId="42" xfId="2" applyFill="1" applyBorder="1"/>
    <xf numFmtId="0" fontId="144" fillId="91" borderId="7" xfId="2" applyFont="1" applyFill="1" applyBorder="1"/>
    <xf numFmtId="0" fontId="144" fillId="91" borderId="32" xfId="2" applyFont="1" applyFill="1" applyBorder="1"/>
    <xf numFmtId="2" fontId="11" fillId="91" borderId="7" xfId="2" quotePrefix="1" applyNumberFormat="1" applyFill="1" applyBorder="1"/>
    <xf numFmtId="2" fontId="11" fillId="91" borderId="0" xfId="2" quotePrefix="1" applyNumberFormat="1" applyFill="1" applyBorder="1"/>
    <xf numFmtId="2" fontId="11" fillId="91" borderId="0" xfId="2" applyNumberFormat="1" applyFill="1" applyBorder="1"/>
    <xf numFmtId="0" fontId="11" fillId="91" borderId="32" xfId="2" applyFill="1" applyBorder="1"/>
    <xf numFmtId="0" fontId="11" fillId="91" borderId="9" xfId="2" applyFill="1" applyBorder="1"/>
    <xf numFmtId="0" fontId="11" fillId="91" borderId="11" xfId="2" applyFill="1" applyBorder="1"/>
    <xf numFmtId="0" fontId="11" fillId="91" borderId="7" xfId="2" applyFill="1" applyBorder="1"/>
    <xf numFmtId="0" fontId="11" fillId="91" borderId="0" xfId="2" applyFill="1" applyBorder="1"/>
    <xf numFmtId="0" fontId="11" fillId="91" borderId="10" xfId="2" applyFill="1" applyBorder="1"/>
    <xf numFmtId="0" fontId="5" fillId="0" borderId="11" xfId="0" quotePrefix="1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14" fontId="5" fillId="0" borderId="0" xfId="0" applyNumberFormat="1" applyFont="1" applyBorder="1">
      <alignment vertical="top"/>
    </xf>
    <xf numFmtId="0" fontId="7" fillId="2" borderId="0" xfId="0" applyFont="1" applyFill="1" applyBorder="1" applyAlignment="1">
      <alignment horizontal="right" vertical="top"/>
    </xf>
    <xf numFmtId="9" fontId="6" fillId="0" borderId="0" xfId="1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0" fontId="5" fillId="0" borderId="0" xfId="0" quotePrefix="1" applyFont="1" applyBorder="1" applyAlignment="1">
      <alignment horizontal="right" vertical="top"/>
    </xf>
    <xf numFmtId="0" fontId="4" fillId="0" borderId="1" xfId="0" applyFont="1" applyFill="1" applyBorder="1">
      <alignment vertical="top"/>
    </xf>
    <xf numFmtId="9" fontId="8" fillId="0" borderId="7" xfId="1" applyFont="1" applyBorder="1" applyAlignment="1">
      <alignment vertical="top"/>
    </xf>
    <xf numFmtId="9" fontId="6" fillId="0" borderId="32" xfId="1" applyFont="1" applyBorder="1" applyAlignment="1">
      <alignment vertical="top"/>
    </xf>
    <xf numFmtId="9" fontId="6" fillId="0" borderId="10" xfId="1" applyFont="1" applyBorder="1" applyAlignment="1">
      <alignment vertical="top"/>
    </xf>
    <xf numFmtId="0" fontId="8" fillId="0" borderId="7" xfId="0" applyFont="1" applyFill="1" applyBorder="1">
      <alignment vertical="top"/>
    </xf>
    <xf numFmtId="14" fontId="0" fillId="0" borderId="0" xfId="0" applyNumberFormat="1">
      <alignment vertical="top"/>
    </xf>
    <xf numFmtId="0" fontId="5" fillId="0" borderId="6" xfId="0" quotePrefix="1" applyFont="1" applyBorder="1">
      <alignment vertical="top"/>
    </xf>
    <xf numFmtId="191" fontId="5" fillId="0" borderId="10" xfId="1" applyNumberFormat="1" applyFont="1" applyBorder="1" applyAlignment="1">
      <alignment vertical="top"/>
    </xf>
    <xf numFmtId="191" fontId="5" fillId="0" borderId="11" xfId="1" applyNumberFormat="1" applyFont="1" applyBorder="1" applyAlignment="1">
      <alignment vertical="top"/>
    </xf>
    <xf numFmtId="192" fontId="0" fillId="0" borderId="0" xfId="0" applyNumberFormat="1">
      <alignment vertical="top"/>
    </xf>
    <xf numFmtId="10" fontId="144" fillId="91" borderId="32" xfId="1" applyNumberFormat="1" applyFont="1" applyFill="1" applyBorder="1" applyAlignment="1"/>
    <xf numFmtId="191" fontId="5" fillId="0" borderId="7" xfId="1" applyNumberFormat="1" applyFont="1" applyBorder="1" applyAlignment="1">
      <alignment vertical="top"/>
    </xf>
    <xf numFmtId="0" fontId="5" fillId="0" borderId="32" xfId="0" applyFont="1" applyBorder="1" applyAlignment="1">
      <alignment horizontal="right" vertical="top"/>
    </xf>
    <xf numFmtId="192" fontId="5" fillId="0" borderId="7" xfId="1" applyNumberFormat="1" applyFont="1" applyBorder="1" applyAlignment="1">
      <alignment vertical="top"/>
    </xf>
    <xf numFmtId="0" fontId="0" fillId="0" borderId="60" xfId="0" applyBorder="1">
      <alignment vertical="top"/>
    </xf>
    <xf numFmtId="10" fontId="0" fillId="0" borderId="0" xfId="1" applyNumberFormat="1" applyFont="1" applyAlignment="1">
      <alignment vertical="top"/>
    </xf>
    <xf numFmtId="0" fontId="4" fillId="0" borderId="63" xfId="0" applyFont="1" applyBorder="1">
      <alignment vertical="top"/>
    </xf>
    <xf numFmtId="0" fontId="4" fillId="0" borderId="62" xfId="0" applyFont="1" applyBorder="1">
      <alignment vertical="top"/>
    </xf>
    <xf numFmtId="0" fontId="5" fillId="0" borderId="3" xfId="0" quotePrefix="1" applyFont="1" applyBorder="1" applyAlignment="1">
      <alignment horizontal="right" vertical="top"/>
    </xf>
    <xf numFmtId="0" fontId="162" fillId="0" borderId="60" xfId="0" applyFont="1" applyBorder="1" applyAlignment="1"/>
    <xf numFmtId="0" fontId="163" fillId="0" borderId="60" xfId="0" applyFont="1" applyBorder="1" applyAlignment="1">
      <alignment horizontal="right"/>
    </xf>
    <xf numFmtId="0" fontId="162" fillId="0" borderId="40" xfId="0" applyFont="1" applyBorder="1" applyAlignment="1"/>
    <xf numFmtId="0" fontId="162" fillId="0" borderId="14" xfId="0" applyFont="1" applyBorder="1" applyAlignment="1"/>
    <xf numFmtId="0" fontId="165" fillId="0" borderId="14" xfId="0" applyFont="1" applyBorder="1" applyAlignment="1"/>
    <xf numFmtId="0" fontId="162" fillId="0" borderId="15" xfId="0" applyFont="1" applyBorder="1" applyAlignment="1"/>
    <xf numFmtId="0" fontId="165" fillId="0" borderId="15" xfId="0" applyFont="1" applyBorder="1" applyAlignment="1"/>
    <xf numFmtId="0" fontId="0" fillId="0" borderId="0" xfId="0" applyAlignment="1"/>
    <xf numFmtId="0" fontId="4" fillId="0" borderId="61" xfId="0" applyFont="1" applyBorder="1">
      <alignment vertical="top"/>
    </xf>
    <xf numFmtId="10" fontId="6" fillId="0" borderId="59" xfId="1" applyNumberFormat="1" applyFont="1" applyBorder="1" applyAlignment="1">
      <alignment vertical="top"/>
    </xf>
    <xf numFmtId="0" fontId="5" fillId="0" borderId="42" xfId="0" applyFont="1" applyBorder="1" applyAlignment="1">
      <alignment horizontal="right" vertical="top"/>
    </xf>
    <xf numFmtId="14" fontId="164" fillId="0" borderId="40" xfId="0" applyNumberFormat="1" applyFont="1" applyBorder="1" applyAlignment="1"/>
    <xf numFmtId="0" fontId="165" fillId="0" borderId="40" xfId="0" applyFont="1" applyBorder="1" applyAlignment="1"/>
    <xf numFmtId="14" fontId="164" fillId="0" borderId="15" xfId="0" applyNumberFormat="1" applyFont="1" applyBorder="1" applyAlignment="1"/>
    <xf numFmtId="0" fontId="0" fillId="0" borderId="40" xfId="0" applyBorder="1">
      <alignment vertical="top"/>
    </xf>
    <xf numFmtId="0" fontId="0" fillId="0" borderId="14" xfId="0" applyBorder="1">
      <alignment vertical="top"/>
    </xf>
    <xf numFmtId="0" fontId="4" fillId="91" borderId="40" xfId="0" applyFont="1" applyFill="1" applyBorder="1" applyAlignment="1">
      <alignment horizontal="center" vertical="top"/>
    </xf>
    <xf numFmtId="0" fontId="4" fillId="91" borderId="61" xfId="0" applyFont="1" applyFill="1" applyBorder="1" applyAlignment="1">
      <alignment horizontal="center" vertical="top"/>
    </xf>
    <xf numFmtId="0" fontId="4" fillId="91" borderId="59" xfId="0" applyFont="1" applyFill="1" applyBorder="1" applyAlignment="1">
      <alignment horizontal="center" vertical="top"/>
    </xf>
    <xf numFmtId="0" fontId="4" fillId="91" borderId="42" xfId="0" applyFont="1" applyFill="1" applyBorder="1" applyAlignment="1">
      <alignment horizontal="center" vertical="top"/>
    </xf>
    <xf numFmtId="0" fontId="0" fillId="91" borderId="15" xfId="0" applyFill="1" applyBorder="1" applyAlignment="1">
      <alignment vertical="top"/>
    </xf>
    <xf numFmtId="0" fontId="4" fillId="91" borderId="9" xfId="0" applyFont="1" applyFill="1" applyBorder="1" applyAlignment="1">
      <alignment horizontal="center" vertical="top"/>
    </xf>
    <xf numFmtId="0" fontId="4" fillId="91" borderId="10" xfId="0" applyFont="1" applyFill="1" applyBorder="1" applyAlignment="1">
      <alignment horizontal="center" vertical="top"/>
    </xf>
    <xf numFmtId="0" fontId="4" fillId="91" borderId="11" xfId="0" applyFont="1" applyFill="1" applyBorder="1" applyAlignment="1">
      <alignment horizontal="center" vertical="top"/>
    </xf>
    <xf numFmtId="0" fontId="6" fillId="91" borderId="61" xfId="0" applyFont="1" applyFill="1" applyBorder="1" applyAlignment="1">
      <alignment vertical="top"/>
    </xf>
    <xf numFmtId="0" fontId="6" fillId="91" borderId="59" xfId="0" applyFont="1" applyFill="1" applyBorder="1" applyAlignment="1">
      <alignment vertical="top"/>
    </xf>
    <xf numFmtId="0" fontId="6" fillId="91" borderId="42" xfId="0" applyFont="1" applyFill="1" applyBorder="1" applyAlignment="1">
      <alignment vertical="top"/>
    </xf>
    <xf numFmtId="0" fontId="6" fillId="91" borderId="7" xfId="0" applyFont="1" applyFill="1" applyBorder="1" applyAlignment="1">
      <alignment vertical="top"/>
    </xf>
    <xf numFmtId="0" fontId="6" fillId="91" borderId="0" xfId="0" applyFont="1" applyFill="1" applyBorder="1" applyAlignment="1">
      <alignment vertical="top"/>
    </xf>
    <xf numFmtId="0" fontId="6" fillId="91" borderId="32" xfId="0" applyFont="1" applyFill="1" applyBorder="1" applyAlignment="1">
      <alignment vertical="top"/>
    </xf>
    <xf numFmtId="0" fontId="6" fillId="91" borderId="9" xfId="0" applyFont="1" applyFill="1" applyBorder="1" applyAlignment="1">
      <alignment vertical="top"/>
    </xf>
    <xf numFmtId="0" fontId="6" fillId="91" borderId="10" xfId="0" applyFont="1" applyFill="1" applyBorder="1" applyAlignment="1">
      <alignment vertical="top"/>
    </xf>
    <xf numFmtId="0" fontId="6" fillId="91" borderId="11" xfId="0" applyFont="1" applyFill="1" applyBorder="1" applyAlignment="1">
      <alignment vertical="top"/>
    </xf>
    <xf numFmtId="0" fontId="0" fillId="91" borderId="0" xfId="0" applyFill="1" applyAlignment="1"/>
    <xf numFmtId="0" fontId="162" fillId="91" borderId="60" xfId="0" applyFont="1" applyFill="1" applyBorder="1" applyAlignment="1"/>
    <xf numFmtId="0" fontId="163" fillId="91" borderId="60" xfId="0" applyFont="1" applyFill="1" applyBorder="1" applyAlignment="1">
      <alignment horizontal="right"/>
    </xf>
    <xf numFmtId="0" fontId="162" fillId="91" borderId="40" xfId="0" applyFont="1" applyFill="1" applyBorder="1" applyAlignment="1"/>
    <xf numFmtId="0" fontId="165" fillId="91" borderId="40" xfId="0" applyFont="1" applyFill="1" applyBorder="1" applyAlignment="1">
      <alignment horizontal="right"/>
    </xf>
    <xf numFmtId="0" fontId="165" fillId="91" borderId="60" xfId="0" applyFont="1" applyFill="1" applyBorder="1" applyAlignment="1">
      <alignment horizontal="right"/>
    </xf>
    <xf numFmtId="0" fontId="162" fillId="91" borderId="14" xfId="0" applyFont="1" applyFill="1" applyBorder="1" applyAlignment="1"/>
    <xf numFmtId="0" fontId="165" fillId="91" borderId="14" xfId="0" applyFont="1" applyFill="1" applyBorder="1" applyAlignment="1">
      <alignment horizontal="right"/>
    </xf>
    <xf numFmtId="0" fontId="162" fillId="91" borderId="15" xfId="0" applyFont="1" applyFill="1" applyBorder="1" applyAlignment="1"/>
    <xf numFmtId="0" fontId="165" fillId="91" borderId="15" xfId="0" applyFont="1" applyFill="1" applyBorder="1" applyAlignment="1">
      <alignment horizontal="right"/>
    </xf>
    <xf numFmtId="0" fontId="163" fillId="91" borderId="40" xfId="0" applyFont="1" applyFill="1" applyBorder="1" applyAlignment="1">
      <alignment horizontal="right"/>
    </xf>
    <xf numFmtId="0" fontId="162" fillId="91" borderId="61" xfId="0" applyFont="1" applyFill="1" applyBorder="1" applyAlignment="1"/>
    <xf numFmtId="0" fontId="165" fillId="91" borderId="42" xfId="0" applyFont="1" applyFill="1" applyBorder="1" applyAlignment="1">
      <alignment horizontal="right"/>
    </xf>
    <xf numFmtId="0" fontId="162" fillId="91" borderId="7" xfId="0" applyFont="1" applyFill="1" applyBorder="1" applyAlignment="1"/>
    <xf numFmtId="0" fontId="165" fillId="91" borderId="32" xfId="0" applyFont="1" applyFill="1" applyBorder="1" applyAlignment="1">
      <alignment horizontal="right"/>
    </xf>
    <xf numFmtId="0" fontId="162" fillId="91" borderId="9" xfId="0" applyFont="1" applyFill="1" applyBorder="1" applyAlignment="1"/>
    <xf numFmtId="0" fontId="165" fillId="91" borderId="11" xfId="0" applyFont="1" applyFill="1" applyBorder="1" applyAlignment="1">
      <alignment horizontal="right"/>
    </xf>
    <xf numFmtId="0" fontId="163" fillId="91" borderId="40" xfId="0" quotePrefix="1" applyFont="1" applyFill="1" applyBorder="1" applyAlignment="1">
      <alignment horizontal="right"/>
    </xf>
    <xf numFmtId="43" fontId="165" fillId="91" borderId="40" xfId="816" applyFont="1" applyFill="1" applyBorder="1" applyAlignment="1">
      <alignment horizontal="right"/>
    </xf>
    <xf numFmtId="43" fontId="165" fillId="2" borderId="40" xfId="816" applyFont="1" applyFill="1" applyBorder="1" applyAlignment="1">
      <alignment horizontal="right"/>
    </xf>
    <xf numFmtId="43" fontId="165" fillId="91" borderId="14" xfId="816" applyFont="1" applyFill="1" applyBorder="1" applyAlignment="1">
      <alignment horizontal="right"/>
    </xf>
    <xf numFmtId="43" fontId="165" fillId="2" borderId="14" xfId="816" applyFont="1" applyFill="1" applyBorder="1" applyAlignment="1">
      <alignment horizontal="right"/>
    </xf>
    <xf numFmtId="43" fontId="165" fillId="91" borderId="15" xfId="816" applyFont="1" applyFill="1" applyBorder="1" applyAlignment="1">
      <alignment horizontal="right"/>
    </xf>
    <xf numFmtId="43" fontId="165" fillId="2" borderId="15" xfId="816" applyFont="1" applyFill="1" applyBorder="1" applyAlignment="1">
      <alignment horizontal="right"/>
    </xf>
    <xf numFmtId="2" fontId="10" fillId="91" borderId="40" xfId="0" applyNumberFormat="1" applyFont="1" applyFill="1" applyBorder="1" applyAlignment="1">
      <alignment horizontal="center" vertical="top"/>
    </xf>
    <xf numFmtId="2" fontId="10" fillId="91" borderId="14" xfId="0" applyNumberFormat="1" applyFont="1" applyFill="1" applyBorder="1" applyAlignment="1">
      <alignment horizontal="center" vertical="top"/>
    </xf>
    <xf numFmtId="2" fontId="10" fillId="91" borderId="15" xfId="0" applyNumberFormat="1" applyFont="1" applyFill="1" applyBorder="1" applyAlignment="1">
      <alignment horizontal="center" vertical="top"/>
    </xf>
    <xf numFmtId="14" fontId="165" fillId="91" borderId="32" xfId="0" applyNumberFormat="1" applyFont="1" applyFill="1" applyBorder="1" applyAlignment="1">
      <alignment horizontal="right"/>
    </xf>
    <xf numFmtId="43" fontId="165" fillId="91" borderId="32" xfId="816" applyFont="1" applyFill="1" applyBorder="1" applyAlignment="1">
      <alignment horizontal="right"/>
    </xf>
    <xf numFmtId="43" fontId="165" fillId="91" borderId="11" xfId="816" applyFont="1" applyFill="1" applyBorder="1" applyAlignment="1">
      <alignment horizontal="right"/>
    </xf>
    <xf numFmtId="0" fontId="12" fillId="91" borderId="61" xfId="0" applyFont="1" applyFill="1" applyBorder="1" applyAlignment="1"/>
    <xf numFmtId="0" fontId="166" fillId="91" borderId="42" xfId="0" applyFont="1" applyFill="1" applyBorder="1" applyAlignment="1">
      <alignment horizontal="right"/>
    </xf>
    <xf numFmtId="0" fontId="12" fillId="91" borderId="9" xfId="0" applyFont="1" applyFill="1" applyBorder="1" applyAlignment="1"/>
    <xf numFmtId="0" fontId="166" fillId="91" borderId="11" xfId="0" applyFont="1" applyFill="1" applyBorder="1" applyAlignment="1">
      <alignment horizontal="right"/>
    </xf>
    <xf numFmtId="0" fontId="163" fillId="91" borderId="60" xfId="0" quotePrefix="1" applyFont="1" applyFill="1" applyBorder="1" applyAlignment="1">
      <alignment horizontal="right"/>
    </xf>
    <xf numFmtId="9" fontId="6" fillId="0" borderId="61" xfId="1" applyFont="1" applyFill="1" applyBorder="1" applyAlignment="1">
      <alignment vertical="top"/>
    </xf>
    <xf numFmtId="9" fontId="6" fillId="0" borderId="59" xfId="1" applyFont="1" applyBorder="1" applyAlignment="1">
      <alignment vertical="top"/>
    </xf>
    <xf numFmtId="9" fontId="6" fillId="0" borderId="7" xfId="1" applyFont="1" applyBorder="1" applyAlignment="1">
      <alignment vertical="top"/>
    </xf>
    <xf numFmtId="192" fontId="5" fillId="0" borderId="4" xfId="0" applyNumberFormat="1" applyFont="1" applyBorder="1">
      <alignment vertical="top"/>
    </xf>
    <xf numFmtId="192" fontId="5" fillId="0" borderId="7" xfId="0" applyNumberFormat="1" applyFont="1" applyBorder="1">
      <alignment vertical="top"/>
    </xf>
    <xf numFmtId="192" fontId="5" fillId="0" borderId="9" xfId="0" applyNumberFormat="1" applyFont="1" applyBorder="1">
      <alignment vertical="top"/>
    </xf>
    <xf numFmtId="9" fontId="8" fillId="0" borderId="59" xfId="1" applyFont="1" applyBorder="1" applyAlignment="1">
      <alignment vertical="top"/>
    </xf>
    <xf numFmtId="43" fontId="6" fillId="0" borderId="59" xfId="1" applyNumberFormat="1" applyFont="1" applyBorder="1" applyAlignment="1">
      <alignment vertical="top"/>
    </xf>
    <xf numFmtId="43" fontId="6" fillId="0" borderId="32" xfId="1" applyNumberFormat="1" applyFont="1" applyBorder="1" applyAlignment="1">
      <alignment vertical="top"/>
    </xf>
    <xf numFmtId="43" fontId="6" fillId="0" borderId="7" xfId="1" applyNumberFormat="1" applyFont="1" applyBorder="1" applyAlignment="1">
      <alignment vertical="top"/>
    </xf>
    <xf numFmtId="43" fontId="6" fillId="0" borderId="10" xfId="1" applyNumberFormat="1" applyFont="1" applyBorder="1" applyAlignment="1">
      <alignment vertical="top"/>
    </xf>
    <xf numFmtId="0" fontId="0" fillId="0" borderId="33" xfId="0" applyBorder="1">
      <alignment vertical="top"/>
    </xf>
    <xf numFmtId="165" fontId="0" fillId="0" borderId="0" xfId="1" applyNumberFormat="1" applyFont="1" applyAlignment="1">
      <alignment vertical="top"/>
    </xf>
    <xf numFmtId="0" fontId="5" fillId="0" borderId="62" xfId="0" applyFont="1" applyBorder="1" applyAlignment="1">
      <alignment horizontal="right" vertical="top"/>
    </xf>
    <xf numFmtId="9" fontId="8" fillId="0" borderId="0" xfId="1" applyFont="1" applyBorder="1" applyAlignment="1">
      <alignment vertical="top"/>
    </xf>
    <xf numFmtId="9" fontId="6" fillId="0" borderId="42" xfId="1" applyNumberFormat="1" applyFont="1" applyBorder="1" applyAlignment="1">
      <alignment vertical="top"/>
    </xf>
    <xf numFmtId="190" fontId="8" fillId="0" borderId="4" xfId="0" applyNumberFormat="1" applyFont="1" applyBorder="1">
      <alignment vertical="top"/>
    </xf>
    <xf numFmtId="190" fontId="8" fillId="0" borderId="5" xfId="0" applyNumberFormat="1" applyFont="1" applyBorder="1">
      <alignment vertical="top"/>
    </xf>
    <xf numFmtId="190" fontId="8" fillId="0" borderId="6" xfId="0" applyNumberFormat="1" applyFont="1" applyBorder="1">
      <alignment vertical="top"/>
    </xf>
    <xf numFmtId="190" fontId="8" fillId="0" borderId="7" xfId="0" applyNumberFormat="1" applyFont="1" applyBorder="1">
      <alignment vertical="top"/>
    </xf>
    <xf numFmtId="190" fontId="8" fillId="0" borderId="0" xfId="0" applyNumberFormat="1" applyFont="1" applyBorder="1">
      <alignment vertical="top"/>
    </xf>
    <xf numFmtId="190" fontId="8" fillId="0" borderId="32" xfId="0" applyNumberFormat="1" applyFont="1" applyBorder="1">
      <alignment vertical="top"/>
    </xf>
    <xf numFmtId="190" fontId="8" fillId="0" borderId="9" xfId="0" applyNumberFormat="1" applyFont="1" applyBorder="1">
      <alignment vertical="top"/>
    </xf>
    <xf numFmtId="190" fontId="8" fillId="0" borderId="10" xfId="0" applyNumberFormat="1" applyFont="1" applyBorder="1">
      <alignment vertical="top"/>
    </xf>
    <xf numFmtId="165" fontId="0" fillId="0" borderId="60" xfId="0" applyNumberFormat="1" applyBorder="1">
      <alignment vertical="top"/>
    </xf>
    <xf numFmtId="10" fontId="142" fillId="0" borderId="4" xfId="1" applyNumberFormat="1" applyFont="1" applyBorder="1" applyAlignment="1">
      <alignment vertical="top"/>
    </xf>
    <xf numFmtId="10" fontId="142" fillId="0" borderId="5" xfId="1" applyNumberFormat="1" applyFont="1" applyBorder="1" applyAlignment="1">
      <alignment vertical="top"/>
    </xf>
    <xf numFmtId="10" fontId="142" fillId="0" borderId="6" xfId="1" applyNumberFormat="1" applyFont="1" applyBorder="1" applyAlignment="1">
      <alignment vertical="top"/>
    </xf>
    <xf numFmtId="10" fontId="142" fillId="0" borderId="7" xfId="1" applyNumberFormat="1" applyFont="1" applyBorder="1" applyAlignment="1">
      <alignment vertical="top"/>
    </xf>
    <xf numFmtId="10" fontId="142" fillId="0" borderId="0" xfId="1" applyNumberFormat="1" applyFont="1" applyBorder="1" applyAlignment="1">
      <alignment vertical="top"/>
    </xf>
    <xf numFmtId="10" fontId="142" fillId="0" borderId="32" xfId="1" applyNumberFormat="1" applyFont="1" applyBorder="1" applyAlignment="1">
      <alignment vertical="top"/>
    </xf>
    <xf numFmtId="10" fontId="142" fillId="0" borderId="9" xfId="1" applyNumberFormat="1" applyFont="1" applyBorder="1" applyAlignment="1">
      <alignment vertical="top"/>
    </xf>
    <xf numFmtId="10" fontId="142" fillId="0" borderId="10" xfId="1" applyNumberFormat="1" applyFont="1" applyBorder="1" applyAlignment="1">
      <alignment vertical="top"/>
    </xf>
    <xf numFmtId="10" fontId="142" fillId="0" borderId="11" xfId="1" applyNumberFormat="1" applyFont="1" applyBorder="1" applyAlignment="1">
      <alignment vertical="top"/>
    </xf>
    <xf numFmtId="190" fontId="0" fillId="0" borderId="0" xfId="0" applyNumberFormat="1">
      <alignment vertical="top"/>
    </xf>
    <xf numFmtId="0" fontId="0" fillId="0" borderId="0" xfId="0" applyFill="1">
      <alignment vertical="top"/>
    </xf>
    <xf numFmtId="0" fontId="150" fillId="4" borderId="0" xfId="817" applyAlignment="1">
      <alignment vertical="top"/>
    </xf>
    <xf numFmtId="9" fontId="6" fillId="0" borderId="61" xfId="1" applyNumberFormat="1" applyFont="1" applyFill="1" applyBorder="1" applyAlignment="1">
      <alignment vertical="top"/>
    </xf>
    <xf numFmtId="9" fontId="8" fillId="0" borderId="59" xfId="1" applyNumberFormat="1" applyFont="1" applyBorder="1" applyAlignment="1">
      <alignment vertical="top"/>
    </xf>
    <xf numFmtId="9" fontId="8" fillId="0" borderId="7" xfId="1" applyNumberFormat="1" applyFont="1" applyBorder="1" applyAlignment="1">
      <alignment vertical="top"/>
    </xf>
    <xf numFmtId="9" fontId="6" fillId="0" borderId="0" xfId="1" applyNumberFormat="1" applyFont="1" applyBorder="1" applyAlignment="1">
      <alignment vertical="top"/>
    </xf>
    <xf numFmtId="9" fontId="6" fillId="0" borderId="32" xfId="1" applyNumberFormat="1" applyFont="1" applyBorder="1" applyAlignment="1">
      <alignment vertical="top"/>
    </xf>
    <xf numFmtId="9" fontId="6" fillId="0" borderId="9" xfId="1" applyNumberFormat="1" applyFont="1" applyBorder="1" applyAlignment="1">
      <alignment vertical="top"/>
    </xf>
    <xf numFmtId="9" fontId="6" fillId="0" borderId="10" xfId="1" applyNumberFormat="1" applyFont="1" applyBorder="1" applyAlignment="1">
      <alignment vertical="top"/>
    </xf>
    <xf numFmtId="9" fontId="6" fillId="0" borderId="11" xfId="1" applyNumberFormat="1" applyFont="1" applyBorder="1" applyAlignment="1">
      <alignment vertical="top"/>
    </xf>
    <xf numFmtId="43" fontId="165" fillId="2" borderId="14" xfId="816" applyNumberFormat="1" applyFont="1" applyFill="1" applyBorder="1" applyAlignment="1">
      <alignment horizontal="right"/>
    </xf>
    <xf numFmtId="43" fontId="165" fillId="2" borderId="40" xfId="816" applyNumberFormat="1" applyFont="1" applyFill="1" applyBorder="1" applyAlignment="1">
      <alignment horizontal="right"/>
    </xf>
    <xf numFmtId="0" fontId="167" fillId="91" borderId="0" xfId="0" applyFont="1" applyFill="1">
      <alignment vertical="top"/>
    </xf>
    <xf numFmtId="0" fontId="0" fillId="91" borderId="0" xfId="0" applyFill="1">
      <alignment vertical="top"/>
    </xf>
    <xf numFmtId="0" fontId="4" fillId="91" borderId="0" xfId="0" applyFont="1" applyFill="1">
      <alignment vertical="top"/>
    </xf>
    <xf numFmtId="49" fontId="0" fillId="91" borderId="0" xfId="0" applyNumberFormat="1" applyFill="1">
      <alignment vertical="top"/>
    </xf>
    <xf numFmtId="14" fontId="5" fillId="0" borderId="0" xfId="0" applyNumberFormat="1" applyFont="1" applyAlignment="1">
      <alignment horizontal="center" vertical="top"/>
    </xf>
    <xf numFmtId="43" fontId="6" fillId="0" borderId="42" xfId="816" applyFont="1" applyBorder="1" applyAlignment="1">
      <alignment vertical="top"/>
    </xf>
    <xf numFmtId="43" fontId="6" fillId="0" borderId="62" xfId="816" applyFont="1" applyBorder="1" applyAlignment="1">
      <alignment vertical="top"/>
    </xf>
    <xf numFmtId="0" fontId="4" fillId="0" borderId="61" xfId="0" applyFont="1" applyFill="1" applyBorder="1">
      <alignment vertical="top"/>
    </xf>
    <xf numFmtId="0" fontId="0" fillId="0" borderId="42" xfId="0" applyBorder="1">
      <alignment vertical="top"/>
    </xf>
    <xf numFmtId="43" fontId="6" fillId="0" borderId="60" xfId="816" applyFont="1" applyBorder="1" applyAlignment="1">
      <alignment vertical="top"/>
    </xf>
    <xf numFmtId="43" fontId="164" fillId="0" borderId="40" xfId="0" applyNumberFormat="1" applyFont="1" applyBorder="1" applyAlignment="1"/>
    <xf numFmtId="2" fontId="0" fillId="0" borderId="0" xfId="0" applyNumberFormat="1">
      <alignment vertical="top"/>
    </xf>
    <xf numFmtId="43" fontId="6" fillId="0" borderId="42" xfId="1" applyNumberFormat="1" applyFont="1" applyBorder="1" applyAlignment="1">
      <alignment vertical="top"/>
    </xf>
    <xf numFmtId="43" fontId="6" fillId="0" borderId="9" xfId="1" applyNumberFormat="1" applyFont="1" applyBorder="1" applyAlignment="1">
      <alignment vertical="top"/>
    </xf>
    <xf numFmtId="193" fontId="165" fillId="2" borderId="15" xfId="816" applyNumberFormat="1" applyFont="1" applyFill="1" applyBorder="1" applyAlignment="1">
      <alignment horizontal="right"/>
    </xf>
  </cellXfs>
  <cellStyles count="818">
    <cellStyle name="%" xfId="4"/>
    <cellStyle name="??" xfId="5"/>
    <cellStyle name="?? [0.00]_APPEND" xfId="6"/>
    <cellStyle name="???? [0.00]_APPEND" xfId="7"/>
    <cellStyle name="????_APPEND" xfId="8"/>
    <cellStyle name="??_20080630_JPY_PRDC" xfId="9"/>
    <cellStyle name="_ATM" xfId="10"/>
    <cellStyle name="_AvidBatch" xfId="11"/>
    <cellStyle name="_Basis bidask provision" xfId="12"/>
    <cellStyle name="_Bonds Futures IPV" xfId="13"/>
    <cellStyle name="_Book1" xfId="14"/>
    <cellStyle name="_cap risk for Steve (2)" xfId="15"/>
    <cellStyle name="_CheckPv" xfId="16"/>
    <cellStyle name="_Control" xfId="17"/>
    <cellStyle name="_Control_EURGBP_IPV BasisCEV_7_F4" xfId="18"/>
    <cellStyle name="_Control_YC_MODEL" xfId="19"/>
    <cellStyle name="_Copy of Portfolios to Archeus 6-3-04 (2)" xfId="20"/>
    <cellStyle name="_EUR Berms PVDiff Daily" xfId="21"/>
    <cellStyle name="_EUR_EURCS_YC_02" xfId="22"/>
    <cellStyle name="_EUR_Imply_Sabr_F4" xfId="23"/>
    <cellStyle name="_EUR_Stn_Sub" xfId="24"/>
    <cellStyle name="_EURGBP_IPV BasisCEV_5.9" xfId="25"/>
    <cellStyle name="_EURGBP_IPV BasisCEV_7_F4" xfId="26"/>
    <cellStyle name="_EUROSWAPTION" xfId="27"/>
    <cellStyle name="_EURSWAPTION" xfId="28"/>
    <cellStyle name="_Exclude" xfId="29"/>
    <cellStyle name="_F3 YC Models" xfId="30"/>
    <cellStyle name="_FX_drilldown_POST_TOL_20100226_d" xfId="31"/>
    <cellStyle name="_GBP" xfId="32"/>
    <cellStyle name="_GBPSWAPTIONS" xfId="33"/>
    <cellStyle name="_ICAP FWD PREMIUM" xfId="34"/>
    <cellStyle name="_ICAP FWD PREMIUM_ATM" xfId="35"/>
    <cellStyle name="_ICAP FWD PREMIUM_Cap_Calc" xfId="36"/>
    <cellStyle name="_ICAP FWD PREMIUM_Control" xfId="37"/>
    <cellStyle name="_ICAP FWD PREMIUM_EUR_EURCS_YC_02" xfId="38"/>
    <cellStyle name="_ICAP FWD PREMIUM_EUR_Imply_Sabr_F3" xfId="39"/>
    <cellStyle name="_ICAP FWD PREMIUM_EURSWAPTION" xfId="40"/>
    <cellStyle name="_ICAP FWD PREMIUM_F3 YC Models" xfId="41"/>
    <cellStyle name="_ICAP FWD PREMIUM_GBP_Imply_Sabr_F3" xfId="42"/>
    <cellStyle name="_ICAP FWD PREMIUM_GBPSWAPTIONS" xfId="43"/>
    <cellStyle name="_ICAP FWD PREMIUM_JPY Swaption Submission_4_Final" xfId="44"/>
    <cellStyle name="_ICAP FWD PREMIUM_MktData" xfId="45"/>
    <cellStyle name="_ICAP FWD PREMIUM_Pricing_EUR_Swtn" xfId="46"/>
    <cellStyle name="_ICAP FWD PREMIUM_Rec Totem_LM" xfId="47"/>
    <cellStyle name="_ICAP FWD PREMIUM_Sabr" xfId="48"/>
    <cellStyle name="_ICAP FWD PREMIUM_SABR +sd" xfId="49"/>
    <cellStyle name="_ICAP FWD PREMIUM_SABR_1" xfId="50"/>
    <cellStyle name="_ICAP FWD PREMIUM_SABR_SW" xfId="51"/>
    <cellStyle name="_ICAP FWD PREMIUM_Sheet1" xfId="52"/>
    <cellStyle name="_ICAP FWD PREMIUM_Sheet3" xfId="53"/>
    <cellStyle name="_ICAP FWD PREMIUM_Skew Report for Flow_GBP_F3_Wings" xfId="54"/>
    <cellStyle name="_ICAP FWD PREMIUM_Static" xfId="55"/>
    <cellStyle name="_ICAP FWD PREMIUM_Static Data" xfId="56"/>
    <cellStyle name="_ICAP FWD PREMIUM_Totem Sabr" xfId="57"/>
    <cellStyle name="_ICAP FWD PREMIUM_Totem_Cap_LM" xfId="58"/>
    <cellStyle name="_ICAP FWD PREMIUM_Valuation" xfId="59"/>
    <cellStyle name="_IR Skew" xfId="60"/>
    <cellStyle name="_IRVolData" xfId="61"/>
    <cellStyle name="_JPY_Submission" xfId="62"/>
    <cellStyle name="_Kondor FX Forwards" xfId="63"/>
    <cellStyle name="_local markets 2010 02_2" xfId="64"/>
    <cellStyle name="_Local Markets MM &amp; OIS" xfId="65"/>
    <cellStyle name="_MktData" xfId="66"/>
    <cellStyle name="_Portfolio Default Distribution" xfId="67"/>
    <cellStyle name="_Pricing EUR_Swtn" xfId="68"/>
    <cellStyle name="_Pricing_EUR_Swtn" xfId="69"/>
    <cellStyle name="_Pricing_EUR_Wing" xfId="70"/>
    <cellStyle name="_Pricing_GBP_Swtn" xfId="71"/>
    <cellStyle name="_PricingSwaption" xfId="72"/>
    <cellStyle name="_PV Diffs" xfId="73"/>
    <cellStyle name="_Recalc_GBP_Sw" xfId="74"/>
    <cellStyle name="_Reuters" xfId="75"/>
    <cellStyle name="_Risk" xfId="76"/>
    <cellStyle name="_Risk Data" xfId="77"/>
    <cellStyle name="_Sabr" xfId="78"/>
    <cellStyle name="_SABR +sd" xfId="79"/>
    <cellStyle name="_SABR_1" xfId="80"/>
    <cellStyle name="_Sheet1" xfId="81"/>
    <cellStyle name="_Sheet2" xfId="82"/>
    <cellStyle name="_Sheet3" xfId="83"/>
    <cellStyle name="_Skew Report for Flow_GBP_F3_Wings" xfId="84"/>
    <cellStyle name="_Static Data" xfId="85"/>
    <cellStyle name="_Swaption Pricer_2.1" xfId="86"/>
    <cellStyle name="_Template_Coba_Feb10" xfId="87"/>
    <cellStyle name="_Today YC" xfId="88"/>
    <cellStyle name="_Totem ATM" xfId="89"/>
    <cellStyle name="_Totem Results" xfId="90"/>
    <cellStyle name="_Totem Sabr" xfId="91"/>
    <cellStyle name="_Valuation" xfId="92"/>
    <cellStyle name="_Volatility Cubes Caps" xfId="93"/>
    <cellStyle name="_Volatility Cubes Swpt" xfId="94"/>
    <cellStyle name="_Zero_Spreads" xfId="95"/>
    <cellStyle name="=C:\WINNT35\SYSTEM32\COMMAND.COM" xfId="96"/>
    <cellStyle name="20 % - Akzent1" xfId="97"/>
    <cellStyle name="20 % - Akzent1 2" xfId="98"/>
    <cellStyle name="20 % - Akzent1 3" xfId="99"/>
    <cellStyle name="20 % - Akzent1 4" xfId="100"/>
    <cellStyle name="20 % - Akzent1 5" xfId="101"/>
    <cellStyle name="20 % - Akzent2" xfId="102"/>
    <cellStyle name="20 % - Akzent2 2" xfId="103"/>
    <cellStyle name="20 % - Akzent2 3" xfId="104"/>
    <cellStyle name="20 % - Akzent2 4" xfId="105"/>
    <cellStyle name="20 % - Akzent2 5" xfId="106"/>
    <cellStyle name="20 % - Akzent3" xfId="107"/>
    <cellStyle name="20 % - Akzent3 2" xfId="108"/>
    <cellStyle name="20 % - Akzent3 3" xfId="109"/>
    <cellStyle name="20 % - Akzent3 4" xfId="110"/>
    <cellStyle name="20 % - Akzent3 5" xfId="111"/>
    <cellStyle name="20 % - Akzent4" xfId="112"/>
    <cellStyle name="20 % - Akzent4 2" xfId="113"/>
    <cellStyle name="20 % - Akzent4 3" xfId="114"/>
    <cellStyle name="20 % - Akzent4 4" xfId="115"/>
    <cellStyle name="20 % - Akzent4 5" xfId="116"/>
    <cellStyle name="20 % - Akzent5" xfId="117"/>
    <cellStyle name="20 % - Akzent5 2" xfId="118"/>
    <cellStyle name="20 % - Akzent5 3" xfId="119"/>
    <cellStyle name="20 % - Akzent5 4" xfId="120"/>
    <cellStyle name="20 % - Akzent5 5" xfId="121"/>
    <cellStyle name="20 % - Akzent6" xfId="122"/>
    <cellStyle name="20 % - Akzent6 2" xfId="123"/>
    <cellStyle name="20 % - Akzent6 3" xfId="124"/>
    <cellStyle name="20 % - Akzent6 4" xfId="125"/>
    <cellStyle name="20 % - Akzent6 5" xfId="126"/>
    <cellStyle name="20% - Accent1 2" xfId="127"/>
    <cellStyle name="20% - Accent1 3" xfId="128"/>
    <cellStyle name="20% - Accent1 4" xfId="773"/>
    <cellStyle name="20% - Accent2 2" xfId="129"/>
    <cellStyle name="20% - Accent2 3" xfId="130"/>
    <cellStyle name="20% - Accent2 4" xfId="774"/>
    <cellStyle name="20% - Accent3 2" xfId="131"/>
    <cellStyle name="20% - Accent3 3" xfId="132"/>
    <cellStyle name="20% - Accent3 4" xfId="775"/>
    <cellStyle name="20% - Accent4 2" xfId="133"/>
    <cellStyle name="20% - Accent4 3" xfId="134"/>
    <cellStyle name="20% - Accent4 4" xfId="776"/>
    <cellStyle name="20% - Accent5 2" xfId="135"/>
    <cellStyle name="20% - Accent5 3" xfId="136"/>
    <cellStyle name="20% - Accent5 4" xfId="777"/>
    <cellStyle name="20% - Accent6 2" xfId="137"/>
    <cellStyle name="20% - Accent6 3" xfId="138"/>
    <cellStyle name="20% - Accent6 4" xfId="778"/>
    <cellStyle name="40 % - Akzent1" xfId="139"/>
    <cellStyle name="40 % - Akzent1 2" xfId="140"/>
    <cellStyle name="40 % - Akzent1 3" xfId="141"/>
    <cellStyle name="40 % - Akzent1 4" xfId="142"/>
    <cellStyle name="40 % - Akzent1 5" xfId="143"/>
    <cellStyle name="40 % - Akzent2" xfId="144"/>
    <cellStyle name="40 % - Akzent2 2" xfId="145"/>
    <cellStyle name="40 % - Akzent2 3" xfId="146"/>
    <cellStyle name="40 % - Akzent2 4" xfId="147"/>
    <cellStyle name="40 % - Akzent2 5" xfId="148"/>
    <cellStyle name="40 % - Akzent3" xfId="149"/>
    <cellStyle name="40 % - Akzent3 2" xfId="150"/>
    <cellStyle name="40 % - Akzent3 3" xfId="151"/>
    <cellStyle name="40 % - Akzent3 4" xfId="152"/>
    <cellStyle name="40 % - Akzent3 5" xfId="153"/>
    <cellStyle name="40 % - Akzent4" xfId="154"/>
    <cellStyle name="40 % - Akzent4 2" xfId="155"/>
    <cellStyle name="40 % - Akzent4 3" xfId="156"/>
    <cellStyle name="40 % - Akzent4 4" xfId="157"/>
    <cellStyle name="40 % - Akzent4 5" xfId="158"/>
    <cellStyle name="40 % - Akzent5" xfId="159"/>
    <cellStyle name="40 % - Akzent5 2" xfId="160"/>
    <cellStyle name="40 % - Akzent5 3" xfId="161"/>
    <cellStyle name="40 % - Akzent5 4" xfId="162"/>
    <cellStyle name="40 % - Akzent5 5" xfId="163"/>
    <cellStyle name="40 % - Akzent6" xfId="164"/>
    <cellStyle name="40 % - Akzent6 2" xfId="165"/>
    <cellStyle name="40 % - Akzent6 3" xfId="166"/>
    <cellStyle name="40 % - Akzent6 4" xfId="167"/>
    <cellStyle name="40 % - Akzent6 5" xfId="168"/>
    <cellStyle name="40% - Accent1 2" xfId="169"/>
    <cellStyle name="40% - Accent1 3" xfId="170"/>
    <cellStyle name="40% - Accent1 4" xfId="779"/>
    <cellStyle name="40% - Accent2 2" xfId="171"/>
    <cellStyle name="40% - Accent2 3" xfId="172"/>
    <cellStyle name="40% - Accent2 4" xfId="780"/>
    <cellStyle name="40% - Accent3 2" xfId="173"/>
    <cellStyle name="40% - Accent3 3" xfId="174"/>
    <cellStyle name="40% - Accent3 4" xfId="781"/>
    <cellStyle name="40% - Accent4 2" xfId="175"/>
    <cellStyle name="40% - Accent4 3" xfId="176"/>
    <cellStyle name="40% - Accent4 4" xfId="782"/>
    <cellStyle name="40% - Accent5 2" xfId="177"/>
    <cellStyle name="40% - Accent5 3" xfId="178"/>
    <cellStyle name="40% - Accent5 4" xfId="783"/>
    <cellStyle name="40% - Accent6 2" xfId="179"/>
    <cellStyle name="40% - Accent6 3" xfId="180"/>
    <cellStyle name="40% - Accent6 4" xfId="784"/>
    <cellStyle name="60 % - Akzent1" xfId="181"/>
    <cellStyle name="60 % - Akzent1 2" xfId="182"/>
    <cellStyle name="60 % - Akzent2" xfId="183"/>
    <cellStyle name="60 % - Akzent2 2" xfId="184"/>
    <cellStyle name="60 % - Akzent3" xfId="185"/>
    <cellStyle name="60 % - Akzent3 2" xfId="186"/>
    <cellStyle name="60 % - Akzent4" xfId="187"/>
    <cellStyle name="60 % - Akzent4 2" xfId="188"/>
    <cellStyle name="60 % - Akzent5" xfId="189"/>
    <cellStyle name="60 % - Akzent5 2" xfId="190"/>
    <cellStyle name="60 % - Akzent6" xfId="191"/>
    <cellStyle name="60 % - Akzent6 2" xfId="192"/>
    <cellStyle name="60% - Accent1 2" xfId="785"/>
    <cellStyle name="60% - Accent2 2" xfId="786"/>
    <cellStyle name="60% - Accent3 2" xfId="787"/>
    <cellStyle name="60% - Accent4 2" xfId="788"/>
    <cellStyle name="60% - Accent5 2" xfId="789"/>
    <cellStyle name="60% - Accent6 2" xfId="790"/>
    <cellStyle name="9.86" xfId="193"/>
    <cellStyle name="Accent1 2" xfId="194"/>
    <cellStyle name="Accent1 3" xfId="791"/>
    <cellStyle name="Accent2 2" xfId="195"/>
    <cellStyle name="Accent2 3" xfId="792"/>
    <cellStyle name="Accent3 2" xfId="196"/>
    <cellStyle name="Accent3 3" xfId="793"/>
    <cellStyle name="Accent4 2" xfId="197"/>
    <cellStyle name="Accent4 3" xfId="794"/>
    <cellStyle name="Accent5 2" xfId="198"/>
    <cellStyle name="Accent5 3" xfId="795"/>
    <cellStyle name="Accent6 2" xfId="199"/>
    <cellStyle name="Accent6 3" xfId="796"/>
    <cellStyle name="adam" xfId="200"/>
    <cellStyle name="adam 2" xfId="201"/>
    <cellStyle name="adam 2 10" xfId="202"/>
    <cellStyle name="adam 2 11" xfId="203"/>
    <cellStyle name="adam 2 12" xfId="204"/>
    <cellStyle name="adam 2 13" xfId="205"/>
    <cellStyle name="adam 2 14" xfId="206"/>
    <cellStyle name="adam 2 15" xfId="207"/>
    <cellStyle name="adam 2 16" xfId="208"/>
    <cellStyle name="adam 2 17" xfId="209"/>
    <cellStyle name="adam 2 18" xfId="210"/>
    <cellStyle name="adam 2 19" xfId="211"/>
    <cellStyle name="adam 2 2" xfId="212"/>
    <cellStyle name="adam 2 20" xfId="213"/>
    <cellStyle name="adam 2 21" xfId="214"/>
    <cellStyle name="adam 2 22" xfId="215"/>
    <cellStyle name="adam 2 23" xfId="216"/>
    <cellStyle name="adam 2 24" xfId="217"/>
    <cellStyle name="adam 2 25" xfId="218"/>
    <cellStyle name="adam 2 26" xfId="219"/>
    <cellStyle name="adam 2 27" xfId="220"/>
    <cellStyle name="adam 2 28" xfId="221"/>
    <cellStyle name="adam 2 29" xfId="222"/>
    <cellStyle name="adam 2 3" xfId="223"/>
    <cellStyle name="adam 2 30" xfId="224"/>
    <cellStyle name="adam 2 31" xfId="225"/>
    <cellStyle name="adam 2 32" xfId="226"/>
    <cellStyle name="adam 2 33" xfId="227"/>
    <cellStyle name="adam 2 34" xfId="228"/>
    <cellStyle name="adam 2 35" xfId="229"/>
    <cellStyle name="adam 2 36" xfId="230"/>
    <cellStyle name="adam 2 37" xfId="231"/>
    <cellStyle name="adam 2 38" xfId="232"/>
    <cellStyle name="adam 2 39" xfId="233"/>
    <cellStyle name="adam 2 4" xfId="234"/>
    <cellStyle name="adam 2 40" xfId="235"/>
    <cellStyle name="adam 2 41" xfId="236"/>
    <cellStyle name="adam 2 42" xfId="237"/>
    <cellStyle name="adam 2 43" xfId="238"/>
    <cellStyle name="adam 2 44" xfId="239"/>
    <cellStyle name="adam 2 45" xfId="240"/>
    <cellStyle name="adam 2 46" xfId="241"/>
    <cellStyle name="adam 2 47" xfId="242"/>
    <cellStyle name="adam 2 48" xfId="243"/>
    <cellStyle name="adam 2 49" xfId="244"/>
    <cellStyle name="adam 2 5" xfId="245"/>
    <cellStyle name="adam 2 50" xfId="246"/>
    <cellStyle name="adam 2 51" xfId="247"/>
    <cellStyle name="adam 2 52" xfId="248"/>
    <cellStyle name="adam 2 53" xfId="249"/>
    <cellStyle name="adam 2 54" xfId="250"/>
    <cellStyle name="adam 2 55" xfId="251"/>
    <cellStyle name="adam 2 56" xfId="252"/>
    <cellStyle name="adam 2 57" xfId="253"/>
    <cellStyle name="adam 2 58" xfId="254"/>
    <cellStyle name="adam 2 59" xfId="255"/>
    <cellStyle name="adam 2 6" xfId="256"/>
    <cellStyle name="adam 2 60" xfId="257"/>
    <cellStyle name="adam 2 61" xfId="258"/>
    <cellStyle name="adam 2 62" xfId="259"/>
    <cellStyle name="adam 2 63" xfId="260"/>
    <cellStyle name="adam 2 64" xfId="261"/>
    <cellStyle name="adam 2 65" xfId="262"/>
    <cellStyle name="adam 2 66" xfId="263"/>
    <cellStyle name="adam 2 67" xfId="264"/>
    <cellStyle name="adam 2 68" xfId="265"/>
    <cellStyle name="adam 2 69" xfId="266"/>
    <cellStyle name="adam 2 7" xfId="267"/>
    <cellStyle name="adam 2 70" xfId="268"/>
    <cellStyle name="adam 2 71" xfId="269"/>
    <cellStyle name="adam 2 72" xfId="270"/>
    <cellStyle name="adam 2 73" xfId="271"/>
    <cellStyle name="adam 2 74" xfId="272"/>
    <cellStyle name="adam 2 75" xfId="273"/>
    <cellStyle name="adam 2 76" xfId="274"/>
    <cellStyle name="adam 2 77" xfId="275"/>
    <cellStyle name="adam 2 78" xfId="276"/>
    <cellStyle name="adam 2 79" xfId="277"/>
    <cellStyle name="adam 2 8" xfId="278"/>
    <cellStyle name="adam 2 80" xfId="279"/>
    <cellStyle name="adam 2 81" xfId="280"/>
    <cellStyle name="adam 2 82" xfId="281"/>
    <cellStyle name="adam 2 83" xfId="282"/>
    <cellStyle name="adam 2 84" xfId="283"/>
    <cellStyle name="adam 2 85" xfId="284"/>
    <cellStyle name="adam 2 86" xfId="285"/>
    <cellStyle name="adam 2 87" xfId="286"/>
    <cellStyle name="adam 2 88" xfId="287"/>
    <cellStyle name="adam 2 89" xfId="288"/>
    <cellStyle name="adam 2 9" xfId="289"/>
    <cellStyle name="adam 2 90" xfId="290"/>
    <cellStyle name="adam 2 91" xfId="291"/>
    <cellStyle name="adam 2 92" xfId="292"/>
    <cellStyle name="Akzent1" xfId="293"/>
    <cellStyle name="Akzent1 2" xfId="294"/>
    <cellStyle name="Akzent2" xfId="295"/>
    <cellStyle name="Akzent2 2" xfId="296"/>
    <cellStyle name="Akzent3" xfId="297"/>
    <cellStyle name="Akzent3 2" xfId="298"/>
    <cellStyle name="Akzent4" xfId="299"/>
    <cellStyle name="Akzent4 2" xfId="300"/>
    <cellStyle name="Akzent5" xfId="301"/>
    <cellStyle name="Akzent5 2" xfId="302"/>
    <cellStyle name="Akzent6" xfId="303"/>
    <cellStyle name="Akzent6 2" xfId="304"/>
    <cellStyle name="Amount" xfId="305"/>
    <cellStyle name="Ausgabe" xfId="306"/>
    <cellStyle name="Ausgabe 2" xfId="307"/>
    <cellStyle name="Availability" xfId="308"/>
    <cellStyle name="back" xfId="309"/>
    <cellStyle name="background" xfId="310"/>
    <cellStyle name="Bad" xfId="817" builtinId="27"/>
    <cellStyle name="Bad 2" xfId="311"/>
    <cellStyle name="Bad 3" xfId="797"/>
    <cellStyle name="banner" xfId="312"/>
    <cellStyle name="Bberg Code" xfId="313"/>
    <cellStyle name="Berechnung" xfId="314"/>
    <cellStyle name="Berechnung 2" xfId="315"/>
    <cellStyle name="BlankedZeros" xfId="316"/>
    <cellStyle name="Blue" xfId="317"/>
    <cellStyle name="blue axis cells" xfId="318"/>
    <cellStyle name="blue text cells" xfId="319"/>
    <cellStyle name="blue text cells 2" xfId="320"/>
    <cellStyle name="Body" xfId="321"/>
    <cellStyle name="calc" xfId="322"/>
    <cellStyle name="Calculation 2" xfId="798"/>
    <cellStyle name="Check Cell 2" xfId="323"/>
    <cellStyle name="Check Cell 3" xfId="799"/>
    <cellStyle name="CodeEingabe" xfId="324"/>
    <cellStyle name="CodeEingabe 2" xfId="325"/>
    <cellStyle name="Comma" xfId="816" builtinId="3"/>
    <cellStyle name="Comma  - Style1" xfId="326"/>
    <cellStyle name="Comma 0" xfId="327"/>
    <cellStyle name="Comma 2" xfId="328"/>
    <cellStyle name="Comma0" xfId="329"/>
    <cellStyle name="Curren - Style2" xfId="330"/>
    <cellStyle name="Currency0" xfId="331"/>
    <cellStyle name="CurrencyOAlarmModule" xfId="332"/>
    <cellStyle name="data_3000" xfId="333"/>
    <cellStyle name="DataFeed" xfId="334"/>
    <cellStyle name="Date" xfId="335"/>
    <cellStyle name="Date Aligned" xfId="336"/>
    <cellStyle name="date title" xfId="337"/>
    <cellStyle name="Date_Black Matrix Pricer" xfId="338"/>
    <cellStyle name="DateFormat" xfId="339"/>
    <cellStyle name="datetime" xfId="340"/>
    <cellStyle name="documentation data" xfId="341"/>
    <cellStyle name="documentation titles" xfId="342"/>
    <cellStyle name="Dotted Line" xfId="343"/>
    <cellStyle name="Eingabe" xfId="344"/>
    <cellStyle name="Eingabe 2" xfId="345"/>
    <cellStyle name="Ergebnis" xfId="346"/>
    <cellStyle name="Ergebnis 2" xfId="347"/>
    <cellStyle name="Erklärender Text" xfId="348"/>
    <cellStyle name="Erklärender Text 2" xfId="349"/>
    <cellStyle name="Euro" xfId="350"/>
    <cellStyle name="Explanatory Text 2" xfId="800"/>
    <cellStyle name="EY House" xfId="351"/>
    <cellStyle name="F2" xfId="352"/>
    <cellStyle name="F3" xfId="353"/>
    <cellStyle name="F4" xfId="354"/>
    <cellStyle name="F5" xfId="355"/>
    <cellStyle name="F6" xfId="356"/>
    <cellStyle name="F7" xfId="357"/>
    <cellStyle name="F8" xfId="358"/>
    <cellStyle name="Fixed" xfId="359"/>
    <cellStyle name="font1" xfId="360"/>
    <cellStyle name="Footnote" xfId="361"/>
    <cellStyle name="FVF" xfId="362"/>
    <cellStyle name="Good 2" xfId="363"/>
    <cellStyle name="Good 3" xfId="801"/>
    <cellStyle name="gray text cells" xfId="364"/>
    <cellStyle name="gray text cells 2" xfId="365"/>
    <cellStyle name="GreybarHeader" xfId="366"/>
    <cellStyle name="Gut" xfId="367"/>
    <cellStyle name="Gut 2" xfId="368"/>
    <cellStyle name="header" xfId="369"/>
    <cellStyle name="Header1" xfId="370"/>
    <cellStyle name="Header2" xfId="371"/>
    <cellStyle name="Heading" xfId="372"/>
    <cellStyle name="Heading 1 2" xfId="373"/>
    <cellStyle name="Heading 1 3" xfId="802"/>
    <cellStyle name="Heading 2 2" xfId="374"/>
    <cellStyle name="Heading 2 3" xfId="803"/>
    <cellStyle name="Heading 3 2" xfId="375"/>
    <cellStyle name="Heading 3 3" xfId="804"/>
    <cellStyle name="Heading 4 2" xfId="376"/>
    <cellStyle name="Heading 4 3" xfId="805"/>
    <cellStyle name="Info" xfId="377"/>
    <cellStyle name="InfoDataColumn" xfId="378"/>
    <cellStyle name="InfoDataRow" xfId="379"/>
    <cellStyle name="InfoLabelColumn" xfId="380"/>
    <cellStyle name="InfoLabelRow" xfId="381"/>
    <cellStyle name="InfolDataColumn" xfId="382"/>
    <cellStyle name="InformationalData" xfId="383"/>
    <cellStyle name="InformationalLabel" xfId="384"/>
    <cellStyle name="InformationalLabelTop" xfId="385"/>
    <cellStyle name="Input 2" xfId="806"/>
    <cellStyle name="InputData" xfId="386"/>
    <cellStyle name="InputDataColumn" xfId="387"/>
    <cellStyle name="InputDataRow" xfId="388"/>
    <cellStyle name="InputLabel" xfId="389"/>
    <cellStyle name="InputLabelColumn" xfId="390"/>
    <cellStyle name="InputLabelRow" xfId="391"/>
    <cellStyle name="InputLabelTop" xfId="392"/>
    <cellStyle name="IntermediateData" xfId="393"/>
    <cellStyle name="IntermediateDataColumn" xfId="394"/>
    <cellStyle name="IntermediateDataRow" xfId="395"/>
    <cellStyle name="IntermediateLabel" xfId="396"/>
    <cellStyle name="IntermediateLabelColumn" xfId="397"/>
    <cellStyle name="IntermediateLabelRow" xfId="398"/>
    <cellStyle name="InvalidCell" xfId="399"/>
    <cellStyle name="ItalicHeader" xfId="400"/>
    <cellStyle name="KPMG Heading 1" xfId="401"/>
    <cellStyle name="KPMG Heading 2" xfId="402"/>
    <cellStyle name="KPMG Heading 3" xfId="403"/>
    <cellStyle name="KPMG Heading 4" xfId="404"/>
    <cellStyle name="KPMG Normal" xfId="405"/>
    <cellStyle name="KPMG Normal Text" xfId="406"/>
    <cellStyle name="label" xfId="407"/>
    <cellStyle name="Lien hypertexte visité" xfId="408"/>
    <cellStyle name="Linked Cell 2" xfId="409"/>
    <cellStyle name="Linked Cell 3" xfId="807"/>
    <cellStyle name="Macro" xfId="410"/>
    <cellStyle name="main_input" xfId="411"/>
    <cellStyle name="McFormBody" xfId="412"/>
    <cellStyle name="Menu" xfId="413"/>
    <cellStyle name="Milliers [0]_book_indice" xfId="414"/>
    <cellStyle name="Milliers_book_indice" xfId="415"/>
    <cellStyle name="Monétaire [0]_book_indice" xfId="416"/>
    <cellStyle name="Monétaire_book_indice" xfId="417"/>
    <cellStyle name="Month" xfId="418"/>
    <cellStyle name="MultipleType" xfId="419"/>
    <cellStyle name="Neutral 2" xfId="420"/>
    <cellStyle name="Neutral 3" xfId="421"/>
    <cellStyle name="Neutral 4" xfId="808"/>
    <cellStyle name="NEW" xfId="422"/>
    <cellStyle name="NewSheet" xfId="423"/>
    <cellStyle name="no dec" xfId="424"/>
    <cellStyle name="Normal" xfId="0" builtinId="0"/>
    <cellStyle name="Normal - Style1" xfId="425"/>
    <cellStyle name="Normal 10" xfId="426"/>
    <cellStyle name="Normal 10 2" xfId="427"/>
    <cellStyle name="Normal 11" xfId="428"/>
    <cellStyle name="Normal 11 2" xfId="429"/>
    <cellStyle name="Normal 12" xfId="430"/>
    <cellStyle name="Normal 13" xfId="431"/>
    <cellStyle name="Normal 14" xfId="432"/>
    <cellStyle name="Normal 15" xfId="809"/>
    <cellStyle name="Normal 16" xfId="810"/>
    <cellStyle name="Normal 17" xfId="811"/>
    <cellStyle name="Normal 2" xfId="2"/>
    <cellStyle name="Normal 2 10" xfId="433"/>
    <cellStyle name="Normal 2 11" xfId="434"/>
    <cellStyle name="Normal 2 12" xfId="435"/>
    <cellStyle name="Normal 2 13" xfId="436"/>
    <cellStyle name="Normal 2 2" xfId="437"/>
    <cellStyle name="Normal 2 3" xfId="438"/>
    <cellStyle name="Normal 2 4" xfId="439"/>
    <cellStyle name="Normal 2 5" xfId="440"/>
    <cellStyle name="Normal 2 6" xfId="441"/>
    <cellStyle name="Normal 2 7" xfId="442"/>
    <cellStyle name="Normal 2 8" xfId="443"/>
    <cellStyle name="Normal 2 9" xfId="444"/>
    <cellStyle name="Normal 2_ATM" xfId="445"/>
    <cellStyle name="Normal 3" xfId="446"/>
    <cellStyle name="Normal 3 2" xfId="447"/>
    <cellStyle name="Normal 3 3" xfId="448"/>
    <cellStyle name="Normal 3_GBPSWAPTIONS" xfId="449"/>
    <cellStyle name="Normal 4" xfId="450"/>
    <cellStyle name="Normal 4 2" xfId="451"/>
    <cellStyle name="Normal 5" xfId="452"/>
    <cellStyle name="Normal 5 2" xfId="453"/>
    <cellStyle name="Normal 5 3" xfId="454"/>
    <cellStyle name="Normal 5 4" xfId="455"/>
    <cellStyle name="Normal 5 5" xfId="456"/>
    <cellStyle name="Normal 6" xfId="457"/>
    <cellStyle name="Normal 6 2" xfId="458"/>
    <cellStyle name="Normal 7" xfId="459"/>
    <cellStyle name="Normal 8" xfId="460"/>
    <cellStyle name="Normal 8 2" xfId="461"/>
    <cellStyle name="Normal 9" xfId="462"/>
    <cellStyle name="Normal 9 2" xfId="463"/>
    <cellStyle name="Note 2" xfId="464"/>
    <cellStyle name="Note 3" xfId="465"/>
    <cellStyle name="Note 4" xfId="466"/>
    <cellStyle name="Notiz" xfId="467"/>
    <cellStyle name="Notiz 2" xfId="468"/>
    <cellStyle name="Notiz 3" xfId="469"/>
    <cellStyle name="Notiz 4" xfId="470"/>
    <cellStyle name="Notiz 5" xfId="471"/>
    <cellStyle name="NumberFormat" xfId="472"/>
    <cellStyle name="ObjectDataColumn" xfId="473"/>
    <cellStyle name="ObjectDataRow" xfId="474"/>
    <cellStyle name="ObjectLabelColumn" xfId="475"/>
    <cellStyle name="ObjectLabelRow" xfId="476"/>
    <cellStyle name="orange text cell" xfId="477"/>
    <cellStyle name="orange text cell 2" xfId="478"/>
    <cellStyle name="Output 2" xfId="812"/>
    <cellStyle name="OutputData" xfId="479"/>
    <cellStyle name="OutputDataColumn" xfId="480"/>
    <cellStyle name="OutputDataRow" xfId="481"/>
    <cellStyle name="OutputLabel" xfId="482"/>
    <cellStyle name="OutputLabelColumn" xfId="483"/>
    <cellStyle name="OutputLabelRow" xfId="484"/>
    <cellStyle name="Page Number" xfId="485"/>
    <cellStyle name="Page1" xfId="486"/>
    <cellStyle name="PanelLabel" xfId="487"/>
    <cellStyle name="Percent" xfId="1" builtinId="5"/>
    <cellStyle name="Percent [0%]" xfId="488"/>
    <cellStyle name="Percent [0.00%]" xfId="489"/>
    <cellStyle name="Percent 2" xfId="3"/>
    <cellStyle name="Percent 2 2" xfId="490"/>
    <cellStyle name="Percent 3" xfId="491"/>
    <cellStyle name="Percent 3 2" xfId="492"/>
    <cellStyle name="Percent 4" xfId="493"/>
    <cellStyle name="Percent 4 2" xfId="494"/>
    <cellStyle name="Percent 5" xfId="495"/>
    <cellStyle name="PersonalDataColumn" xfId="496"/>
    <cellStyle name="PersonalLabelColumn" xfId="497"/>
    <cellStyle name="PersonalLabelRow" xfId="498"/>
    <cellStyle name="Pivot Table" xfId="499"/>
    <cellStyle name="PricingProducts" xfId="500"/>
    <cellStyle name="Prozent 2" xfId="501"/>
    <cellStyle name="Prozent 2 2" xfId="502"/>
    <cellStyle name="Prozent 2 3" xfId="503"/>
    <cellStyle name="Prozent 3" xfId="504"/>
    <cellStyle name="rate entry" xfId="505"/>
    <cellStyle name="realtime" xfId="506"/>
    <cellStyle name="RED_DEBITS" xfId="507"/>
    <cellStyle name="ReserveStyle" xfId="508"/>
    <cellStyle name="result" xfId="509"/>
    <cellStyle name="SAPBEXHLevel2" xfId="510"/>
    <cellStyle name="SAPOutput" xfId="511"/>
    <cellStyle name="Schlecht" xfId="512"/>
    <cellStyle name="Schlecht 2" xfId="513"/>
    <cellStyle name="Small Date" xfId="514"/>
    <cellStyle name="Small Heading" xfId="515"/>
    <cellStyle name="SMALL_NUMBERS" xfId="516"/>
    <cellStyle name="SMALLER_NUMBERS" xfId="517"/>
    <cellStyle name="spreads" xfId="518"/>
    <cellStyle name="Standard 2" xfId="519"/>
    <cellStyle name="Standard 2 2" xfId="520"/>
    <cellStyle name="Standard 2 3" xfId="521"/>
    <cellStyle name="Standard 2 4" xfId="522"/>
    <cellStyle name="Standard 2 5" xfId="523"/>
    <cellStyle name="Standard 2 6" xfId="524"/>
    <cellStyle name="Standard 2 6 2" xfId="772"/>
    <cellStyle name="Standard 3" xfId="525"/>
    <cellStyle name="Standard 4" xfId="526"/>
    <cellStyle name="Standard 5" xfId="527"/>
    <cellStyle name="Standard 6" xfId="528"/>
    <cellStyle name="Standard 7" xfId="529"/>
    <cellStyle name="Standard 8" xfId="530"/>
    <cellStyle name="Standard 9" xfId="531"/>
    <cellStyle name="Standard_21011_ME_20150331_IR_SWAPTIONS_RESULTS_GBP_30" xfId="532"/>
    <cellStyle name="Stil 1" xfId="533"/>
    <cellStyle name="Stil 10" xfId="534"/>
    <cellStyle name="Stil 11" xfId="535"/>
    <cellStyle name="Stil 12" xfId="536"/>
    <cellStyle name="Stil 13" xfId="537"/>
    <cellStyle name="Stil 14" xfId="538"/>
    <cellStyle name="Stil 15" xfId="539"/>
    <cellStyle name="Stil 16" xfId="540"/>
    <cellStyle name="Stil 17" xfId="541"/>
    <cellStyle name="Stil 18" xfId="542"/>
    <cellStyle name="Stil 2" xfId="543"/>
    <cellStyle name="Stil 3" xfId="544"/>
    <cellStyle name="Stil 4" xfId="545"/>
    <cellStyle name="Stil 5" xfId="546"/>
    <cellStyle name="Stil 6" xfId="547"/>
    <cellStyle name="Stil 7" xfId="548"/>
    <cellStyle name="Stil 8" xfId="549"/>
    <cellStyle name="Stil 9" xfId="550"/>
    <cellStyle name="Style 1" xfId="551"/>
    <cellStyle name="Style 10" xfId="552"/>
    <cellStyle name="Style 11" xfId="553"/>
    <cellStyle name="Style 12" xfId="554"/>
    <cellStyle name="Style 13" xfId="555"/>
    <cellStyle name="Style 14" xfId="556"/>
    <cellStyle name="Style 15" xfId="557"/>
    <cellStyle name="Style 16" xfId="558"/>
    <cellStyle name="Style 2" xfId="559"/>
    <cellStyle name="Style 3" xfId="560"/>
    <cellStyle name="Style 4" xfId="561"/>
    <cellStyle name="Style 5" xfId="562"/>
    <cellStyle name="Style 6" xfId="563"/>
    <cellStyle name="Style 7" xfId="564"/>
    <cellStyle name="Style 8" xfId="565"/>
    <cellStyle name="Style 9" xfId="566"/>
    <cellStyle name="Style1" xfId="567"/>
    <cellStyle name="subtitle" xfId="568"/>
    <cellStyle name="swaptn" xfId="569"/>
    <cellStyle name="swpBody01" xfId="570"/>
    <cellStyle name="swpCaption" xfId="571"/>
    <cellStyle name="swpClear" xfId="572"/>
    <cellStyle name="swpHBBookTitle" xfId="573"/>
    <cellStyle name="swpHBChapterTitle" xfId="574"/>
    <cellStyle name="swpHead01" xfId="575"/>
    <cellStyle name="swpHead01R" xfId="576"/>
    <cellStyle name="swpHead02" xfId="577"/>
    <cellStyle name="swpHead03" xfId="578"/>
    <cellStyle name="swpHead03R" xfId="579"/>
    <cellStyle name="swpHeadBraL" xfId="580"/>
    <cellStyle name="swpHeadBraM" xfId="581"/>
    <cellStyle name="swpHeadBraR" xfId="582"/>
    <cellStyle name="swpTag" xfId="583"/>
    <cellStyle name="swpTotals" xfId="584"/>
    <cellStyle name="swpTotalsNo" xfId="585"/>
    <cellStyle name="swpTotalsTotal" xfId="586"/>
    <cellStyle name="Table Head" xfId="587"/>
    <cellStyle name="Table Head Aligned" xfId="588"/>
    <cellStyle name="Table Head Blue" xfId="589"/>
    <cellStyle name="Table Head Green" xfId="590"/>
    <cellStyle name="Table Heading" xfId="591"/>
    <cellStyle name="Table Title" xfId="592"/>
    <cellStyle name="Table Units" xfId="593"/>
    <cellStyle name="TableDataColumn" xfId="594"/>
    <cellStyle name="TableDataRow" xfId="595"/>
    <cellStyle name="TableLabelColumn" xfId="596"/>
    <cellStyle name="TableLabelRow" xfId="597"/>
    <cellStyle name="TableLabelTop" xfId="598"/>
    <cellStyle name="TEST" xfId="599"/>
    <cellStyle name="TEST 2" xfId="600"/>
    <cellStyle name="TIMES" xfId="601"/>
    <cellStyle name="Title 2" xfId="602"/>
    <cellStyle name="Title 3" xfId="603"/>
    <cellStyle name="Title 4" xfId="813"/>
    <cellStyle name="Total 2" xfId="814"/>
    <cellStyle name="TOTALS" xfId="604"/>
    <cellStyle name="TOTALS 2" xfId="605"/>
    <cellStyle name="Überschrift" xfId="606"/>
    <cellStyle name="Überschrift 1" xfId="607"/>
    <cellStyle name="Überschrift 1 2" xfId="608"/>
    <cellStyle name="Überschrift 2" xfId="609"/>
    <cellStyle name="Überschrift 2 2" xfId="610"/>
    <cellStyle name="Überschrift 3" xfId="611"/>
    <cellStyle name="Überschrift 3 2" xfId="612"/>
    <cellStyle name="Überschrift 4" xfId="613"/>
    <cellStyle name="Überschrift 4 2" xfId="614"/>
    <cellStyle name="Überschrift_CapletStripping (AS 2015-05-18)" xfId="615"/>
    <cellStyle name="Undefiniert" xfId="616"/>
    <cellStyle name="Update" xfId="617"/>
    <cellStyle name="UserInput" xfId="618"/>
    <cellStyle name="v" xfId="619"/>
    <cellStyle name="v 10" xfId="620"/>
    <cellStyle name="v 11" xfId="621"/>
    <cellStyle name="v 12" xfId="622"/>
    <cellStyle name="v 13" xfId="623"/>
    <cellStyle name="v 14" xfId="624"/>
    <cellStyle name="v 15" xfId="625"/>
    <cellStyle name="v 16" xfId="626"/>
    <cellStyle name="v 17" xfId="627"/>
    <cellStyle name="v 18" xfId="628"/>
    <cellStyle name="v 19" xfId="629"/>
    <cellStyle name="v 2" xfId="630"/>
    <cellStyle name="v 20" xfId="631"/>
    <cellStyle name="v 21" xfId="632"/>
    <cellStyle name="v 22" xfId="633"/>
    <cellStyle name="v 23" xfId="634"/>
    <cellStyle name="v 24" xfId="635"/>
    <cellStyle name="v 25" xfId="636"/>
    <cellStyle name="v 26" xfId="637"/>
    <cellStyle name="v 27" xfId="638"/>
    <cellStyle name="v 28" xfId="639"/>
    <cellStyle name="v 29" xfId="640"/>
    <cellStyle name="v 3" xfId="641"/>
    <cellStyle name="v 30" xfId="642"/>
    <cellStyle name="v 31" xfId="643"/>
    <cellStyle name="v 32" xfId="644"/>
    <cellStyle name="v 33" xfId="645"/>
    <cellStyle name="v 34" xfId="646"/>
    <cellStyle name="v 35" xfId="647"/>
    <cellStyle name="v 36" xfId="648"/>
    <cellStyle name="v 37" xfId="649"/>
    <cellStyle name="v 38" xfId="650"/>
    <cellStyle name="v 39" xfId="651"/>
    <cellStyle name="v 4" xfId="652"/>
    <cellStyle name="v 40" xfId="653"/>
    <cellStyle name="v 41" xfId="654"/>
    <cellStyle name="v 42" xfId="655"/>
    <cellStyle name="v 43" xfId="656"/>
    <cellStyle name="v 44" xfId="657"/>
    <cellStyle name="v 45" xfId="658"/>
    <cellStyle name="v 46" xfId="659"/>
    <cellStyle name="v 47" xfId="660"/>
    <cellStyle name="v 48" xfId="661"/>
    <cellStyle name="v 49" xfId="662"/>
    <cellStyle name="v 5" xfId="663"/>
    <cellStyle name="v 50" xfId="664"/>
    <cellStyle name="v 51" xfId="665"/>
    <cellStyle name="v 52" xfId="666"/>
    <cellStyle name="v 53" xfId="667"/>
    <cellStyle name="v 54" xfId="668"/>
    <cellStyle name="v 55" xfId="669"/>
    <cellStyle name="v 56" xfId="670"/>
    <cellStyle name="v 57" xfId="671"/>
    <cellStyle name="v 58" xfId="672"/>
    <cellStyle name="v 59" xfId="673"/>
    <cellStyle name="v 6" xfId="674"/>
    <cellStyle name="v 60" xfId="675"/>
    <cellStyle name="v 61" xfId="676"/>
    <cellStyle name="v 62" xfId="677"/>
    <cellStyle name="v 63" xfId="678"/>
    <cellStyle name="v 64" xfId="679"/>
    <cellStyle name="v 65" xfId="680"/>
    <cellStyle name="v 66" xfId="681"/>
    <cellStyle name="v 67" xfId="682"/>
    <cellStyle name="v 68" xfId="683"/>
    <cellStyle name="v 69" xfId="684"/>
    <cellStyle name="v 7" xfId="685"/>
    <cellStyle name="v 70" xfId="686"/>
    <cellStyle name="v 71" xfId="687"/>
    <cellStyle name="v 72" xfId="688"/>
    <cellStyle name="v 73" xfId="689"/>
    <cellStyle name="v 74" xfId="690"/>
    <cellStyle name="v 75" xfId="691"/>
    <cellStyle name="v 76" xfId="692"/>
    <cellStyle name="v 77" xfId="693"/>
    <cellStyle name="v 78" xfId="694"/>
    <cellStyle name="v 79" xfId="695"/>
    <cellStyle name="v 8" xfId="696"/>
    <cellStyle name="v 80" xfId="697"/>
    <cellStyle name="v 81" xfId="698"/>
    <cellStyle name="v 82" xfId="699"/>
    <cellStyle name="v 83" xfId="700"/>
    <cellStyle name="v 84" xfId="701"/>
    <cellStyle name="v 85" xfId="702"/>
    <cellStyle name="v 86" xfId="703"/>
    <cellStyle name="v 87" xfId="704"/>
    <cellStyle name="v 88" xfId="705"/>
    <cellStyle name="v 89" xfId="706"/>
    <cellStyle name="v 9" xfId="707"/>
    <cellStyle name="v 90" xfId="708"/>
    <cellStyle name="v 91" xfId="709"/>
    <cellStyle name="v 92" xfId="710"/>
    <cellStyle name="v 93" xfId="711"/>
    <cellStyle name="Verknüpfte Zelle" xfId="712"/>
    <cellStyle name="Verknüpfte Zelle 2" xfId="713"/>
    <cellStyle name="VerticalText" xfId="714"/>
    <cellStyle name="Warnender Text" xfId="715"/>
    <cellStyle name="Warnender Text 2" xfId="716"/>
    <cellStyle name="Warning Text 2" xfId="815"/>
    <cellStyle name="WASP_PLStyle" xfId="717"/>
    <cellStyle name="working" xfId="718"/>
    <cellStyle name="WorksheetForm" xfId="719"/>
    <cellStyle name="Y2K Compliant Date Fmt" xfId="720"/>
    <cellStyle name="Year" xfId="721"/>
    <cellStyle name="Zelle überprüfen" xfId="722"/>
    <cellStyle name="Zelle überprüfen 2" xfId="723"/>
    <cellStyle name="パーセント 2" xfId="724"/>
    <cellStyle name="ハイパーリンク_Book1" xfId="725"/>
    <cellStyle name="桁区切り [0.00]_amendment" xfId="726"/>
    <cellStyle name="桁区切り_amendment" xfId="727"/>
    <cellStyle name="標準 10" xfId="728"/>
    <cellStyle name="標準 11" xfId="729"/>
    <cellStyle name="標準 12" xfId="730"/>
    <cellStyle name="標準 13" xfId="731"/>
    <cellStyle name="標準 14" xfId="732"/>
    <cellStyle name="標準 14 2" xfId="733"/>
    <cellStyle name="標準 15" xfId="734"/>
    <cellStyle name="標準 16" xfId="735"/>
    <cellStyle name="標準 17" xfId="736"/>
    <cellStyle name="標準 18" xfId="737"/>
    <cellStyle name="標準 18 10" xfId="738"/>
    <cellStyle name="標準 18 2" xfId="739"/>
    <cellStyle name="標準 18 3" xfId="740"/>
    <cellStyle name="標準 18 4" xfId="741"/>
    <cellStyle name="標準 18 5" xfId="742"/>
    <cellStyle name="標準 18 6" xfId="743"/>
    <cellStyle name="標準 18 7" xfId="744"/>
    <cellStyle name="標準 18 8" xfId="745"/>
    <cellStyle name="標準 18 9" xfId="746"/>
    <cellStyle name="標準 19" xfId="747"/>
    <cellStyle name="標準 19 2" xfId="748"/>
    <cellStyle name="標準 2" xfId="749"/>
    <cellStyle name="標準 2 10" xfId="750"/>
    <cellStyle name="標準 2 11" xfId="751"/>
    <cellStyle name="標準 2 12" xfId="752"/>
    <cellStyle name="標準 2 2" xfId="753"/>
    <cellStyle name="標準 2 3" xfId="754"/>
    <cellStyle name="標準 2 4" xfId="755"/>
    <cellStyle name="標準 2 5" xfId="756"/>
    <cellStyle name="標準 2 6" xfId="757"/>
    <cellStyle name="標準 2 7" xfId="758"/>
    <cellStyle name="標準 2 8" xfId="759"/>
    <cellStyle name="標準 2 9" xfId="760"/>
    <cellStyle name="標準 3" xfId="761"/>
    <cellStyle name="標準 4" xfId="762"/>
    <cellStyle name="標準 5" xfId="763"/>
    <cellStyle name="標準 6" xfId="764"/>
    <cellStyle name="標準 7" xfId="765"/>
    <cellStyle name="標準 8" xfId="766"/>
    <cellStyle name="標準 9" xfId="767"/>
    <cellStyle name="標準_10-03-11" xfId="768"/>
    <cellStyle name="表示済みのハイパーリンク_Book1" xfId="769"/>
    <cellStyle name="通貨 [0.00]_amendment" xfId="770"/>
    <cellStyle name="通貨_amendment" xfId="7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sabr</c:v>
          </c:tx>
          <c:marker>
            <c:symbol val="none"/>
          </c:marker>
          <c:xVal>
            <c:numRef>
              <c:f>II_VolSurface_GasSummer!$D$102:$D$202</c:f>
              <c:numCache>
                <c:formatCode>General</c:formatCode>
                <c:ptCount val="101"/>
              </c:numCache>
            </c:numRef>
          </c:xVal>
          <c:yVal>
            <c:numRef>
              <c:f>II_VolSurface_GasSummer!$E$102:$E$202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7C-44F7-A655-7268C870ABED}"/>
            </c:ext>
          </c:extLst>
        </c:ser>
        <c:ser>
          <c:idx val="1"/>
          <c:order val="1"/>
          <c:tx>
            <c:v>marketdata</c:v>
          </c:tx>
          <c:marker>
            <c:symbol val="none"/>
          </c:marker>
          <c:xVal>
            <c:numRef>
              <c:f>II_VolSurface_GasSummer!$Q$19:$AA$19</c:f>
              <c:numCache>
                <c:formatCode>0.00</c:formatCode>
                <c:ptCount val="11"/>
                <c:pt idx="0">
                  <c:v>14.905267537838743</c:v>
                </c:pt>
                <c:pt idx="1">
                  <c:v>15.783581284647989</c:v>
                </c:pt>
                <c:pt idx="2">
                  <c:v>16.35513996688849</c:v>
                </c:pt>
                <c:pt idx="3">
                  <c:v>17.013549402043765</c:v>
                </c:pt>
                <c:pt idx="4">
                  <c:v>17.485680756424443</c:v>
                </c:pt>
                <c:pt idx="5">
                  <c:v>18</c:v>
                </c:pt>
                <c:pt idx="6">
                  <c:v>18.632980859050406</c:v>
                </c:pt>
                <c:pt idx="7">
                  <c:v>19.079864393755496</c:v>
                </c:pt>
                <c:pt idx="8">
                  <c:v>19.673659063053901</c:v>
                </c:pt>
                <c:pt idx="9">
                  <c:v>20.144194663412939</c:v>
                </c:pt>
                <c:pt idx="10">
                  <c:v>20.934178686644206</c:v>
                </c:pt>
              </c:numCache>
            </c:numRef>
          </c:xVal>
          <c:yVal>
            <c:numRef>
              <c:f>II_VolSurface_GasSummer!$C$31:$M$31</c:f>
              <c:numCache>
                <c:formatCode>General</c:formatCode>
                <c:ptCount val="11"/>
                <c:pt idx="0">
                  <c:v>0.11900000000000001</c:v>
                </c:pt>
                <c:pt idx="1">
                  <c:v>0.107</c:v>
                </c:pt>
                <c:pt idx="2">
                  <c:v>9.6999999999999989E-2</c:v>
                </c:pt>
                <c:pt idx="3">
                  <c:v>8.9499999999999996E-2</c:v>
                </c:pt>
                <c:pt idx="4">
                  <c:v>8.4499999999999992E-2</c:v>
                </c:pt>
                <c:pt idx="5">
                  <c:v>8.199999999999999E-2</c:v>
                </c:pt>
                <c:pt idx="6">
                  <c:v>8.115E-2</c:v>
                </c:pt>
                <c:pt idx="7">
                  <c:v>8.1460000000000005E-2</c:v>
                </c:pt>
                <c:pt idx="8">
                  <c:v>8.2500000000000004E-2</c:v>
                </c:pt>
                <c:pt idx="9">
                  <c:v>8.5000000000000006E-2</c:v>
                </c:pt>
                <c:pt idx="10">
                  <c:v>8.9380000000000001E-2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7C-44F7-A655-7268C870A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96896"/>
        <c:axId val="171698432"/>
      </c:scatterChart>
      <c:valAx>
        <c:axId val="171696896"/>
        <c:scaling>
          <c:orientation val="minMax"/>
          <c:max val="1.2"/>
          <c:min val="0.8"/>
        </c:scaling>
        <c:delete val="0"/>
        <c:axPos val="b"/>
        <c:numFmt formatCode="General" sourceLinked="1"/>
        <c:majorTickMark val="out"/>
        <c:minorTickMark val="none"/>
        <c:tickLblPos val="nextTo"/>
        <c:crossAx val="171698432"/>
        <c:crosses val="autoZero"/>
        <c:crossBetween val="midCat"/>
      </c:valAx>
      <c:valAx>
        <c:axId val="171698432"/>
        <c:scaling>
          <c:orientation val="minMax"/>
          <c:max val="0.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6968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II_Vanillas!$N$80:$X$80</c:f>
              <c:numCache>
                <c:formatCode>0.0%</c:formatCode>
                <c:ptCount val="11"/>
                <c:pt idx="0">
                  <c:v>8.748989925588907E-2</c:v>
                </c:pt>
                <c:pt idx="1">
                  <c:v>8.1347465198777905E-2</c:v>
                </c:pt>
                <c:pt idx="2">
                  <c:v>7.8222116068633288E-2</c:v>
                </c:pt>
                <c:pt idx="3">
                  <c:v>7.5539635414897527E-2</c:v>
                </c:pt>
                <c:pt idx="4">
                  <c:v>7.4623736257026757E-2</c:v>
                </c:pt>
                <c:pt idx="5">
                  <c:v>7.4953945487623908E-2</c:v>
                </c:pt>
                <c:pt idx="6">
                  <c:v>7.7459702460831531E-2</c:v>
                </c:pt>
                <c:pt idx="7">
                  <c:v>8.0596609501685346E-2</c:v>
                </c:pt>
                <c:pt idx="8">
                  <c:v>8.6092548706499489E-2</c:v>
                </c:pt>
                <c:pt idx="9">
                  <c:v>9.1108872049926556E-2</c:v>
                </c:pt>
                <c:pt idx="10">
                  <c:v>9.9269341828349109E-2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07-4C11-A848-D1FB8586C123}"/>
            </c:ext>
          </c:extLst>
        </c:ser>
        <c:ser>
          <c:idx val="1"/>
          <c:order val="1"/>
          <c:marker>
            <c:symbol val="none"/>
          </c:marker>
          <c:val>
            <c:numRef>
              <c:f>II_Vanillas!$N$72:$X$72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07-4C11-A848-D1FB8586C123}"/>
            </c:ext>
          </c:extLst>
        </c:ser>
        <c:ser>
          <c:idx val="2"/>
          <c:order val="2"/>
          <c:marker>
            <c:symbol val="none"/>
          </c:marker>
          <c:val>
            <c:numRef>
              <c:f>II_Vanillas!$N$64:$X$64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07-4C11-A848-D1FB8586C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776768"/>
        <c:axId val="181778304"/>
      </c:lineChart>
      <c:catAx>
        <c:axId val="181776768"/>
        <c:scaling>
          <c:orientation val="minMax"/>
        </c:scaling>
        <c:delete val="0"/>
        <c:axPos val="b"/>
        <c:majorTickMark val="out"/>
        <c:minorTickMark val="none"/>
        <c:tickLblPos val="nextTo"/>
        <c:crossAx val="181778304"/>
        <c:crosses val="autoZero"/>
        <c:auto val="1"/>
        <c:lblAlgn val="ctr"/>
        <c:lblOffset val="100"/>
        <c:noMultiLvlLbl val="0"/>
      </c:catAx>
      <c:valAx>
        <c:axId val="181778304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81776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marketquotes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III_VanillasCross!$P$79:$Z$79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III_VanillasCross!$P$116:$Z$116</c:f>
              <c:numCache>
                <c:formatCode>0.0%</c:formatCode>
                <c:ptCount val="11"/>
                <c:pt idx="0">
                  <c:v>0.10411427597206163</c:v>
                </c:pt>
                <c:pt idx="1">
                  <c:v>9.3626502262534828E-2</c:v>
                </c:pt>
                <c:pt idx="2">
                  <c:v>8.5563980710290449E-2</c:v>
                </c:pt>
                <c:pt idx="3">
                  <c:v>8.048463326382875E-2</c:v>
                </c:pt>
                <c:pt idx="4">
                  <c:v>7.9025925836837707E-2</c:v>
                </c:pt>
                <c:pt idx="5">
                  <c:v>8.0990650752885737E-2</c:v>
                </c:pt>
                <c:pt idx="6">
                  <c:v>8.5157960230710164E-2</c:v>
                </c:pt>
                <c:pt idx="7">
                  <c:v>9.0291899543684273E-2</c:v>
                </c:pt>
                <c:pt idx="8">
                  <c:v>9.5671280057994731E-2</c:v>
                </c:pt>
                <c:pt idx="9">
                  <c:v>0.10096514521073204</c:v>
                </c:pt>
                <c:pt idx="10">
                  <c:v>0.10603973853930813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D9-4A37-8606-F323ADCDD1EE}"/>
            </c:ext>
          </c:extLst>
        </c:ser>
        <c:ser>
          <c:idx val="2"/>
          <c:order val="1"/>
          <c:tx>
            <c:strRef>
              <c:f>III_VanillasCross!$AR$42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III_VanillasCross!$P$79:$Z$79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III_VanillasCross!$AU$58:$BE$58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D9-4A37-8606-F323ADCDD1EE}"/>
            </c:ext>
          </c:extLst>
        </c:ser>
        <c:ser>
          <c:idx val="3"/>
          <c:order val="2"/>
          <c:tx>
            <c:v>assetM 55%</c:v>
          </c:tx>
          <c:marker>
            <c:symbol val="none"/>
          </c:marker>
          <c:cat>
            <c:strRef>
              <c:f>III_VanillasCross!$P$79:$Z$79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III_VanillasCross!$BG$57:$BQ$57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8.2713127821702093E-2</c:v>
                </c:pt>
                <c:pt idx="7">
                  <c:v>8.5905155205107886E-2</c:v>
                </c:pt>
                <c:pt idx="8">
                  <c:v>9.1604604504440967E-2</c:v>
                </c:pt>
                <c:pt idx="9">
                  <c:v>9.7154092688191335E-2</c:v>
                </c:pt>
                <c:pt idx="10">
                  <c:v>0.10646390680777366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D9-4A37-8606-F323ADCDD1EE}"/>
            </c:ext>
          </c:extLst>
        </c:ser>
        <c:ser>
          <c:idx val="4"/>
          <c:order val="3"/>
          <c:tx>
            <c:strRef>
              <c:f>III_VanillasCross!$BV$42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III_VanillasCross!$P$79:$Z$79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III_VanillasCross!$BV$58:$CF$58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D9-4A37-8606-F323ADCDD1EE}"/>
            </c:ext>
          </c:extLst>
        </c:ser>
        <c:ser>
          <c:idx val="6"/>
          <c:order val="4"/>
          <c:tx>
            <c:v>crn</c:v>
          </c:tx>
          <c:marker>
            <c:symbol val="none"/>
          </c:marker>
          <c:cat>
            <c:strRef>
              <c:f>III_VanillasCross!$P$79:$Z$79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III_VanillasCross!$P$108:$Z$108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.0000%">
                  <c:v>0</c:v>
                </c:pt>
                <c:pt idx="6" formatCode="0.0000%">
                  <c:v>0</c:v>
                </c:pt>
                <c:pt idx="7" formatCode="0.0000%">
                  <c:v>0</c:v>
                </c:pt>
                <c:pt idx="8" formatCode="0.0000%">
                  <c:v>0</c:v>
                </c:pt>
                <c:pt idx="9" formatCode="0.0000%">
                  <c:v>0</c:v>
                </c:pt>
                <c:pt idx="10" formatCode="0.0000%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D9-4A37-8606-F323ADCDD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563968"/>
        <c:axId val="182565504"/>
      </c:lineChart>
      <c:catAx>
        <c:axId val="182563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565504"/>
        <c:crosses val="autoZero"/>
        <c:auto val="1"/>
        <c:lblAlgn val="ctr"/>
        <c:lblOffset val="100"/>
        <c:noMultiLvlLbl val="0"/>
      </c:catAx>
      <c:valAx>
        <c:axId val="182565504"/>
        <c:scaling>
          <c:orientation val="minMax"/>
          <c:min val="7.0000000000000007E-2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82563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33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III_VisualizationLocalCorr!$D$2</c:f>
              <c:strCache>
                <c:ptCount val="1"/>
                <c:pt idx="0">
                  <c:v>-0.05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III_VisualizationLocalCorr!$E$2:$O$2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27-4391-8458-2D401D1C9BCF}"/>
            </c:ext>
          </c:extLst>
        </c:ser>
        <c:ser>
          <c:idx val="1"/>
          <c:order val="1"/>
          <c:tx>
            <c:strRef>
              <c:f>III_VisualizationLocalCorr!$D$3</c:f>
              <c:strCache>
                <c:ptCount val="1"/>
                <c:pt idx="0">
                  <c:v>-0.1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III_VisualizationLocalCorr!$E$3:$O$3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27-4391-8458-2D401D1C9BCF}"/>
            </c:ext>
          </c:extLst>
        </c:ser>
        <c:ser>
          <c:idx val="2"/>
          <c:order val="2"/>
          <c:tx>
            <c:strRef>
              <c:f>III_VisualizationLocalCorr!$D$4</c:f>
              <c:strCache>
                <c:ptCount val="1"/>
                <c:pt idx="0">
                  <c:v>-0.15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III_VisualizationLocalCorr!$E$4:$O$4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27-4391-8458-2D401D1C9BCF}"/>
            </c:ext>
          </c:extLst>
        </c:ser>
        <c:ser>
          <c:idx val="3"/>
          <c:order val="3"/>
          <c:tx>
            <c:strRef>
              <c:f>III_VisualizationLocalCorr!$D$5</c:f>
              <c:strCache>
                <c:ptCount val="1"/>
                <c:pt idx="0">
                  <c:v>-0.25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III_VisualizationLocalCorr!$E$5:$O$5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27-4391-8458-2D401D1C9BCF}"/>
            </c:ext>
          </c:extLst>
        </c:ser>
        <c:ser>
          <c:idx val="4"/>
          <c:order val="4"/>
          <c:tx>
            <c:strRef>
              <c:f>III_VisualizationLocalCorr!$D$6</c:f>
              <c:strCache>
                <c:ptCount val="1"/>
                <c:pt idx="0">
                  <c:v>-0.35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III_VisualizationLocalCorr!$E$6:$O$6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27-4391-8458-2D401D1C9BCF}"/>
            </c:ext>
          </c:extLst>
        </c:ser>
        <c:ser>
          <c:idx val="5"/>
          <c:order val="5"/>
          <c:tx>
            <c:strRef>
              <c:f>III_VisualizationLocalCorr!$D$7</c:f>
              <c:strCache>
                <c:ptCount val="1"/>
                <c:pt idx="0">
                  <c:v>ATM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III_VisualizationLocalCorr!$E$7:$O$7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D27-4391-8458-2D401D1C9BCF}"/>
            </c:ext>
          </c:extLst>
        </c:ser>
        <c:ser>
          <c:idx val="6"/>
          <c:order val="6"/>
          <c:tx>
            <c:strRef>
              <c:f>III_VisualizationLocalCorr!$D$8</c:f>
              <c:strCache>
                <c:ptCount val="1"/>
                <c:pt idx="0">
                  <c:v>0.35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III_VisualizationLocalCorr!$E$8:$O$8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27-4391-8458-2D401D1C9BCF}"/>
            </c:ext>
          </c:extLst>
        </c:ser>
        <c:ser>
          <c:idx val="7"/>
          <c:order val="7"/>
          <c:tx>
            <c:strRef>
              <c:f>III_VisualizationLocalCorr!$D$9</c:f>
              <c:strCache>
                <c:ptCount val="1"/>
                <c:pt idx="0">
                  <c:v>0.25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III_VisualizationLocalCorr!$E$9:$O$9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D27-4391-8458-2D401D1C9BCF}"/>
            </c:ext>
          </c:extLst>
        </c:ser>
        <c:ser>
          <c:idx val="8"/>
          <c:order val="8"/>
          <c:tx>
            <c:strRef>
              <c:f>III_VisualizationLocalCorr!$D$10</c:f>
              <c:strCache>
                <c:ptCount val="1"/>
                <c:pt idx="0">
                  <c:v>0.15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III_VisualizationLocalCorr!$E$10:$O$10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27-4391-8458-2D401D1C9BCF}"/>
            </c:ext>
          </c:extLst>
        </c:ser>
        <c:ser>
          <c:idx val="9"/>
          <c:order val="9"/>
          <c:tx>
            <c:strRef>
              <c:f>III_VisualizationLocalCorr!$D$11</c:f>
              <c:strCache>
                <c:ptCount val="1"/>
                <c:pt idx="0">
                  <c:v>0.1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III_VisualizationLocalCorr!$E$11:$O$11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D27-4391-8458-2D401D1C9BCF}"/>
            </c:ext>
          </c:extLst>
        </c:ser>
        <c:ser>
          <c:idx val="10"/>
          <c:order val="10"/>
          <c:tx>
            <c:strRef>
              <c:f>III_VisualizationLocalCorr!$D$12</c:f>
              <c:strCache>
                <c:ptCount val="1"/>
                <c:pt idx="0">
                  <c:v>0.05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III_VisualizationLocalCorr!$E$12:$O$12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D27-4391-8458-2D401D1C9BCF}"/>
            </c:ext>
          </c:extLst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82150272"/>
        <c:axId val="182151808"/>
        <c:axId val="182147712"/>
      </c:surface3DChart>
      <c:catAx>
        <c:axId val="18215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151808"/>
        <c:crosses val="autoZero"/>
        <c:auto val="1"/>
        <c:lblAlgn val="ctr"/>
        <c:lblOffset val="100"/>
        <c:noMultiLvlLbl val="0"/>
      </c:catAx>
      <c:valAx>
        <c:axId val="1821518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82150272"/>
        <c:crosses val="min"/>
        <c:crossBetween val="midCat"/>
      </c:valAx>
      <c:serAx>
        <c:axId val="182147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82151808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layout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20"/>
      <c:rotY val="320"/>
      <c:depthPercent val="100"/>
      <c:rAngAx val="0"/>
      <c:perspective val="5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III_VisualizationLocalCorr!$D$2</c:f>
              <c:strCache>
                <c:ptCount val="1"/>
                <c:pt idx="0">
                  <c:v>-0.05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III_VisualizationLocalCorr!$T$2:$AD$2</c:f>
              <c:numCache>
                <c:formatCode>0.00</c:formatCode>
                <c:ptCount val="11"/>
                <c:pt idx="0">
                  <c:v>0.62266747649116172</c:v>
                </c:pt>
                <c:pt idx="1">
                  <c:v>0.61843606206541102</c:v>
                </c:pt>
                <c:pt idx="2">
                  <c:v>0.59189545266456234</c:v>
                </c:pt>
                <c:pt idx="3">
                  <c:v>0.53520966128324243</c:v>
                </c:pt>
                <c:pt idx="4">
                  <c:v>0.48706179650249914</c:v>
                </c:pt>
                <c:pt idx="5">
                  <c:v>0.43067982691604634</c:v>
                </c:pt>
                <c:pt idx="6">
                  <c:v>0.38525569929580095</c:v>
                </c:pt>
                <c:pt idx="7">
                  <c:v>0.37966376751048359</c:v>
                </c:pt>
                <c:pt idx="8">
                  <c:v>0.3722682515897151</c:v>
                </c:pt>
                <c:pt idx="9">
                  <c:v>0.36662681573032396</c:v>
                </c:pt>
                <c:pt idx="10">
                  <c:v>0.35785756998764451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06-42FC-8256-E2EAE6DC20B6}"/>
            </c:ext>
          </c:extLst>
        </c:ser>
        <c:ser>
          <c:idx val="1"/>
          <c:order val="1"/>
          <c:tx>
            <c:strRef>
              <c:f>III_VisualizationLocalCorr!$D$3</c:f>
              <c:strCache>
                <c:ptCount val="1"/>
                <c:pt idx="0">
                  <c:v>-0.1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III_VisualizationLocalCorr!$T$3:$AD$3</c:f>
              <c:numCache>
                <c:formatCode>0.00</c:formatCode>
                <c:ptCount val="11"/>
                <c:pt idx="0">
                  <c:v>0.56336129659612633</c:v>
                </c:pt>
                <c:pt idx="1">
                  <c:v>0.6035162507043158</c:v>
                </c:pt>
                <c:pt idx="2">
                  <c:v>0.60565581807171109</c:v>
                </c:pt>
                <c:pt idx="3">
                  <c:v>0.58315662524333656</c:v>
                </c:pt>
                <c:pt idx="4">
                  <c:v>0.54469630137997649</c:v>
                </c:pt>
                <c:pt idx="5">
                  <c:v>0.49124313272751097</c:v>
                </c:pt>
                <c:pt idx="6">
                  <c:v>0.4276975566482123</c:v>
                </c:pt>
                <c:pt idx="7">
                  <c:v>0.39066717539778884</c:v>
                </c:pt>
                <c:pt idx="8">
                  <c:v>0.36215577816944344</c:v>
                </c:pt>
                <c:pt idx="9">
                  <c:v>0.35645628520633421</c:v>
                </c:pt>
                <c:pt idx="10">
                  <c:v>0.34759679346559635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06-42FC-8256-E2EAE6DC20B6}"/>
            </c:ext>
          </c:extLst>
        </c:ser>
        <c:ser>
          <c:idx val="2"/>
          <c:order val="2"/>
          <c:tx>
            <c:strRef>
              <c:f>III_VisualizationLocalCorr!$D$4</c:f>
              <c:strCache>
                <c:ptCount val="1"/>
                <c:pt idx="0">
                  <c:v>-0.15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III_VisualizationLocalCorr!$T$4:$AD$4</c:f>
              <c:numCache>
                <c:formatCode>0.00</c:formatCode>
                <c:ptCount val="11"/>
                <c:pt idx="0">
                  <c:v>0.51163608882164624</c:v>
                </c:pt>
                <c:pt idx="1">
                  <c:v>0.57021928385337906</c:v>
                </c:pt>
                <c:pt idx="2">
                  <c:v>0.59114668962716255</c:v>
                </c:pt>
                <c:pt idx="3">
                  <c:v>0.59059327576611342</c:v>
                </c:pt>
                <c:pt idx="4">
                  <c:v>0.57169318821249204</c:v>
                </c:pt>
                <c:pt idx="5">
                  <c:v>0.52701032115736435</c:v>
                </c:pt>
                <c:pt idx="6">
                  <c:v>0.46888619146085297</c:v>
                </c:pt>
                <c:pt idx="7">
                  <c:v>0.42101208729970785</c:v>
                </c:pt>
                <c:pt idx="8">
                  <c:v>0.36968172968876045</c:v>
                </c:pt>
                <c:pt idx="9">
                  <c:v>0.349941962566926</c:v>
                </c:pt>
                <c:pt idx="10">
                  <c:v>0.34102466739628046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06-42FC-8256-E2EAE6DC20B6}"/>
            </c:ext>
          </c:extLst>
        </c:ser>
        <c:ser>
          <c:idx val="3"/>
          <c:order val="3"/>
          <c:tx>
            <c:strRef>
              <c:f>III_VisualizationLocalCorr!$D$5</c:f>
              <c:strCache>
                <c:ptCount val="1"/>
                <c:pt idx="0">
                  <c:v>-0.25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III_VisualizationLocalCorr!$T$5:$AD$5</c:f>
              <c:numCache>
                <c:formatCode>0.00</c:formatCode>
                <c:ptCount val="11"/>
                <c:pt idx="0">
                  <c:v>0.44948796197833096</c:v>
                </c:pt>
                <c:pt idx="1">
                  <c:v>0.50740966066521664</c:v>
                </c:pt>
                <c:pt idx="2">
                  <c:v>0.54462093693409197</c:v>
                </c:pt>
                <c:pt idx="3">
                  <c:v>0.57494739848893828</c:v>
                </c:pt>
                <c:pt idx="4">
                  <c:v>0.57715638680507675</c:v>
                </c:pt>
                <c:pt idx="5">
                  <c:v>0.55958269765669966</c:v>
                </c:pt>
                <c:pt idx="6">
                  <c:v>0.51459959892344131</c:v>
                </c:pt>
                <c:pt idx="7">
                  <c:v>0.47223514194141303</c:v>
                </c:pt>
                <c:pt idx="8">
                  <c:v>0.4110704192165211</c:v>
                </c:pt>
                <c:pt idx="9">
                  <c:v>0.37152647812459083</c:v>
                </c:pt>
                <c:pt idx="10">
                  <c:v>0.33248163849933454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06-42FC-8256-E2EAE6DC20B6}"/>
            </c:ext>
          </c:extLst>
        </c:ser>
        <c:ser>
          <c:idx val="4"/>
          <c:order val="4"/>
          <c:tx>
            <c:strRef>
              <c:f>III_VisualizationLocalCorr!$D$6</c:f>
              <c:strCache>
                <c:ptCount val="1"/>
                <c:pt idx="0">
                  <c:v>-0.35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III_VisualizationLocalCorr!$T$6:$AD$6</c:f>
              <c:numCache>
                <c:formatCode>0.00</c:formatCode>
                <c:ptCount val="11"/>
                <c:pt idx="0">
                  <c:v>0.41264836345615097</c:v>
                </c:pt>
                <c:pt idx="1">
                  <c:v>0.45726706985284815</c:v>
                </c:pt>
                <c:pt idx="2">
                  <c:v>0.49723408584497109</c:v>
                </c:pt>
                <c:pt idx="3">
                  <c:v>0.54316277838100036</c:v>
                </c:pt>
                <c:pt idx="4">
                  <c:v>0.56277269535125929</c:v>
                </c:pt>
                <c:pt idx="5">
                  <c:v>0.56397180301813132</c:v>
                </c:pt>
                <c:pt idx="6">
                  <c:v>0.54102244371460761</c:v>
                </c:pt>
                <c:pt idx="7">
                  <c:v>0.50530761704510008</c:v>
                </c:pt>
                <c:pt idx="8">
                  <c:v>0.44953247997636137</c:v>
                </c:pt>
                <c:pt idx="9">
                  <c:v>0.40248781022072433</c:v>
                </c:pt>
                <c:pt idx="10">
                  <c:v>0.34042302392196455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06-42FC-8256-E2EAE6DC20B6}"/>
            </c:ext>
          </c:extLst>
        </c:ser>
        <c:ser>
          <c:idx val="5"/>
          <c:order val="5"/>
          <c:tx>
            <c:strRef>
              <c:f>III_VisualizationLocalCorr!$D$7</c:f>
              <c:strCache>
                <c:ptCount val="1"/>
                <c:pt idx="0">
                  <c:v>ATM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III_VisualizationLocalCorr!$T$7:$AD$7</c:f>
              <c:numCache>
                <c:formatCode>0.00</c:formatCode>
                <c:ptCount val="11"/>
                <c:pt idx="0">
                  <c:v>0.36112450171848409</c:v>
                </c:pt>
                <c:pt idx="1">
                  <c:v>0.4111938036524988</c:v>
                </c:pt>
                <c:pt idx="2">
                  <c:v>0.43915161421146987</c:v>
                </c:pt>
                <c:pt idx="3">
                  <c:v>0.49016016373907434</c:v>
                </c:pt>
                <c:pt idx="4">
                  <c:v>0.52401099139450436</c:v>
                </c:pt>
                <c:pt idx="5">
                  <c:v>0.5483709531527079</c:v>
                </c:pt>
                <c:pt idx="6">
                  <c:v>0.5488146917693959</c:v>
                </c:pt>
                <c:pt idx="7">
                  <c:v>0.53241903824065795</c:v>
                </c:pt>
                <c:pt idx="8">
                  <c:v>0.48855760159278971</c:v>
                </c:pt>
                <c:pt idx="9">
                  <c:v>0.44637092010330504</c:v>
                </c:pt>
                <c:pt idx="10">
                  <c:v>0.37460594653201729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406-42FC-8256-E2EAE6DC20B6}"/>
            </c:ext>
          </c:extLst>
        </c:ser>
        <c:ser>
          <c:idx val="6"/>
          <c:order val="6"/>
          <c:tx>
            <c:strRef>
              <c:f>III_VisualizationLocalCorr!$D$8</c:f>
              <c:strCache>
                <c:ptCount val="1"/>
                <c:pt idx="0">
                  <c:v>0.35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III_VisualizationLocalCorr!$T$8:$AD$8</c:f>
              <c:numCache>
                <c:formatCode>0.00</c:formatCode>
                <c:ptCount val="11"/>
                <c:pt idx="0">
                  <c:v>0.31483821983177118</c:v>
                </c:pt>
                <c:pt idx="1">
                  <c:v>0.35851430909715376</c:v>
                </c:pt>
                <c:pt idx="2">
                  <c:v>0.39124822824874472</c:v>
                </c:pt>
                <c:pt idx="3">
                  <c:v>0.42709354051036263</c:v>
                </c:pt>
                <c:pt idx="4">
                  <c:v>0.46492931183037767</c:v>
                </c:pt>
                <c:pt idx="5">
                  <c:v>0.50581571920966861</c:v>
                </c:pt>
                <c:pt idx="6">
                  <c:v>0.532695851331074</c:v>
                </c:pt>
                <c:pt idx="7">
                  <c:v>0.53507270858234013</c:v>
                </c:pt>
                <c:pt idx="8">
                  <c:v>0.5173853466250331</c:v>
                </c:pt>
                <c:pt idx="9">
                  <c:v>0.48652666085984886</c:v>
                </c:pt>
                <c:pt idx="10">
                  <c:v>0.42218781900370206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406-42FC-8256-E2EAE6DC20B6}"/>
            </c:ext>
          </c:extLst>
        </c:ser>
        <c:ser>
          <c:idx val="7"/>
          <c:order val="7"/>
          <c:tx>
            <c:strRef>
              <c:f>III_VisualizationLocalCorr!$D$9</c:f>
              <c:strCache>
                <c:ptCount val="1"/>
                <c:pt idx="0">
                  <c:v>0.25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III_VisualizationLocalCorr!$T$9:$AD$9</c:f>
              <c:numCache>
                <c:formatCode>0.00</c:formatCode>
                <c:ptCount val="11"/>
                <c:pt idx="0">
                  <c:v>0.28765439265426929</c:v>
                </c:pt>
                <c:pt idx="1">
                  <c:v>0.31854186212390356</c:v>
                </c:pt>
                <c:pt idx="2">
                  <c:v>0.35097635473751287</c:v>
                </c:pt>
                <c:pt idx="3">
                  <c:v>0.38959195092150178</c:v>
                </c:pt>
                <c:pt idx="4">
                  <c:v>0.41806218521095495</c:v>
                </c:pt>
                <c:pt idx="5">
                  <c:v>0.46275887425198547</c:v>
                </c:pt>
                <c:pt idx="6">
                  <c:v>0.50339979764019049</c:v>
                </c:pt>
                <c:pt idx="7">
                  <c:v>0.52094731407793882</c:v>
                </c:pt>
                <c:pt idx="8">
                  <c:v>0.52155788332600195</c:v>
                </c:pt>
                <c:pt idx="9">
                  <c:v>0.505578685192144</c:v>
                </c:pt>
                <c:pt idx="10">
                  <c:v>0.45352627915542465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406-42FC-8256-E2EAE6DC20B6}"/>
            </c:ext>
          </c:extLst>
        </c:ser>
        <c:ser>
          <c:idx val="8"/>
          <c:order val="8"/>
          <c:tx>
            <c:strRef>
              <c:f>III_VisualizationLocalCorr!$D$10</c:f>
              <c:strCache>
                <c:ptCount val="1"/>
                <c:pt idx="0">
                  <c:v>0.15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III_VisualizationLocalCorr!$T$10:$AD$10</c:f>
              <c:numCache>
                <c:formatCode>0.00</c:formatCode>
                <c:ptCount val="11"/>
                <c:pt idx="0">
                  <c:v>0.26172551696989577</c:v>
                </c:pt>
                <c:pt idx="1">
                  <c:v>0.28176287557936941</c:v>
                </c:pt>
                <c:pt idx="2">
                  <c:v>0.2985609789238306</c:v>
                </c:pt>
                <c:pt idx="3">
                  <c:v>0.34007039811310991</c:v>
                </c:pt>
                <c:pt idx="4">
                  <c:v>0.36943167803570942</c:v>
                </c:pt>
                <c:pt idx="5">
                  <c:v>0.40114356444777211</c:v>
                </c:pt>
                <c:pt idx="6">
                  <c:v>0.44860683658237854</c:v>
                </c:pt>
                <c:pt idx="7">
                  <c:v>0.47974925227167731</c:v>
                </c:pt>
                <c:pt idx="8">
                  <c:v>0.50530572478172453</c:v>
                </c:pt>
                <c:pt idx="9">
                  <c:v>0.50754918869590893</c:v>
                </c:pt>
                <c:pt idx="10">
                  <c:v>0.48477006227008945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406-42FC-8256-E2EAE6DC20B6}"/>
            </c:ext>
          </c:extLst>
        </c:ser>
        <c:ser>
          <c:idx val="9"/>
          <c:order val="9"/>
          <c:tx>
            <c:strRef>
              <c:f>III_VisualizationLocalCorr!$D$11</c:f>
              <c:strCache>
                <c:ptCount val="1"/>
                <c:pt idx="0">
                  <c:v>0.1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III_VisualizationLocalCorr!$T$11:$AD$11</c:f>
              <c:numCache>
                <c:formatCode>0.00</c:formatCode>
                <c:ptCount val="11"/>
                <c:pt idx="0">
                  <c:v>0.25608408111050462</c:v>
                </c:pt>
                <c:pt idx="1">
                  <c:v>0.2513583978417957</c:v>
                </c:pt>
                <c:pt idx="2">
                  <c:v>0.27206669863713073</c:v>
                </c:pt>
                <c:pt idx="3">
                  <c:v>0.29967796938052116</c:v>
                </c:pt>
                <c:pt idx="4">
                  <c:v>0.33091404556556836</c:v>
                </c:pt>
                <c:pt idx="5">
                  <c:v>0.36340505183815486</c:v>
                </c:pt>
                <c:pt idx="6">
                  <c:v>0.40138565096178058</c:v>
                </c:pt>
                <c:pt idx="7">
                  <c:v>0.43690171873512185</c:v>
                </c:pt>
                <c:pt idx="8">
                  <c:v>0.47600463529966275</c:v>
                </c:pt>
                <c:pt idx="9">
                  <c:v>0.49329458217400912</c:v>
                </c:pt>
                <c:pt idx="10">
                  <c:v>0.49091214239438474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406-42FC-8256-E2EAE6DC20B6}"/>
            </c:ext>
          </c:extLst>
        </c:ser>
        <c:ser>
          <c:idx val="10"/>
          <c:order val="10"/>
          <c:tx>
            <c:strRef>
              <c:f>III_VisualizationLocalCorr!$D$12</c:f>
              <c:strCache>
                <c:ptCount val="1"/>
                <c:pt idx="0">
                  <c:v>0.05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III_VisualizationLocalCorr!$T$12:$AD$12</c:f>
              <c:numCache>
                <c:formatCode>0.00</c:formatCode>
                <c:ptCount val="11"/>
                <c:pt idx="0">
                  <c:v>0.24731483536782517</c:v>
                </c:pt>
                <c:pt idx="1">
                  <c:v>0.23705405884577702</c:v>
                </c:pt>
                <c:pt idx="2">
                  <c:v>0.23048193277646112</c:v>
                </c:pt>
                <c:pt idx="3">
                  <c:v>0.2531731679662379</c:v>
                </c:pt>
                <c:pt idx="4">
                  <c:v>0.26925824366125028</c:v>
                </c:pt>
                <c:pt idx="5">
                  <c:v>0.30486036498685687</c:v>
                </c:pt>
                <c:pt idx="6">
                  <c:v>0.341185404896311</c:v>
                </c:pt>
                <c:pt idx="7">
                  <c:v>0.36551858286861427</c:v>
                </c:pt>
                <c:pt idx="8">
                  <c:v>0.41051923541430813</c:v>
                </c:pt>
                <c:pt idx="9">
                  <c:v>0.44278955525967389</c:v>
                </c:pt>
                <c:pt idx="10">
                  <c:v>0.47448752760912116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406-42FC-8256-E2EAE6DC20B6}"/>
            </c:ext>
          </c:extLst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82608256"/>
        <c:axId val="182609792"/>
        <c:axId val="182587840"/>
      </c:surface3DChart>
      <c:catAx>
        <c:axId val="18260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609792"/>
        <c:crosses val="autoZero"/>
        <c:auto val="1"/>
        <c:lblAlgn val="ctr"/>
        <c:lblOffset val="100"/>
        <c:noMultiLvlLbl val="0"/>
      </c:catAx>
      <c:valAx>
        <c:axId val="1826097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82608256"/>
        <c:crosses val="min"/>
        <c:crossBetween val="midCat"/>
      </c:valAx>
      <c:serAx>
        <c:axId val="182587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82609792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III_Simulation!$B$4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cat>
            <c:numRef>
              <c:f>III_Simulation!$A$5:$A$370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5.4794520547945206E-3</c:v>
                </c:pt>
                <c:pt idx="2">
                  <c:v>1.0958904109589041E-2</c:v>
                </c:pt>
                <c:pt idx="3">
                  <c:v>1.643835616438356E-2</c:v>
                </c:pt>
                <c:pt idx="4">
                  <c:v>2.1917808219178082E-2</c:v>
                </c:pt>
                <c:pt idx="5">
                  <c:v>2.7397260273972601E-2</c:v>
                </c:pt>
                <c:pt idx="6">
                  <c:v>3.287671232876712E-2</c:v>
                </c:pt>
                <c:pt idx="7">
                  <c:v>3.8356164383561646E-2</c:v>
                </c:pt>
                <c:pt idx="8">
                  <c:v>4.3835616438356165E-2</c:v>
                </c:pt>
                <c:pt idx="9">
                  <c:v>4.9315068493150684E-2</c:v>
                </c:pt>
                <c:pt idx="10">
                  <c:v>5.4794520547945202E-2</c:v>
                </c:pt>
                <c:pt idx="11">
                  <c:v>6.0273972602739728E-2</c:v>
                </c:pt>
                <c:pt idx="12">
                  <c:v>6.575342465753424E-2</c:v>
                </c:pt>
                <c:pt idx="13">
                  <c:v>7.1232876712328766E-2</c:v>
                </c:pt>
                <c:pt idx="14">
                  <c:v>7.6712328767123292E-2</c:v>
                </c:pt>
                <c:pt idx="15">
                  <c:v>8.2191780821917804E-2</c:v>
                </c:pt>
                <c:pt idx="16">
                  <c:v>8.7671232876712329E-2</c:v>
                </c:pt>
                <c:pt idx="17">
                  <c:v>9.3150684931506855E-2</c:v>
                </c:pt>
                <c:pt idx="18">
                  <c:v>9.8630136986301367E-2</c:v>
                </c:pt>
                <c:pt idx="19">
                  <c:v>0.10410958904109589</c:v>
                </c:pt>
                <c:pt idx="20">
                  <c:v>0.1095890410958904</c:v>
                </c:pt>
                <c:pt idx="21">
                  <c:v>0.11506849315068493</c:v>
                </c:pt>
                <c:pt idx="22">
                  <c:v>0.12054794520547946</c:v>
                </c:pt>
                <c:pt idx="23">
                  <c:v>0.12602739726027398</c:v>
                </c:pt>
                <c:pt idx="24">
                  <c:v>0.13150684931506848</c:v>
                </c:pt>
                <c:pt idx="25">
                  <c:v>0.13698630136986301</c:v>
                </c:pt>
                <c:pt idx="26">
                  <c:v>0.14246575342465753</c:v>
                </c:pt>
                <c:pt idx="27">
                  <c:v>0.14794520547945206</c:v>
                </c:pt>
                <c:pt idx="28">
                  <c:v>0.15342465753424658</c:v>
                </c:pt>
                <c:pt idx="29">
                  <c:v>0.15890410958904111</c:v>
                </c:pt>
                <c:pt idx="30">
                  <c:v>0.16438356164383561</c:v>
                </c:pt>
                <c:pt idx="31">
                  <c:v>0.16986301369863013</c:v>
                </c:pt>
                <c:pt idx="32">
                  <c:v>0.17534246575342466</c:v>
                </c:pt>
                <c:pt idx="33">
                  <c:v>0.18082191780821918</c:v>
                </c:pt>
                <c:pt idx="34">
                  <c:v>0.18630136986301371</c:v>
                </c:pt>
                <c:pt idx="35">
                  <c:v>0.19178082191780821</c:v>
                </c:pt>
                <c:pt idx="36">
                  <c:v>0.19726027397260273</c:v>
                </c:pt>
                <c:pt idx="37">
                  <c:v>0.20273972602739726</c:v>
                </c:pt>
                <c:pt idx="38">
                  <c:v>0.20821917808219179</c:v>
                </c:pt>
                <c:pt idx="39">
                  <c:v>0.21369863013698631</c:v>
                </c:pt>
                <c:pt idx="40">
                  <c:v>0.21917808219178081</c:v>
                </c:pt>
                <c:pt idx="41">
                  <c:v>0.22465753424657534</c:v>
                </c:pt>
                <c:pt idx="42">
                  <c:v>0.23013698630136986</c:v>
                </c:pt>
                <c:pt idx="43">
                  <c:v>0.23561643835616439</c:v>
                </c:pt>
                <c:pt idx="44">
                  <c:v>0.24109589041095891</c:v>
                </c:pt>
                <c:pt idx="45">
                  <c:v>0.24657534246575341</c:v>
                </c:pt>
                <c:pt idx="46">
                  <c:v>0.25205479452054796</c:v>
                </c:pt>
                <c:pt idx="47">
                  <c:v>0.25753424657534246</c:v>
                </c:pt>
                <c:pt idx="48">
                  <c:v>0.26301369863013696</c:v>
                </c:pt>
                <c:pt idx="49">
                  <c:v>0.26849315068493151</c:v>
                </c:pt>
                <c:pt idx="50">
                  <c:v>0.27397260273972601</c:v>
                </c:pt>
                <c:pt idx="51">
                  <c:v>0.27945205479452057</c:v>
                </c:pt>
                <c:pt idx="52">
                  <c:v>0.28493150684931506</c:v>
                </c:pt>
                <c:pt idx="53">
                  <c:v>0.29041095890410956</c:v>
                </c:pt>
                <c:pt idx="54">
                  <c:v>0.29589041095890412</c:v>
                </c:pt>
                <c:pt idx="55">
                  <c:v>0.30136986301369861</c:v>
                </c:pt>
                <c:pt idx="56">
                  <c:v>0.30684931506849317</c:v>
                </c:pt>
                <c:pt idx="57">
                  <c:v>0.31232876712328766</c:v>
                </c:pt>
                <c:pt idx="58">
                  <c:v>0.31780821917808222</c:v>
                </c:pt>
                <c:pt idx="59">
                  <c:v>0.32328767123287672</c:v>
                </c:pt>
                <c:pt idx="60">
                  <c:v>0.32876712328767121</c:v>
                </c:pt>
                <c:pt idx="61">
                  <c:v>0.33424657534246577</c:v>
                </c:pt>
                <c:pt idx="62">
                  <c:v>0.33972602739726027</c:v>
                </c:pt>
                <c:pt idx="63">
                  <c:v>0.34520547945205482</c:v>
                </c:pt>
                <c:pt idx="64">
                  <c:v>0.35068493150684932</c:v>
                </c:pt>
                <c:pt idx="65">
                  <c:v>0.35616438356164382</c:v>
                </c:pt>
                <c:pt idx="66">
                  <c:v>0.36164383561643837</c:v>
                </c:pt>
                <c:pt idx="67">
                  <c:v>0.36712328767123287</c:v>
                </c:pt>
                <c:pt idx="68">
                  <c:v>0.37260273972602742</c:v>
                </c:pt>
                <c:pt idx="69">
                  <c:v>0.37808219178082192</c:v>
                </c:pt>
                <c:pt idx="70">
                  <c:v>0.38356164383561642</c:v>
                </c:pt>
                <c:pt idx="71">
                  <c:v>0.38904109589041097</c:v>
                </c:pt>
                <c:pt idx="72">
                  <c:v>0.39452054794520547</c:v>
                </c:pt>
                <c:pt idx="73">
                  <c:v>0.4</c:v>
                </c:pt>
                <c:pt idx="74">
                  <c:v>0.40547945205479452</c:v>
                </c:pt>
                <c:pt idx="75">
                  <c:v>0.41095890410958902</c:v>
                </c:pt>
                <c:pt idx="76">
                  <c:v>0.41643835616438357</c:v>
                </c:pt>
                <c:pt idx="77">
                  <c:v>0.42191780821917807</c:v>
                </c:pt>
                <c:pt idx="78">
                  <c:v>0.42739726027397262</c:v>
                </c:pt>
                <c:pt idx="79">
                  <c:v>0.43287671232876712</c:v>
                </c:pt>
                <c:pt idx="80">
                  <c:v>0.43835616438356162</c:v>
                </c:pt>
                <c:pt idx="81">
                  <c:v>0.44383561643835617</c:v>
                </c:pt>
                <c:pt idx="82">
                  <c:v>0.44931506849315067</c:v>
                </c:pt>
                <c:pt idx="83">
                  <c:v>0.45479452054794522</c:v>
                </c:pt>
                <c:pt idx="84">
                  <c:v>0.46027397260273972</c:v>
                </c:pt>
                <c:pt idx="85">
                  <c:v>0.46575342465753422</c:v>
                </c:pt>
                <c:pt idx="86">
                  <c:v>0.47123287671232877</c:v>
                </c:pt>
                <c:pt idx="87">
                  <c:v>0.47671232876712327</c:v>
                </c:pt>
                <c:pt idx="88">
                  <c:v>0.48219178082191783</c:v>
                </c:pt>
                <c:pt idx="89">
                  <c:v>0.48767123287671232</c:v>
                </c:pt>
                <c:pt idx="90">
                  <c:v>0.49315068493150682</c:v>
                </c:pt>
                <c:pt idx="91">
                  <c:v>0.49863013698630138</c:v>
                </c:pt>
                <c:pt idx="92">
                  <c:v>0.50410958904109593</c:v>
                </c:pt>
                <c:pt idx="93">
                  <c:v>0.50958904109589043</c:v>
                </c:pt>
                <c:pt idx="94">
                  <c:v>0.51506849315068493</c:v>
                </c:pt>
                <c:pt idx="95">
                  <c:v>0.52054794520547942</c:v>
                </c:pt>
                <c:pt idx="96">
                  <c:v>0.52602739726027392</c:v>
                </c:pt>
                <c:pt idx="97">
                  <c:v>0.53150684931506853</c:v>
                </c:pt>
                <c:pt idx="98">
                  <c:v>0.53698630136986303</c:v>
                </c:pt>
                <c:pt idx="99">
                  <c:v>0.54246575342465753</c:v>
                </c:pt>
                <c:pt idx="100">
                  <c:v>0.54794520547945202</c:v>
                </c:pt>
                <c:pt idx="101">
                  <c:v>0.55342465753424652</c:v>
                </c:pt>
                <c:pt idx="102">
                  <c:v>0.55890410958904113</c:v>
                </c:pt>
                <c:pt idx="103">
                  <c:v>0.56438356164383563</c:v>
                </c:pt>
                <c:pt idx="104">
                  <c:v>0.56986301369863013</c:v>
                </c:pt>
                <c:pt idx="105">
                  <c:v>0.57534246575342463</c:v>
                </c:pt>
                <c:pt idx="106">
                  <c:v>0.58082191780821912</c:v>
                </c:pt>
                <c:pt idx="107">
                  <c:v>0.58630136986301373</c:v>
                </c:pt>
                <c:pt idx="108">
                  <c:v>0.59178082191780823</c:v>
                </c:pt>
                <c:pt idx="109">
                  <c:v>0.59726027397260273</c:v>
                </c:pt>
                <c:pt idx="110">
                  <c:v>0.60273972602739723</c:v>
                </c:pt>
                <c:pt idx="111">
                  <c:v>0.60821917808219184</c:v>
                </c:pt>
                <c:pt idx="112">
                  <c:v>0.61369863013698633</c:v>
                </c:pt>
                <c:pt idx="113">
                  <c:v>0.61917808219178083</c:v>
                </c:pt>
                <c:pt idx="114">
                  <c:v>0.62465753424657533</c:v>
                </c:pt>
                <c:pt idx="115">
                  <c:v>0.63013698630136983</c:v>
                </c:pt>
                <c:pt idx="116">
                  <c:v>0.63561643835616444</c:v>
                </c:pt>
                <c:pt idx="117">
                  <c:v>0.64109589041095894</c:v>
                </c:pt>
                <c:pt idx="118">
                  <c:v>0.64657534246575343</c:v>
                </c:pt>
                <c:pt idx="119">
                  <c:v>0.65205479452054793</c:v>
                </c:pt>
                <c:pt idx="120">
                  <c:v>0.65753424657534243</c:v>
                </c:pt>
                <c:pt idx="121">
                  <c:v>0.66301369863013704</c:v>
                </c:pt>
                <c:pt idx="122">
                  <c:v>0.66849315068493154</c:v>
                </c:pt>
                <c:pt idx="123">
                  <c:v>0.67397260273972603</c:v>
                </c:pt>
                <c:pt idx="124">
                  <c:v>0.67945205479452053</c:v>
                </c:pt>
                <c:pt idx="125">
                  <c:v>0.68493150684931503</c:v>
                </c:pt>
                <c:pt idx="126">
                  <c:v>0.69041095890410964</c:v>
                </c:pt>
                <c:pt idx="127">
                  <c:v>0.69589041095890414</c:v>
                </c:pt>
                <c:pt idx="128">
                  <c:v>0.70136986301369864</c:v>
                </c:pt>
                <c:pt idx="129">
                  <c:v>0.70684931506849313</c:v>
                </c:pt>
                <c:pt idx="130">
                  <c:v>0.71232876712328763</c:v>
                </c:pt>
                <c:pt idx="131">
                  <c:v>0.71780821917808224</c:v>
                </c:pt>
                <c:pt idx="132">
                  <c:v>0.72328767123287674</c:v>
                </c:pt>
                <c:pt idx="133">
                  <c:v>0.72876712328767124</c:v>
                </c:pt>
                <c:pt idx="134">
                  <c:v>0.73424657534246573</c:v>
                </c:pt>
                <c:pt idx="135">
                  <c:v>0.73972602739726023</c:v>
                </c:pt>
                <c:pt idx="136">
                  <c:v>0.74520547945205484</c:v>
                </c:pt>
                <c:pt idx="137">
                  <c:v>0.75068493150684934</c:v>
                </c:pt>
                <c:pt idx="138">
                  <c:v>0.75616438356164384</c:v>
                </c:pt>
                <c:pt idx="139">
                  <c:v>0.76164383561643834</c:v>
                </c:pt>
                <c:pt idx="140">
                  <c:v>0.76712328767123283</c:v>
                </c:pt>
                <c:pt idx="141">
                  <c:v>0.77260273972602744</c:v>
                </c:pt>
                <c:pt idx="142">
                  <c:v>0.77808219178082194</c:v>
                </c:pt>
                <c:pt idx="143">
                  <c:v>0.78356164383561644</c:v>
                </c:pt>
                <c:pt idx="144">
                  <c:v>0.78904109589041094</c:v>
                </c:pt>
                <c:pt idx="145">
                  <c:v>0.79452054794520544</c:v>
                </c:pt>
                <c:pt idx="146">
                  <c:v>0.8</c:v>
                </c:pt>
                <c:pt idx="147">
                  <c:v>0.80547945205479454</c:v>
                </c:pt>
                <c:pt idx="148">
                  <c:v>0.81095890410958904</c:v>
                </c:pt>
                <c:pt idx="149">
                  <c:v>0.81643835616438354</c:v>
                </c:pt>
                <c:pt idx="150">
                  <c:v>0.82191780821917804</c:v>
                </c:pt>
                <c:pt idx="151">
                  <c:v>0.82739726027397265</c:v>
                </c:pt>
                <c:pt idx="152">
                  <c:v>0.83287671232876714</c:v>
                </c:pt>
                <c:pt idx="153">
                  <c:v>0.83835616438356164</c:v>
                </c:pt>
                <c:pt idx="154">
                  <c:v>0.84383561643835614</c:v>
                </c:pt>
                <c:pt idx="155">
                  <c:v>0.84931506849315064</c:v>
                </c:pt>
                <c:pt idx="156">
                  <c:v>0.85479452054794525</c:v>
                </c:pt>
                <c:pt idx="157">
                  <c:v>0.86027397260273974</c:v>
                </c:pt>
                <c:pt idx="158">
                  <c:v>0.86575342465753424</c:v>
                </c:pt>
                <c:pt idx="159">
                  <c:v>0.87123287671232874</c:v>
                </c:pt>
                <c:pt idx="160">
                  <c:v>0.87671232876712324</c:v>
                </c:pt>
                <c:pt idx="161">
                  <c:v>0.88219178082191785</c:v>
                </c:pt>
                <c:pt idx="162">
                  <c:v>0.88767123287671235</c:v>
                </c:pt>
                <c:pt idx="163">
                  <c:v>0.89315068493150684</c:v>
                </c:pt>
                <c:pt idx="164">
                  <c:v>0.89863013698630134</c:v>
                </c:pt>
                <c:pt idx="165">
                  <c:v>0.90410958904109584</c:v>
                </c:pt>
                <c:pt idx="166">
                  <c:v>0.90958904109589045</c:v>
                </c:pt>
                <c:pt idx="167">
                  <c:v>0.91506849315068495</c:v>
                </c:pt>
                <c:pt idx="168">
                  <c:v>0.92054794520547945</c:v>
                </c:pt>
                <c:pt idx="169">
                  <c:v>0.92602739726027394</c:v>
                </c:pt>
                <c:pt idx="170">
                  <c:v>0.93150684931506844</c:v>
                </c:pt>
                <c:pt idx="171">
                  <c:v>0.93698630136986305</c:v>
                </c:pt>
                <c:pt idx="172">
                  <c:v>0.94246575342465755</c:v>
                </c:pt>
                <c:pt idx="173">
                  <c:v>0.94794520547945205</c:v>
                </c:pt>
                <c:pt idx="174">
                  <c:v>0.95342465753424654</c:v>
                </c:pt>
                <c:pt idx="175">
                  <c:v>0.95890410958904104</c:v>
                </c:pt>
                <c:pt idx="176">
                  <c:v>0.96438356164383565</c:v>
                </c:pt>
                <c:pt idx="177">
                  <c:v>0.96986301369863015</c:v>
                </c:pt>
                <c:pt idx="178">
                  <c:v>0.97534246575342465</c:v>
                </c:pt>
                <c:pt idx="179">
                  <c:v>0.98082191780821915</c:v>
                </c:pt>
                <c:pt idx="180">
                  <c:v>0.98630136986301364</c:v>
                </c:pt>
                <c:pt idx="181">
                  <c:v>0.99178082191780825</c:v>
                </c:pt>
                <c:pt idx="182">
                  <c:v>0.99726027397260275</c:v>
                </c:pt>
                <c:pt idx="183">
                  <c:v>1.0027397260273974</c:v>
                </c:pt>
                <c:pt idx="184">
                  <c:v>1.0082191780821919</c:v>
                </c:pt>
                <c:pt idx="185">
                  <c:v>1.0136986301369864</c:v>
                </c:pt>
                <c:pt idx="186">
                  <c:v>1.0191780821917809</c:v>
                </c:pt>
                <c:pt idx="187">
                  <c:v>1.0246575342465754</c:v>
                </c:pt>
                <c:pt idx="188">
                  <c:v>1.0301369863013699</c:v>
                </c:pt>
                <c:pt idx="189">
                  <c:v>1.0356164383561643</c:v>
                </c:pt>
                <c:pt idx="190">
                  <c:v>1.0410958904109588</c:v>
                </c:pt>
                <c:pt idx="191">
                  <c:v>1.0465753424657533</c:v>
                </c:pt>
                <c:pt idx="192">
                  <c:v>1.0520547945205478</c:v>
                </c:pt>
                <c:pt idx="193">
                  <c:v>1.0575342465753426</c:v>
                </c:pt>
                <c:pt idx="194">
                  <c:v>1.0630136986301371</c:v>
                </c:pt>
                <c:pt idx="195">
                  <c:v>1.0684931506849316</c:v>
                </c:pt>
                <c:pt idx="196">
                  <c:v>1.0739726027397261</c:v>
                </c:pt>
                <c:pt idx="197">
                  <c:v>1.0794520547945206</c:v>
                </c:pt>
                <c:pt idx="198">
                  <c:v>1.0849315068493151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III_Simulation!$B$5:$B$370</c:f>
              <c:numCache>
                <c:formatCode>General</c:formatCode>
                <c:ptCount val="366"/>
                <c:pt idx="0">
                  <c:v>0</c:v>
                </c:pt>
                <c:pt idx="1">
                  <c:v>-1.#IND</c:v>
                </c:pt>
                <c:pt idx="2">
                  <c:v>-1.#IND</c:v>
                </c:pt>
                <c:pt idx="3">
                  <c:v>-1.#IND</c:v>
                </c:pt>
                <c:pt idx="4">
                  <c:v>-1.#IND</c:v>
                </c:pt>
                <c:pt idx="5">
                  <c:v>-1.#IND</c:v>
                </c:pt>
                <c:pt idx="6">
                  <c:v>-1.#IND</c:v>
                </c:pt>
                <c:pt idx="7">
                  <c:v>-1.#IND</c:v>
                </c:pt>
                <c:pt idx="8">
                  <c:v>-1.#IND</c:v>
                </c:pt>
                <c:pt idx="9">
                  <c:v>-1.#IND</c:v>
                </c:pt>
                <c:pt idx="10">
                  <c:v>-1.#IND</c:v>
                </c:pt>
                <c:pt idx="11">
                  <c:v>-1.#IND</c:v>
                </c:pt>
                <c:pt idx="12">
                  <c:v>-1.#IND</c:v>
                </c:pt>
                <c:pt idx="13">
                  <c:v>-1.#IND</c:v>
                </c:pt>
                <c:pt idx="14">
                  <c:v>-1.#IND</c:v>
                </c:pt>
                <c:pt idx="15">
                  <c:v>-1.#IND</c:v>
                </c:pt>
                <c:pt idx="16">
                  <c:v>-1.#IND</c:v>
                </c:pt>
                <c:pt idx="17">
                  <c:v>-1.#IND</c:v>
                </c:pt>
                <c:pt idx="18">
                  <c:v>-1.#IND</c:v>
                </c:pt>
                <c:pt idx="19">
                  <c:v>-1.#IND</c:v>
                </c:pt>
                <c:pt idx="20">
                  <c:v>-1.#IND</c:v>
                </c:pt>
                <c:pt idx="21">
                  <c:v>-1.#IND</c:v>
                </c:pt>
                <c:pt idx="22">
                  <c:v>-1.#IND</c:v>
                </c:pt>
                <c:pt idx="23">
                  <c:v>-1.#IND</c:v>
                </c:pt>
                <c:pt idx="24">
                  <c:v>-1.#IND</c:v>
                </c:pt>
                <c:pt idx="25">
                  <c:v>-1.#IND</c:v>
                </c:pt>
                <c:pt idx="26">
                  <c:v>-1.#IND</c:v>
                </c:pt>
                <c:pt idx="27">
                  <c:v>-1.#IND</c:v>
                </c:pt>
                <c:pt idx="28">
                  <c:v>-1.#IND</c:v>
                </c:pt>
                <c:pt idx="29">
                  <c:v>-1.#IND</c:v>
                </c:pt>
                <c:pt idx="30">
                  <c:v>-1.#IND</c:v>
                </c:pt>
                <c:pt idx="31">
                  <c:v>-1.#IND</c:v>
                </c:pt>
                <c:pt idx="32">
                  <c:v>-1.#IND</c:v>
                </c:pt>
                <c:pt idx="33">
                  <c:v>-1.#IND</c:v>
                </c:pt>
                <c:pt idx="34">
                  <c:v>-1.#IND</c:v>
                </c:pt>
                <c:pt idx="35">
                  <c:v>-1.#IND</c:v>
                </c:pt>
                <c:pt idx="36">
                  <c:v>-1.#IND</c:v>
                </c:pt>
                <c:pt idx="37">
                  <c:v>-1.#IND</c:v>
                </c:pt>
                <c:pt idx="38">
                  <c:v>-1.#IND</c:v>
                </c:pt>
                <c:pt idx="39">
                  <c:v>-1.#IND</c:v>
                </c:pt>
                <c:pt idx="40">
                  <c:v>-1.#IND</c:v>
                </c:pt>
                <c:pt idx="41">
                  <c:v>-1.#IND</c:v>
                </c:pt>
                <c:pt idx="42">
                  <c:v>-1.#IND</c:v>
                </c:pt>
                <c:pt idx="43">
                  <c:v>-1.#IND</c:v>
                </c:pt>
                <c:pt idx="44">
                  <c:v>-1.#IND</c:v>
                </c:pt>
                <c:pt idx="45">
                  <c:v>-1.#IND</c:v>
                </c:pt>
                <c:pt idx="46">
                  <c:v>-1.#IND</c:v>
                </c:pt>
                <c:pt idx="47">
                  <c:v>-1.#IND</c:v>
                </c:pt>
                <c:pt idx="48">
                  <c:v>-1.#IND</c:v>
                </c:pt>
                <c:pt idx="49">
                  <c:v>-1.#IND</c:v>
                </c:pt>
                <c:pt idx="50">
                  <c:v>-1.#IND</c:v>
                </c:pt>
                <c:pt idx="51">
                  <c:v>-1.#IND</c:v>
                </c:pt>
                <c:pt idx="52">
                  <c:v>-1.#IND</c:v>
                </c:pt>
                <c:pt idx="53">
                  <c:v>-1.#IND</c:v>
                </c:pt>
                <c:pt idx="54">
                  <c:v>-1.#IND</c:v>
                </c:pt>
                <c:pt idx="55">
                  <c:v>-1.#IND</c:v>
                </c:pt>
                <c:pt idx="56">
                  <c:v>-1.#IND</c:v>
                </c:pt>
                <c:pt idx="57">
                  <c:v>-1.#IND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F9-4818-8F7C-0598FDD624C5}"/>
            </c:ext>
          </c:extLst>
        </c:ser>
        <c:ser>
          <c:idx val="2"/>
          <c:order val="1"/>
          <c:tx>
            <c:strRef>
              <c:f>III_Simulation!$C$4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cat>
            <c:numRef>
              <c:f>III_Simulation!$A$5:$A$370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5.4794520547945206E-3</c:v>
                </c:pt>
                <c:pt idx="2">
                  <c:v>1.0958904109589041E-2</c:v>
                </c:pt>
                <c:pt idx="3">
                  <c:v>1.643835616438356E-2</c:v>
                </c:pt>
                <c:pt idx="4">
                  <c:v>2.1917808219178082E-2</c:v>
                </c:pt>
                <c:pt idx="5">
                  <c:v>2.7397260273972601E-2</c:v>
                </c:pt>
                <c:pt idx="6">
                  <c:v>3.287671232876712E-2</c:v>
                </c:pt>
                <c:pt idx="7">
                  <c:v>3.8356164383561646E-2</c:v>
                </c:pt>
                <c:pt idx="8">
                  <c:v>4.3835616438356165E-2</c:v>
                </c:pt>
                <c:pt idx="9">
                  <c:v>4.9315068493150684E-2</c:v>
                </c:pt>
                <c:pt idx="10">
                  <c:v>5.4794520547945202E-2</c:v>
                </c:pt>
                <c:pt idx="11">
                  <c:v>6.0273972602739728E-2</c:v>
                </c:pt>
                <c:pt idx="12">
                  <c:v>6.575342465753424E-2</c:v>
                </c:pt>
                <c:pt idx="13">
                  <c:v>7.1232876712328766E-2</c:v>
                </c:pt>
                <c:pt idx="14">
                  <c:v>7.6712328767123292E-2</c:v>
                </c:pt>
                <c:pt idx="15">
                  <c:v>8.2191780821917804E-2</c:v>
                </c:pt>
                <c:pt idx="16">
                  <c:v>8.7671232876712329E-2</c:v>
                </c:pt>
                <c:pt idx="17">
                  <c:v>9.3150684931506855E-2</c:v>
                </c:pt>
                <c:pt idx="18">
                  <c:v>9.8630136986301367E-2</c:v>
                </c:pt>
                <c:pt idx="19">
                  <c:v>0.10410958904109589</c:v>
                </c:pt>
                <c:pt idx="20">
                  <c:v>0.1095890410958904</c:v>
                </c:pt>
                <c:pt idx="21">
                  <c:v>0.11506849315068493</c:v>
                </c:pt>
                <c:pt idx="22">
                  <c:v>0.12054794520547946</c:v>
                </c:pt>
                <c:pt idx="23">
                  <c:v>0.12602739726027398</c:v>
                </c:pt>
                <c:pt idx="24">
                  <c:v>0.13150684931506848</c:v>
                </c:pt>
                <c:pt idx="25">
                  <c:v>0.13698630136986301</c:v>
                </c:pt>
                <c:pt idx="26">
                  <c:v>0.14246575342465753</c:v>
                </c:pt>
                <c:pt idx="27">
                  <c:v>0.14794520547945206</c:v>
                </c:pt>
                <c:pt idx="28">
                  <c:v>0.15342465753424658</c:v>
                </c:pt>
                <c:pt idx="29">
                  <c:v>0.15890410958904111</c:v>
                </c:pt>
                <c:pt idx="30">
                  <c:v>0.16438356164383561</c:v>
                </c:pt>
                <c:pt idx="31">
                  <c:v>0.16986301369863013</c:v>
                </c:pt>
                <c:pt idx="32">
                  <c:v>0.17534246575342466</c:v>
                </c:pt>
                <c:pt idx="33">
                  <c:v>0.18082191780821918</c:v>
                </c:pt>
                <c:pt idx="34">
                  <c:v>0.18630136986301371</c:v>
                </c:pt>
                <c:pt idx="35">
                  <c:v>0.19178082191780821</c:v>
                </c:pt>
                <c:pt idx="36">
                  <c:v>0.19726027397260273</c:v>
                </c:pt>
                <c:pt idx="37">
                  <c:v>0.20273972602739726</c:v>
                </c:pt>
                <c:pt idx="38">
                  <c:v>0.20821917808219179</c:v>
                </c:pt>
                <c:pt idx="39">
                  <c:v>0.21369863013698631</c:v>
                </c:pt>
                <c:pt idx="40">
                  <c:v>0.21917808219178081</c:v>
                </c:pt>
                <c:pt idx="41">
                  <c:v>0.22465753424657534</c:v>
                </c:pt>
                <c:pt idx="42">
                  <c:v>0.23013698630136986</c:v>
                </c:pt>
                <c:pt idx="43">
                  <c:v>0.23561643835616439</c:v>
                </c:pt>
                <c:pt idx="44">
                  <c:v>0.24109589041095891</c:v>
                </c:pt>
                <c:pt idx="45">
                  <c:v>0.24657534246575341</c:v>
                </c:pt>
                <c:pt idx="46">
                  <c:v>0.25205479452054796</c:v>
                </c:pt>
                <c:pt idx="47">
                  <c:v>0.25753424657534246</c:v>
                </c:pt>
                <c:pt idx="48">
                  <c:v>0.26301369863013696</c:v>
                </c:pt>
                <c:pt idx="49">
                  <c:v>0.26849315068493151</c:v>
                </c:pt>
                <c:pt idx="50">
                  <c:v>0.27397260273972601</c:v>
                </c:pt>
                <c:pt idx="51">
                  <c:v>0.27945205479452057</c:v>
                </c:pt>
                <c:pt idx="52">
                  <c:v>0.28493150684931506</c:v>
                </c:pt>
                <c:pt idx="53">
                  <c:v>0.29041095890410956</c:v>
                </c:pt>
                <c:pt idx="54">
                  <c:v>0.29589041095890412</c:v>
                </c:pt>
                <c:pt idx="55">
                  <c:v>0.30136986301369861</c:v>
                </c:pt>
                <c:pt idx="56">
                  <c:v>0.30684931506849317</c:v>
                </c:pt>
                <c:pt idx="57">
                  <c:v>0.31232876712328766</c:v>
                </c:pt>
                <c:pt idx="58">
                  <c:v>0.31780821917808222</c:v>
                </c:pt>
                <c:pt idx="59">
                  <c:v>0.32328767123287672</c:v>
                </c:pt>
                <c:pt idx="60">
                  <c:v>0.32876712328767121</c:v>
                </c:pt>
                <c:pt idx="61">
                  <c:v>0.33424657534246577</c:v>
                </c:pt>
                <c:pt idx="62">
                  <c:v>0.33972602739726027</c:v>
                </c:pt>
                <c:pt idx="63">
                  <c:v>0.34520547945205482</c:v>
                </c:pt>
                <c:pt idx="64">
                  <c:v>0.35068493150684932</c:v>
                </c:pt>
                <c:pt idx="65">
                  <c:v>0.35616438356164382</c:v>
                </c:pt>
                <c:pt idx="66">
                  <c:v>0.36164383561643837</c:v>
                </c:pt>
                <c:pt idx="67">
                  <c:v>0.36712328767123287</c:v>
                </c:pt>
                <c:pt idx="68">
                  <c:v>0.37260273972602742</c:v>
                </c:pt>
                <c:pt idx="69">
                  <c:v>0.37808219178082192</c:v>
                </c:pt>
                <c:pt idx="70">
                  <c:v>0.38356164383561642</c:v>
                </c:pt>
                <c:pt idx="71">
                  <c:v>0.38904109589041097</c:v>
                </c:pt>
                <c:pt idx="72">
                  <c:v>0.39452054794520547</c:v>
                </c:pt>
                <c:pt idx="73">
                  <c:v>0.4</c:v>
                </c:pt>
                <c:pt idx="74">
                  <c:v>0.40547945205479452</c:v>
                </c:pt>
                <c:pt idx="75">
                  <c:v>0.41095890410958902</c:v>
                </c:pt>
                <c:pt idx="76">
                  <c:v>0.41643835616438357</c:v>
                </c:pt>
                <c:pt idx="77">
                  <c:v>0.42191780821917807</c:v>
                </c:pt>
                <c:pt idx="78">
                  <c:v>0.42739726027397262</c:v>
                </c:pt>
                <c:pt idx="79">
                  <c:v>0.43287671232876712</c:v>
                </c:pt>
                <c:pt idx="80">
                  <c:v>0.43835616438356162</c:v>
                </c:pt>
                <c:pt idx="81">
                  <c:v>0.44383561643835617</c:v>
                </c:pt>
                <c:pt idx="82">
                  <c:v>0.44931506849315067</c:v>
                </c:pt>
                <c:pt idx="83">
                  <c:v>0.45479452054794522</c:v>
                </c:pt>
                <c:pt idx="84">
                  <c:v>0.46027397260273972</c:v>
                </c:pt>
                <c:pt idx="85">
                  <c:v>0.46575342465753422</c:v>
                </c:pt>
                <c:pt idx="86">
                  <c:v>0.47123287671232877</c:v>
                </c:pt>
                <c:pt idx="87">
                  <c:v>0.47671232876712327</c:v>
                </c:pt>
                <c:pt idx="88">
                  <c:v>0.48219178082191783</c:v>
                </c:pt>
                <c:pt idx="89">
                  <c:v>0.48767123287671232</c:v>
                </c:pt>
                <c:pt idx="90">
                  <c:v>0.49315068493150682</c:v>
                </c:pt>
                <c:pt idx="91">
                  <c:v>0.49863013698630138</c:v>
                </c:pt>
                <c:pt idx="92">
                  <c:v>0.50410958904109593</c:v>
                </c:pt>
                <c:pt idx="93">
                  <c:v>0.50958904109589043</c:v>
                </c:pt>
                <c:pt idx="94">
                  <c:v>0.51506849315068493</c:v>
                </c:pt>
                <c:pt idx="95">
                  <c:v>0.52054794520547942</c:v>
                </c:pt>
                <c:pt idx="96">
                  <c:v>0.52602739726027392</c:v>
                </c:pt>
                <c:pt idx="97">
                  <c:v>0.53150684931506853</c:v>
                </c:pt>
                <c:pt idx="98">
                  <c:v>0.53698630136986303</c:v>
                </c:pt>
                <c:pt idx="99">
                  <c:v>0.54246575342465753</c:v>
                </c:pt>
                <c:pt idx="100">
                  <c:v>0.54794520547945202</c:v>
                </c:pt>
                <c:pt idx="101">
                  <c:v>0.55342465753424652</c:v>
                </c:pt>
                <c:pt idx="102">
                  <c:v>0.55890410958904113</c:v>
                </c:pt>
                <c:pt idx="103">
                  <c:v>0.56438356164383563</c:v>
                </c:pt>
                <c:pt idx="104">
                  <c:v>0.56986301369863013</c:v>
                </c:pt>
                <c:pt idx="105">
                  <c:v>0.57534246575342463</c:v>
                </c:pt>
                <c:pt idx="106">
                  <c:v>0.58082191780821912</c:v>
                </c:pt>
                <c:pt idx="107">
                  <c:v>0.58630136986301373</c:v>
                </c:pt>
                <c:pt idx="108">
                  <c:v>0.59178082191780823</c:v>
                </c:pt>
                <c:pt idx="109">
                  <c:v>0.59726027397260273</c:v>
                </c:pt>
                <c:pt idx="110">
                  <c:v>0.60273972602739723</c:v>
                </c:pt>
                <c:pt idx="111">
                  <c:v>0.60821917808219184</c:v>
                </c:pt>
                <c:pt idx="112">
                  <c:v>0.61369863013698633</c:v>
                </c:pt>
                <c:pt idx="113">
                  <c:v>0.61917808219178083</c:v>
                </c:pt>
                <c:pt idx="114">
                  <c:v>0.62465753424657533</c:v>
                </c:pt>
                <c:pt idx="115">
                  <c:v>0.63013698630136983</c:v>
                </c:pt>
                <c:pt idx="116">
                  <c:v>0.63561643835616444</c:v>
                </c:pt>
                <c:pt idx="117">
                  <c:v>0.64109589041095894</c:v>
                </c:pt>
                <c:pt idx="118">
                  <c:v>0.64657534246575343</c:v>
                </c:pt>
                <c:pt idx="119">
                  <c:v>0.65205479452054793</c:v>
                </c:pt>
                <c:pt idx="120">
                  <c:v>0.65753424657534243</c:v>
                </c:pt>
                <c:pt idx="121">
                  <c:v>0.66301369863013704</c:v>
                </c:pt>
                <c:pt idx="122">
                  <c:v>0.66849315068493154</c:v>
                </c:pt>
                <c:pt idx="123">
                  <c:v>0.67397260273972603</c:v>
                </c:pt>
                <c:pt idx="124">
                  <c:v>0.67945205479452053</c:v>
                </c:pt>
                <c:pt idx="125">
                  <c:v>0.68493150684931503</c:v>
                </c:pt>
                <c:pt idx="126">
                  <c:v>0.69041095890410964</c:v>
                </c:pt>
                <c:pt idx="127">
                  <c:v>0.69589041095890414</c:v>
                </c:pt>
                <c:pt idx="128">
                  <c:v>0.70136986301369864</c:v>
                </c:pt>
                <c:pt idx="129">
                  <c:v>0.70684931506849313</c:v>
                </c:pt>
                <c:pt idx="130">
                  <c:v>0.71232876712328763</c:v>
                </c:pt>
                <c:pt idx="131">
                  <c:v>0.71780821917808224</c:v>
                </c:pt>
                <c:pt idx="132">
                  <c:v>0.72328767123287674</c:v>
                </c:pt>
                <c:pt idx="133">
                  <c:v>0.72876712328767124</c:v>
                </c:pt>
                <c:pt idx="134">
                  <c:v>0.73424657534246573</c:v>
                </c:pt>
                <c:pt idx="135">
                  <c:v>0.73972602739726023</c:v>
                </c:pt>
                <c:pt idx="136">
                  <c:v>0.74520547945205484</c:v>
                </c:pt>
                <c:pt idx="137">
                  <c:v>0.75068493150684934</c:v>
                </c:pt>
                <c:pt idx="138">
                  <c:v>0.75616438356164384</c:v>
                </c:pt>
                <c:pt idx="139">
                  <c:v>0.76164383561643834</c:v>
                </c:pt>
                <c:pt idx="140">
                  <c:v>0.76712328767123283</c:v>
                </c:pt>
                <c:pt idx="141">
                  <c:v>0.77260273972602744</c:v>
                </c:pt>
                <c:pt idx="142">
                  <c:v>0.77808219178082194</c:v>
                </c:pt>
                <c:pt idx="143">
                  <c:v>0.78356164383561644</c:v>
                </c:pt>
                <c:pt idx="144">
                  <c:v>0.78904109589041094</c:v>
                </c:pt>
                <c:pt idx="145">
                  <c:v>0.79452054794520544</c:v>
                </c:pt>
                <c:pt idx="146">
                  <c:v>0.8</c:v>
                </c:pt>
                <c:pt idx="147">
                  <c:v>0.80547945205479454</c:v>
                </c:pt>
                <c:pt idx="148">
                  <c:v>0.81095890410958904</c:v>
                </c:pt>
                <c:pt idx="149">
                  <c:v>0.81643835616438354</c:v>
                </c:pt>
                <c:pt idx="150">
                  <c:v>0.82191780821917804</c:v>
                </c:pt>
                <c:pt idx="151">
                  <c:v>0.82739726027397265</c:v>
                </c:pt>
                <c:pt idx="152">
                  <c:v>0.83287671232876714</c:v>
                </c:pt>
                <c:pt idx="153">
                  <c:v>0.83835616438356164</c:v>
                </c:pt>
                <c:pt idx="154">
                  <c:v>0.84383561643835614</c:v>
                </c:pt>
                <c:pt idx="155">
                  <c:v>0.84931506849315064</c:v>
                </c:pt>
                <c:pt idx="156">
                  <c:v>0.85479452054794525</c:v>
                </c:pt>
                <c:pt idx="157">
                  <c:v>0.86027397260273974</c:v>
                </c:pt>
                <c:pt idx="158">
                  <c:v>0.86575342465753424</c:v>
                </c:pt>
                <c:pt idx="159">
                  <c:v>0.87123287671232874</c:v>
                </c:pt>
                <c:pt idx="160">
                  <c:v>0.87671232876712324</c:v>
                </c:pt>
                <c:pt idx="161">
                  <c:v>0.88219178082191785</c:v>
                </c:pt>
                <c:pt idx="162">
                  <c:v>0.88767123287671235</c:v>
                </c:pt>
                <c:pt idx="163">
                  <c:v>0.89315068493150684</c:v>
                </c:pt>
                <c:pt idx="164">
                  <c:v>0.89863013698630134</c:v>
                </c:pt>
                <c:pt idx="165">
                  <c:v>0.90410958904109584</c:v>
                </c:pt>
                <c:pt idx="166">
                  <c:v>0.90958904109589045</c:v>
                </c:pt>
                <c:pt idx="167">
                  <c:v>0.91506849315068495</c:v>
                </c:pt>
                <c:pt idx="168">
                  <c:v>0.92054794520547945</c:v>
                </c:pt>
                <c:pt idx="169">
                  <c:v>0.92602739726027394</c:v>
                </c:pt>
                <c:pt idx="170">
                  <c:v>0.93150684931506844</c:v>
                </c:pt>
                <c:pt idx="171">
                  <c:v>0.93698630136986305</c:v>
                </c:pt>
                <c:pt idx="172">
                  <c:v>0.94246575342465755</c:v>
                </c:pt>
                <c:pt idx="173">
                  <c:v>0.94794520547945205</c:v>
                </c:pt>
                <c:pt idx="174">
                  <c:v>0.95342465753424654</c:v>
                </c:pt>
                <c:pt idx="175">
                  <c:v>0.95890410958904104</c:v>
                </c:pt>
                <c:pt idx="176">
                  <c:v>0.96438356164383565</c:v>
                </c:pt>
                <c:pt idx="177">
                  <c:v>0.96986301369863015</c:v>
                </c:pt>
                <c:pt idx="178">
                  <c:v>0.97534246575342465</c:v>
                </c:pt>
                <c:pt idx="179">
                  <c:v>0.98082191780821915</c:v>
                </c:pt>
                <c:pt idx="180">
                  <c:v>0.98630136986301364</c:v>
                </c:pt>
                <c:pt idx="181">
                  <c:v>0.99178082191780825</c:v>
                </c:pt>
                <c:pt idx="182">
                  <c:v>0.99726027397260275</c:v>
                </c:pt>
                <c:pt idx="183">
                  <c:v>1.0027397260273974</c:v>
                </c:pt>
                <c:pt idx="184">
                  <c:v>1.0082191780821919</c:v>
                </c:pt>
                <c:pt idx="185">
                  <c:v>1.0136986301369864</c:v>
                </c:pt>
                <c:pt idx="186">
                  <c:v>1.0191780821917809</c:v>
                </c:pt>
                <c:pt idx="187">
                  <c:v>1.0246575342465754</c:v>
                </c:pt>
                <c:pt idx="188">
                  <c:v>1.0301369863013699</c:v>
                </c:pt>
                <c:pt idx="189">
                  <c:v>1.0356164383561643</c:v>
                </c:pt>
                <c:pt idx="190">
                  <c:v>1.0410958904109588</c:v>
                </c:pt>
                <c:pt idx="191">
                  <c:v>1.0465753424657533</c:v>
                </c:pt>
                <c:pt idx="192">
                  <c:v>1.0520547945205478</c:v>
                </c:pt>
                <c:pt idx="193">
                  <c:v>1.0575342465753426</c:v>
                </c:pt>
                <c:pt idx="194">
                  <c:v>1.0630136986301371</c:v>
                </c:pt>
                <c:pt idx="195">
                  <c:v>1.0684931506849316</c:v>
                </c:pt>
                <c:pt idx="196">
                  <c:v>1.0739726027397261</c:v>
                </c:pt>
                <c:pt idx="197">
                  <c:v>1.0794520547945206</c:v>
                </c:pt>
                <c:pt idx="198">
                  <c:v>1.0849315068493151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III_Simulation!$C$5:$C$370</c:f>
              <c:numCache>
                <c:formatCode>General</c:formatCode>
                <c:ptCount val="366"/>
                <c:pt idx="0">
                  <c:v>0</c:v>
                </c:pt>
                <c:pt idx="1">
                  <c:v>-1.#IND</c:v>
                </c:pt>
                <c:pt idx="2">
                  <c:v>-1.#IND</c:v>
                </c:pt>
                <c:pt idx="3">
                  <c:v>-1.#IND</c:v>
                </c:pt>
                <c:pt idx="4">
                  <c:v>-1.#IND</c:v>
                </c:pt>
                <c:pt idx="5">
                  <c:v>-1.#IND</c:v>
                </c:pt>
                <c:pt idx="6">
                  <c:v>-1.#IND</c:v>
                </c:pt>
                <c:pt idx="7">
                  <c:v>-1.#IND</c:v>
                </c:pt>
                <c:pt idx="8">
                  <c:v>-1.#IND</c:v>
                </c:pt>
                <c:pt idx="9">
                  <c:v>-1.#IND</c:v>
                </c:pt>
                <c:pt idx="10">
                  <c:v>-1.#IND</c:v>
                </c:pt>
                <c:pt idx="11">
                  <c:v>-1.#IND</c:v>
                </c:pt>
                <c:pt idx="12">
                  <c:v>-1.#IND</c:v>
                </c:pt>
                <c:pt idx="13">
                  <c:v>-1.#IND</c:v>
                </c:pt>
                <c:pt idx="14">
                  <c:v>-1.#IND</c:v>
                </c:pt>
                <c:pt idx="15">
                  <c:v>-1.#IND</c:v>
                </c:pt>
                <c:pt idx="16">
                  <c:v>-1.#IND</c:v>
                </c:pt>
                <c:pt idx="17">
                  <c:v>-1.#IND</c:v>
                </c:pt>
                <c:pt idx="18">
                  <c:v>-1.#IND</c:v>
                </c:pt>
                <c:pt idx="19">
                  <c:v>-1.#IND</c:v>
                </c:pt>
                <c:pt idx="20">
                  <c:v>-1.#IND</c:v>
                </c:pt>
                <c:pt idx="21">
                  <c:v>-1.#IND</c:v>
                </c:pt>
                <c:pt idx="22">
                  <c:v>-1.#IND</c:v>
                </c:pt>
                <c:pt idx="23">
                  <c:v>-1.#IND</c:v>
                </c:pt>
                <c:pt idx="24">
                  <c:v>-1.#IND</c:v>
                </c:pt>
                <c:pt idx="25">
                  <c:v>-1.#IND</c:v>
                </c:pt>
                <c:pt idx="26">
                  <c:v>-1.#IND</c:v>
                </c:pt>
                <c:pt idx="27">
                  <c:v>-1.#IND</c:v>
                </c:pt>
                <c:pt idx="28">
                  <c:v>-1.#IND</c:v>
                </c:pt>
                <c:pt idx="29">
                  <c:v>-1.#IND</c:v>
                </c:pt>
                <c:pt idx="30">
                  <c:v>-1.#IND</c:v>
                </c:pt>
                <c:pt idx="31">
                  <c:v>-1.#IND</c:v>
                </c:pt>
                <c:pt idx="32">
                  <c:v>-1.#IND</c:v>
                </c:pt>
                <c:pt idx="33">
                  <c:v>-1.#IND</c:v>
                </c:pt>
                <c:pt idx="34">
                  <c:v>-1.#IND</c:v>
                </c:pt>
                <c:pt idx="35">
                  <c:v>-1.#IND</c:v>
                </c:pt>
                <c:pt idx="36">
                  <c:v>-1.#IND</c:v>
                </c:pt>
                <c:pt idx="37">
                  <c:v>-1.#IND</c:v>
                </c:pt>
                <c:pt idx="38">
                  <c:v>-1.#IND</c:v>
                </c:pt>
                <c:pt idx="39">
                  <c:v>-1.#IND</c:v>
                </c:pt>
                <c:pt idx="40">
                  <c:v>-1.#IND</c:v>
                </c:pt>
                <c:pt idx="41">
                  <c:v>-1.#IND</c:v>
                </c:pt>
                <c:pt idx="42">
                  <c:v>-1.#IND</c:v>
                </c:pt>
                <c:pt idx="43">
                  <c:v>-1.#IND</c:v>
                </c:pt>
                <c:pt idx="44">
                  <c:v>-1.#IND</c:v>
                </c:pt>
                <c:pt idx="45">
                  <c:v>-1.#IND</c:v>
                </c:pt>
                <c:pt idx="46">
                  <c:v>-1.#IND</c:v>
                </c:pt>
                <c:pt idx="47">
                  <c:v>-1.#IND</c:v>
                </c:pt>
                <c:pt idx="48">
                  <c:v>-1.#IND</c:v>
                </c:pt>
                <c:pt idx="49">
                  <c:v>-1.#IND</c:v>
                </c:pt>
                <c:pt idx="50">
                  <c:v>-1.#IND</c:v>
                </c:pt>
                <c:pt idx="51">
                  <c:v>-1.#IND</c:v>
                </c:pt>
                <c:pt idx="52">
                  <c:v>-1.#IND</c:v>
                </c:pt>
                <c:pt idx="53">
                  <c:v>-1.#IND</c:v>
                </c:pt>
                <c:pt idx="54">
                  <c:v>-1.#IND</c:v>
                </c:pt>
                <c:pt idx="55">
                  <c:v>-1.#IND</c:v>
                </c:pt>
                <c:pt idx="56">
                  <c:v>-1.#IND</c:v>
                </c:pt>
                <c:pt idx="57">
                  <c:v>-1.#IND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F9-4818-8F7C-0598FDD62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294016"/>
        <c:axId val="182295552"/>
      </c:lineChart>
      <c:catAx>
        <c:axId val="182294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295552"/>
        <c:crosses val="autoZero"/>
        <c:auto val="1"/>
        <c:lblAlgn val="ctr"/>
        <c:lblOffset val="100"/>
        <c:noMultiLvlLbl val="0"/>
      </c:catAx>
      <c:valAx>
        <c:axId val="182295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294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315686</xdr:colOff>
      <xdr:row>97</xdr:row>
      <xdr:rowOff>103415</xdr:rowOff>
    </xdr:from>
    <xdr:to>
      <xdr:col>29</xdr:col>
      <xdr:colOff>468085</xdr:colOff>
      <xdr:row>133</xdr:row>
      <xdr:rowOff>54430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138052</xdr:colOff>
      <xdr:row>91</xdr:row>
      <xdr:rowOff>165846</xdr:rowOff>
    </xdr:from>
    <xdr:to>
      <xdr:col>19</xdr:col>
      <xdr:colOff>131330</xdr:colOff>
      <xdr:row>115</xdr:row>
      <xdr:rowOff>53787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125507</xdr:colOff>
      <xdr:row>130</xdr:row>
      <xdr:rowOff>80681</xdr:rowOff>
    </xdr:from>
    <xdr:to>
      <xdr:col>25</xdr:col>
      <xdr:colOff>259977</xdr:colOff>
      <xdr:row>161</xdr:row>
      <xdr:rowOff>62753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22</xdr:row>
      <xdr:rowOff>137160</xdr:rowOff>
    </xdr:from>
    <xdr:to>
      <xdr:col>13</xdr:col>
      <xdr:colOff>106680</xdr:colOff>
      <xdr:row>40</xdr:row>
      <xdr:rowOff>167640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480060</xdr:colOff>
      <xdr:row>1</xdr:row>
      <xdr:rowOff>160020</xdr:rowOff>
    </xdr:from>
    <xdr:to>
      <xdr:col>42</xdr:col>
      <xdr:colOff>449580</xdr:colOff>
      <xdr:row>20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24</xdr:col>
      <xdr:colOff>45720</xdr:colOff>
      <xdr:row>28</xdr:row>
      <xdr:rowOff>137160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estonModelsCalibrato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L Curve"/>
      <sheetName val="EURUSDLocalVol"/>
      <sheetName val="GBPUSDLocalVol"/>
      <sheetName val="EURGBPLocalVol"/>
      <sheetName val="Model"/>
      <sheetName val="MCSimulation"/>
      <sheetName val="PhoenixAutocall"/>
      <sheetName val="FitOfSmile"/>
      <sheetName val="FitOfSmileCheckAsset1"/>
      <sheetName val="VisualizationLocalCorr"/>
    </sheetNames>
    <sheetDataSet>
      <sheetData sheetId="0">
        <row r="6">
          <cell r="D6">
            <v>43069</v>
          </cell>
        </row>
      </sheetData>
      <sheetData sheetId="1">
        <row r="7">
          <cell r="G7" t="str">
            <v>Target</v>
          </cell>
        </row>
        <row r="8">
          <cell r="G8" t="str">
            <v>Modified Following</v>
          </cell>
        </row>
        <row r="11">
          <cell r="G11" t="str">
            <v>Act/365 (Fixed)</v>
          </cell>
        </row>
        <row r="12">
          <cell r="G12">
            <v>1.1903999999999999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stonModels"/>
      <sheetName val="HestonCal"/>
      <sheetName val="Sheet1"/>
      <sheetName val="LocalVolCal"/>
      <sheetName val="HestonSLVmodel"/>
    </sheetNames>
    <sheetDataSet>
      <sheetData sheetId="0">
        <row r="2">
          <cell r="I2" t="str">
            <v>obj_00000#0001</v>
          </cell>
        </row>
      </sheetData>
      <sheetData sheetId="1">
        <row r="6">
          <cell r="Q6">
            <v>0.99353544955456108</v>
          </cell>
        </row>
      </sheetData>
      <sheetData sheetId="2"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 t="str">
            <v>reset</v>
          </cell>
        </row>
      </sheetData>
      <sheetData sheetId="3">
        <row r="7">
          <cell r="AH7" t="str">
            <v>obj_0041a#0001</v>
          </cell>
        </row>
      </sheetData>
      <sheetData sheetId="4">
        <row r="1">
          <cell r="F1" t="str">
            <v>obj_0044a#0001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5" sqref="A5"/>
    </sheetView>
  </sheetViews>
  <sheetFormatPr defaultRowHeight="13.8"/>
  <cols>
    <col min="1" max="1" width="2.21875" style="355" customWidth="1"/>
    <col min="2" max="2" width="3" style="355" customWidth="1"/>
    <col min="3" max="3" width="2.5546875" style="355" customWidth="1"/>
    <col min="4" max="16384" width="8.88671875" style="355"/>
  </cols>
  <sheetData>
    <row r="1" spans="1:2" ht="18">
      <c r="A1" s="354" t="s">
        <v>220</v>
      </c>
    </row>
    <row r="3" spans="1:2">
      <c r="A3" s="355" t="s">
        <v>229</v>
      </c>
    </row>
    <row r="4" spans="1:2">
      <c r="A4" s="355" t="s">
        <v>230</v>
      </c>
    </row>
    <row r="5" spans="1:2">
      <c r="A5" s="356"/>
    </row>
    <row r="12" spans="1:2">
      <c r="B12" s="357"/>
    </row>
    <row r="13" spans="1:2">
      <c r="B13" s="357"/>
    </row>
    <row r="14" spans="1:2">
      <c r="B14" s="357"/>
    </row>
    <row r="15" spans="1:2">
      <c r="B15" s="357"/>
    </row>
    <row r="16" spans="1:2">
      <c r="B16" s="357"/>
    </row>
    <row r="17" spans="2:2">
      <c r="B17" s="357"/>
    </row>
    <row r="18" spans="2:2">
      <c r="B18" s="357"/>
    </row>
    <row r="19" spans="2:2">
      <c r="B19" s="357"/>
    </row>
    <row r="20" spans="2:2">
      <c r="B20" s="357"/>
    </row>
    <row r="21" spans="2:2">
      <c r="B21" s="357"/>
    </row>
    <row r="22" spans="2:2">
      <c r="B22" s="357"/>
    </row>
    <row r="23" spans="2:2">
      <c r="B23" s="357"/>
    </row>
    <row r="24" spans="2:2">
      <c r="B24" s="357"/>
    </row>
    <row r="25" spans="2:2">
      <c r="B25" s="357"/>
    </row>
    <row r="27" spans="2:2">
      <c r="B27" s="357"/>
    </row>
    <row r="38" spans="4:4">
      <c r="D38" s="356"/>
    </row>
    <row r="43" spans="4:4">
      <c r="D43" s="35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I15"/>
  <sheetViews>
    <sheetView showGridLines="0" workbookViewId="0">
      <selection activeCell="D29" sqref="D29"/>
    </sheetView>
  </sheetViews>
  <sheetFormatPr defaultRowHeight="13.8"/>
  <cols>
    <col min="2" max="2" width="15.44140625" customWidth="1"/>
    <col min="3" max="3" width="14.77734375" customWidth="1"/>
    <col min="5" max="5" width="14.33203125" bestFit="1" customWidth="1"/>
    <col min="8" max="8" width="10.109375" bestFit="1" customWidth="1"/>
  </cols>
  <sheetData>
    <row r="2" spans="2:9">
      <c r="B2" s="4" t="s">
        <v>26</v>
      </c>
      <c r="C2" s="45">
        <v>43018</v>
      </c>
    </row>
    <row r="3" spans="2:9">
      <c r="B3" s="10" t="s">
        <v>27</v>
      </c>
      <c r="C3" s="46" t="b">
        <f>_xll.qlSettingsSetEvaluationDate(C2)</f>
        <v>1</v>
      </c>
    </row>
    <row r="5" spans="2:9" ht="14.4">
      <c r="B5" s="247" t="s">
        <v>23</v>
      </c>
      <c r="C5" s="248">
        <v>0</v>
      </c>
      <c r="D5" s="249" t="str">
        <f>_xll.qlFlatForward(,,"NullCalendar",C5)</f>
        <v>obj_00011#0002</v>
      </c>
      <c r="E5" s="253" t="str">
        <f>_xll.qlInterpolatedYieldCurve(,H5:H6,I5:I6,"TARGET","Actual/365 (Fixed)",,,"ZeroYield","Linear")</f>
        <v>obj_00023#0002</v>
      </c>
      <c r="H5" s="250">
        <f>C2</f>
        <v>43018</v>
      </c>
      <c r="I5" s="251">
        <v>0</v>
      </c>
    </row>
    <row r="6" spans="2:9" ht="14.4">
      <c r="B6" s="7" t="s">
        <v>158</v>
      </c>
      <c r="C6" s="8">
        <v>0</v>
      </c>
      <c r="D6" s="232" t="str">
        <f>_xll.qlFlatForward(,,"NullCalendar",C6)</f>
        <v>obj_00014#0002</v>
      </c>
      <c r="E6" s="254" t="str">
        <f>E5</f>
        <v>obj_00023#0002</v>
      </c>
      <c r="H6" s="252">
        <f>C2+36500</f>
        <v>79518</v>
      </c>
      <c r="I6" s="245">
        <v>0</v>
      </c>
    </row>
    <row r="7" spans="2:9">
      <c r="B7" s="7" t="s">
        <v>159</v>
      </c>
      <c r="C7" s="8">
        <v>0</v>
      </c>
      <c r="D7" s="232" t="str">
        <f>_xll.qlFlatForward(,,"NullCalendar",C7)</f>
        <v>obj_0000d#0002</v>
      </c>
      <c r="E7" s="254" t="str">
        <f>E6</f>
        <v>obj_00023#0002</v>
      </c>
    </row>
    <row r="8" spans="2:9">
      <c r="B8" s="10" t="s">
        <v>160</v>
      </c>
      <c r="C8" s="11">
        <v>0</v>
      </c>
      <c r="D8" s="12" t="str">
        <f>_xll.qlFlatForward(,,"NullCalendar",C8)</f>
        <v>obj_00018#0002</v>
      </c>
      <c r="E8" s="107" t="str">
        <f>E7</f>
        <v>obj_00023#0002</v>
      </c>
    </row>
    <row r="10" spans="2:9">
      <c r="B10" s="247" t="s">
        <v>224</v>
      </c>
      <c r="C10" s="359">
        <v>19</v>
      </c>
    </row>
    <row r="11" spans="2:9">
      <c r="B11" s="236" t="s">
        <v>225</v>
      </c>
      <c r="C11" s="360">
        <v>18</v>
      </c>
    </row>
    <row r="12" spans="2:9">
      <c r="B12" s="236" t="s">
        <v>226</v>
      </c>
      <c r="C12" s="360">
        <f>C10*B15+C11*C15</f>
        <v>1</v>
      </c>
    </row>
    <row r="14" spans="2:9">
      <c r="B14" s="361" t="s">
        <v>227</v>
      </c>
      <c r="C14" s="362"/>
    </row>
    <row r="15" spans="2:9">
      <c r="B15" s="363">
        <v>1</v>
      </c>
      <c r="C15" s="360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F95"/>
  <sheetViews>
    <sheetView showGridLines="0" topLeftCell="A60" zoomScale="70" zoomScaleNormal="70" workbookViewId="0">
      <selection activeCell="C91" sqref="C91"/>
    </sheetView>
  </sheetViews>
  <sheetFormatPr defaultRowHeight="13.8"/>
  <cols>
    <col min="2" max="2" width="16" bestFit="1" customWidth="1"/>
    <col min="3" max="4" width="14.6640625" bestFit="1" customWidth="1"/>
    <col min="5" max="5" width="15" bestFit="1" customWidth="1"/>
    <col min="6" max="13" width="7.109375" customWidth="1"/>
    <col min="15" max="15" width="24.109375" bestFit="1" customWidth="1"/>
    <col min="16" max="16" width="14.5546875" bestFit="1" customWidth="1"/>
    <col min="34" max="34" width="12" bestFit="1" customWidth="1"/>
  </cols>
  <sheetData>
    <row r="1" spans="1:58">
      <c r="A1" s="108" t="s">
        <v>149</v>
      </c>
    </row>
    <row r="3" spans="1:58">
      <c r="B3" s="108" t="s">
        <v>0</v>
      </c>
      <c r="C3" s="358">
        <f>_xll.qlSettingsEvaluationDate()</f>
        <v>43018</v>
      </c>
      <c r="D3" s="358"/>
      <c r="V3" s="92"/>
    </row>
    <row r="6" spans="1:58">
      <c r="B6" s="133" t="s">
        <v>91</v>
      </c>
      <c r="C6" s="94" t="s">
        <v>44</v>
      </c>
      <c r="D6" s="19" t="s">
        <v>45</v>
      </c>
      <c r="E6" s="19" t="s">
        <v>46</v>
      </c>
      <c r="F6" s="19" t="s">
        <v>47</v>
      </c>
      <c r="G6" s="19" t="s">
        <v>48</v>
      </c>
      <c r="H6" s="19" t="s">
        <v>43</v>
      </c>
      <c r="I6" s="19" t="s">
        <v>49</v>
      </c>
      <c r="J6" s="19" t="s">
        <v>50</v>
      </c>
      <c r="K6" s="19" t="s">
        <v>51</v>
      </c>
      <c r="L6" s="19" t="s">
        <v>52</v>
      </c>
      <c r="M6" s="40" t="s">
        <v>53</v>
      </c>
      <c r="O6" s="109" t="s">
        <v>31</v>
      </c>
      <c r="P6" s="110"/>
      <c r="Q6" s="109" t="s">
        <v>77</v>
      </c>
      <c r="R6" s="119" t="s">
        <v>77</v>
      </c>
      <c r="S6" s="119" t="s">
        <v>77</v>
      </c>
      <c r="T6" s="119" t="s">
        <v>77</v>
      </c>
      <c r="U6" s="119" t="s">
        <v>77</v>
      </c>
      <c r="V6" s="119" t="s">
        <v>78</v>
      </c>
      <c r="W6" s="119" t="s">
        <v>78</v>
      </c>
      <c r="X6" s="119" t="s">
        <v>78</v>
      </c>
      <c r="Y6" s="119" t="s">
        <v>78</v>
      </c>
      <c r="Z6" s="119" t="s">
        <v>78</v>
      </c>
      <c r="AA6" s="110" t="s">
        <v>78</v>
      </c>
      <c r="AC6" s="137" t="s">
        <v>80</v>
      </c>
      <c r="AD6" s="134" t="b">
        <v>0</v>
      </c>
      <c r="AE6" s="135" t="b">
        <v>1</v>
      </c>
      <c r="AF6" s="135" t="b">
        <v>0</v>
      </c>
      <c r="AG6" s="136" t="b">
        <v>0</v>
      </c>
      <c r="AH6" s="4" t="s">
        <v>81</v>
      </c>
      <c r="AI6" s="19"/>
      <c r="AJ6" s="19"/>
      <c r="AK6" s="19"/>
      <c r="AL6" s="19"/>
      <c r="AM6" s="40"/>
      <c r="AN6" s="133" t="s">
        <v>91</v>
      </c>
      <c r="AU6" s="255" t="s">
        <v>161</v>
      </c>
      <c r="AV6" s="256" t="s">
        <v>77</v>
      </c>
      <c r="AW6" s="257" t="s">
        <v>77</v>
      </c>
      <c r="AX6" s="257" t="s">
        <v>77</v>
      </c>
      <c r="AY6" s="257" t="s">
        <v>77</v>
      </c>
      <c r="AZ6" s="257" t="s">
        <v>77</v>
      </c>
      <c r="BA6" s="257" t="s">
        <v>78</v>
      </c>
      <c r="BB6" s="257" t="s">
        <v>78</v>
      </c>
      <c r="BC6" s="257" t="s">
        <v>78</v>
      </c>
      <c r="BD6" s="257" t="s">
        <v>78</v>
      </c>
      <c r="BE6" s="257" t="s">
        <v>78</v>
      </c>
      <c r="BF6" s="258" t="s">
        <v>78</v>
      </c>
    </row>
    <row r="7" spans="1:58">
      <c r="B7" s="107"/>
      <c r="C7" s="41" t="s">
        <v>54</v>
      </c>
      <c r="D7" s="21" t="s">
        <v>54</v>
      </c>
      <c r="E7" s="21" t="s">
        <v>54</v>
      </c>
      <c r="F7" s="21" t="s">
        <v>54</v>
      </c>
      <c r="G7" s="21" t="s">
        <v>54</v>
      </c>
      <c r="H7" s="21" t="s">
        <v>54</v>
      </c>
      <c r="I7" s="21" t="s">
        <v>54</v>
      </c>
      <c r="J7" s="21" t="s">
        <v>54</v>
      </c>
      <c r="K7" s="21" t="s">
        <v>54</v>
      </c>
      <c r="L7" s="21" t="s">
        <v>54</v>
      </c>
      <c r="M7" s="42" t="s">
        <v>54</v>
      </c>
      <c r="O7" s="111" t="s">
        <v>3</v>
      </c>
      <c r="P7" s="112" t="s">
        <v>79</v>
      </c>
      <c r="Q7" s="111">
        <v>-0.05</v>
      </c>
      <c r="R7" s="120">
        <v>-0.1</v>
      </c>
      <c r="S7" s="120">
        <v>-0.15</v>
      </c>
      <c r="T7" s="120">
        <v>-0.25</v>
      </c>
      <c r="U7" s="120">
        <v>-0.35</v>
      </c>
      <c r="V7" s="120" t="s">
        <v>43</v>
      </c>
      <c r="W7" s="120">
        <v>0.35</v>
      </c>
      <c r="X7" s="120">
        <v>0.25</v>
      </c>
      <c r="Y7" s="120">
        <v>0.15</v>
      </c>
      <c r="Z7" s="120">
        <v>0.1</v>
      </c>
      <c r="AA7" s="112">
        <v>0.05</v>
      </c>
      <c r="AC7" s="137" t="s">
        <v>82</v>
      </c>
      <c r="AD7" s="49" t="s">
        <v>83</v>
      </c>
      <c r="AE7" s="50" t="s">
        <v>84</v>
      </c>
      <c r="AF7" s="50" t="s">
        <v>85</v>
      </c>
      <c r="AG7" s="138" t="s">
        <v>86</v>
      </c>
      <c r="AH7" s="111" t="s">
        <v>87</v>
      </c>
      <c r="AI7" s="120" t="s">
        <v>88</v>
      </c>
      <c r="AJ7" s="120" t="s">
        <v>83</v>
      </c>
      <c r="AK7" s="120" t="s">
        <v>84</v>
      </c>
      <c r="AL7" s="120" t="s">
        <v>85</v>
      </c>
      <c r="AM7" s="112" t="s">
        <v>86</v>
      </c>
      <c r="AN7" s="107"/>
      <c r="AU7" s="259"/>
      <c r="AV7" s="260">
        <v>-0.05</v>
      </c>
      <c r="AW7" s="261">
        <v>-0.1</v>
      </c>
      <c r="AX7" s="261">
        <v>-0.15</v>
      </c>
      <c r="AY7" s="261">
        <v>-0.25</v>
      </c>
      <c r="AZ7" s="261">
        <v>-0.35</v>
      </c>
      <c r="BA7" s="261" t="s">
        <v>43</v>
      </c>
      <c r="BB7" s="261">
        <v>0.35</v>
      </c>
      <c r="BC7" s="261">
        <v>0.25</v>
      </c>
      <c r="BD7" s="261">
        <v>0.15</v>
      </c>
      <c r="BE7" s="261">
        <v>0.1</v>
      </c>
      <c r="BF7" s="262">
        <v>0.05</v>
      </c>
    </row>
    <row r="8" spans="1:58">
      <c r="B8" s="104" t="s">
        <v>55</v>
      </c>
      <c r="C8" s="95">
        <v>7.5419999999999998</v>
      </c>
      <c r="D8" s="96">
        <v>7.4180000000000001</v>
      </c>
      <c r="E8" s="96">
        <v>7.3310000000000004</v>
      </c>
      <c r="F8" s="96">
        <v>7.2519999999999998</v>
      </c>
      <c r="G8" s="96">
        <v>7.2560000000000002</v>
      </c>
      <c r="H8" s="96">
        <v>7.36</v>
      </c>
      <c r="I8" s="96">
        <v>7.5490000000000004</v>
      </c>
      <c r="J8" s="96">
        <v>7.7519999999999998</v>
      </c>
      <c r="K8" s="96">
        <v>8.0329999999999995</v>
      </c>
      <c r="L8" s="96">
        <v>8.25</v>
      </c>
      <c r="M8" s="97">
        <v>8.4939999999999998</v>
      </c>
      <c r="O8" s="113">
        <f>_xll.qlCalendarAdvance("NullCalendar",$C$3,B8)</f>
        <v>43019</v>
      </c>
      <c r="P8" s="116">
        <f>(O8-$C$3)/365</f>
        <v>2.7397260273972603E-3</v>
      </c>
      <c r="Q8" s="121">
        <f>_xll.qlBlackDeltaCalculatorStrikeFromDelta(_xll.qlBlackDeltaCalculator(,Q$6,"Spot",$C$38,1,1,C8%*SQRT($P8)),Q$7)</f>
        <v>18.87717354153666</v>
      </c>
      <c r="R8" s="122">
        <f>_xll.qlBlackDeltaCalculatorStrikeFromDelta(_xll.qlBlackDeltaCalculator(,R$6,"Spot",$C$38,1,1,D8%*SQRT($P8)),R$7)</f>
        <v>18.905834188293316</v>
      </c>
      <c r="S8" s="122">
        <f>_xll.qlBlackDeltaCalculatorStrikeFromDelta(_xll.qlBlackDeltaCalculator(,S$6,"Spot",$C$38,1,1,E8%*SQRT($P8)),S$7)</f>
        <v>18.92472593457201</v>
      </c>
      <c r="T8" s="122">
        <f>_xll.qlBlackDeltaCalculatorStrikeFromDelta(_xll.qlBlackDeltaCalculator(,T$6,"Spot",$C$38,1,1,F8%*SQRT($P8)),T$7)</f>
        <v>18.951553515547495</v>
      </c>
      <c r="U8" s="122">
        <f>_xll.qlBlackDeltaCalculatorStrikeFromDelta(_xll.qlBlackDeltaCalculator(,U$6,"Spot",$C$38,1,1,G8%*SQRT($P8)),U$7)</f>
        <v>18.972351936971233</v>
      </c>
      <c r="V8" s="123">
        <f>_xll.qlBlackDeltaCalculatorAtmStrike(_xll.qlBlackDeltaCalculator(,V$6,"Spot",$C$38,1,1,H8%*SQRT($P8)),"AtmFwd")</f>
        <v>19</v>
      </c>
      <c r="W8" s="122">
        <f>_xll.qlBlackDeltaCalculatorStrikeFromDelta(_xll.qlBlackDeltaCalculator(,W$6,"Spot",$C$38,1,1,I8%*SQRT($P8)),W$7)</f>
        <v>19.029098600459921</v>
      </c>
      <c r="X8" s="122">
        <f>_xll.qlBlackDeltaCalculatorStrikeFromDelta(_xll.qlBlackDeltaCalculator(,X$6,"Spot",$C$38,1,1,J8%*SQRT($P8)),X$7)</f>
        <v>19.052227212679266</v>
      </c>
      <c r="Y8" s="122">
        <f>_xll.qlBlackDeltaCalculatorStrikeFromDelta(_xll.qlBlackDeltaCalculator(,Y$6,"Spot",$C$38,1,1,K8%*SQRT($P8)),Y$7)</f>
        <v>19.08314859899577</v>
      </c>
      <c r="Z8" s="122">
        <f>_xll.qlBlackDeltaCalculatorStrikeFromDelta(_xll.qlBlackDeltaCalculator(,Z$6,"Spot",$C$38,1,1,L8%*SQRT($P8)),Z$7)</f>
        <v>19.105616691803899</v>
      </c>
      <c r="AA8" s="124">
        <f>_xll.qlBlackDeltaCalculatorStrikeFromDelta(_xll.qlBlackDeltaCalculator(,AA$6,"Spot",$C$38,1,1,M8%*SQRT($P8)),AA$7)</f>
        <v>19.139644658873035</v>
      </c>
      <c r="AC8" s="139">
        <f>$C$38</f>
        <v>19</v>
      </c>
      <c r="AD8" s="142">
        <v>7.2584415373479858E-2</v>
      </c>
      <c r="AE8" s="143">
        <v>0.7</v>
      </c>
      <c r="AF8" s="143">
        <v>0.19296159463819762</v>
      </c>
      <c r="AG8" s="20">
        <v>8.6031562540046327</v>
      </c>
      <c r="AH8" s="150" t="str">
        <f t="array" ref="AH8">_xll.qlSabrInterpolatedSmileSection(,O8,AC8,Q8:AA8,FALSE,H8%,C8:M8%,AD8,AE8,AG8,AF8,AD$6,AE$6,AG$6,AF$6,TRUE,,,"Actual/365 (Fixed)",0,FALSE)</f>
        <v>obj_0065a#0003</v>
      </c>
      <c r="AI8" s="151">
        <f>_xll.qlSabrInterpolatedSmileSectionMaxError(AH8)</f>
        <v>1.2188265651527641E-3</v>
      </c>
      <c r="AJ8" s="152">
        <f>_xll.qlSabrInterpolatedSmileSectionAlpha(AH8)</f>
        <v>0.17557774138894183</v>
      </c>
      <c r="AK8" s="151">
        <f>_xll.qlSabrInterpolatedSmileSectionBeta(AH8)</f>
        <v>0.7</v>
      </c>
      <c r="AL8" s="153">
        <f>_xll.qlSabrInterpolatedSmileSectionRho(AH8)</f>
        <v>0.19296157824965474</v>
      </c>
      <c r="AM8" s="154">
        <f>_xll.qlSabrInterpolatedSmileSectionNu(AH8)</f>
        <v>8.6031575329847954</v>
      </c>
      <c r="AN8" s="104" t="s">
        <v>55</v>
      </c>
      <c r="AU8" s="296">
        <f>T8</f>
        <v>18.951553515547495</v>
      </c>
      <c r="AV8" s="263" t="str">
        <f>_xll.qlHestonModelHelper(,$B8,"TARGET",$C$38,Q8,C8/100,I_ValuationDate!$E$5,I_ValuationDate!$E$6,"RelativePriceError")</f>
        <v>obj_0054a#0003</v>
      </c>
      <c r="AW8" s="264" t="str">
        <f>_xll.qlHestonModelHelper(,$B8,"TARGET",$C$38,R8,D8/100,I_ValuationDate!$E$5,I_ValuationDate!$E$6,"RelativePriceError")</f>
        <v>obj_0046d#0003</v>
      </c>
      <c r="AX8" s="264" t="str">
        <f>_xll.qlHestonModelHelper(,$B8,"TARGET",$C$38,S8,E8/100,I_ValuationDate!$E$5,I_ValuationDate!$E$6,"RelativePriceError")</f>
        <v>obj_00489#0003</v>
      </c>
      <c r="AY8" s="264" t="str">
        <f>_xll.qlHestonModelHelper(,$B8,"TARGET",$C$38,T8,F8/100,I_ValuationDate!$E$5,I_ValuationDate!$E$6,"RelativePriceError")</f>
        <v>obj_00328#0003</v>
      </c>
      <c r="AZ8" s="264" t="str">
        <f>_xll.qlHestonModelHelper(,$B8,"TARGET",$C$38,U8,G8/100,I_ValuationDate!$E$5,I_ValuationDate!$E$6,"RelativePriceError")</f>
        <v>obj_005aa#0003</v>
      </c>
      <c r="BA8" s="264" t="str">
        <f>_xll.qlHestonModelHelper(,$B8,"TARGET",$C$38,V8,H8/100,I_ValuationDate!$E$5,I_ValuationDate!$E$6,"RelativePriceError")</f>
        <v>obj_00453#0003</v>
      </c>
      <c r="BB8" s="264" t="str">
        <f>_xll.qlHestonModelHelper(,$B8,"TARGET",$C$38,W8,I8/100,I_ValuationDate!$E$5,I_ValuationDate!$E$6,"RelativePriceError")</f>
        <v>obj_0043b#0003</v>
      </c>
      <c r="BC8" s="264" t="str">
        <f>_xll.qlHestonModelHelper(,$B8,"TARGET",$C$38,X8,J8/100,I_ValuationDate!$E$5,I_ValuationDate!$E$6,"RelativePriceError")</f>
        <v>obj_003fb#0003</v>
      </c>
      <c r="BD8" s="264" t="str">
        <f>_xll.qlHestonModelHelper(,$B8,"TARGET",$C$38,Y8,K8/100,I_ValuationDate!$E$5,I_ValuationDate!$E$6,"RelativePriceError")</f>
        <v>obj_0053b#0003</v>
      </c>
      <c r="BE8" s="264" t="str">
        <f>_xll.qlHestonModelHelper(,$B8,"TARGET",$C$38,Z8,L8/100,I_ValuationDate!$E$5,I_ValuationDate!$E$6,"RelativePriceError")</f>
        <v>obj_00590#0003</v>
      </c>
      <c r="BF8" s="265" t="str">
        <f>_xll.qlHestonModelHelper(,$B8,"TARGET",$C$38,AA8,M8/100,I_ValuationDate!$E$5,I_ValuationDate!$E$6,"RelativePriceError")</f>
        <v>obj_00577#0003</v>
      </c>
    </row>
    <row r="9" spans="1:58">
      <c r="B9" s="105" t="s">
        <v>56</v>
      </c>
      <c r="C9" s="98">
        <v>6.81</v>
      </c>
      <c r="D9" s="99">
        <v>6.7119999999999997</v>
      </c>
      <c r="E9" s="99">
        <v>6.6479999999999997</v>
      </c>
      <c r="F9" s="99">
        <v>6.59</v>
      </c>
      <c r="G9" s="99">
        <v>6.5880000000000001</v>
      </c>
      <c r="H9" s="99">
        <v>6.6829999999999998</v>
      </c>
      <c r="I9" s="99">
        <v>6.8879999999999999</v>
      </c>
      <c r="J9" s="99">
        <v>7.1029999999999998</v>
      </c>
      <c r="K9" s="99">
        <v>7.34</v>
      </c>
      <c r="L9" s="99">
        <v>7.5940000000000003</v>
      </c>
      <c r="M9" s="100">
        <v>7.85</v>
      </c>
      <c r="O9" s="114">
        <f>_xll.qlCalendarAdvance("NullCalendar",$C$3,B9)</f>
        <v>43025</v>
      </c>
      <c r="P9" s="117">
        <f>(O9-$C$3)/365</f>
        <v>1.9178082191780823E-2</v>
      </c>
      <c r="Q9" s="125">
        <f>_xll.qlBlackDeltaCalculatorStrikeFromDelta(_xll.qlBlackDeltaCalculator(,Q$6,"Spot",$C$38,1,1,C9%*SQRT($P9)),Q$7)</f>
        <v>18.708371962896909</v>
      </c>
      <c r="R9" s="126">
        <f>_xll.qlBlackDeltaCalculatorStrikeFromDelta(_xll.qlBlackDeltaCalculator(,R$6,"Spot",$C$38,1,1,D9%*SQRT($P9)),R$7)</f>
        <v>18.775822705460964</v>
      </c>
      <c r="S9" s="126">
        <f>_xll.qlBlackDeltaCalculatorStrikeFromDelta(_xll.qlBlackDeltaCalculator(,S$6,"Spot",$C$38,1,1,E9%*SQRT($P9)),S$7)</f>
        <v>18.820363637926764</v>
      </c>
      <c r="T9" s="126">
        <f>_xll.qlBlackDeltaCalculatorStrikeFromDelta(_xll.qlBlackDeltaCalculator(,T$6,"Spot",$C$38,1,1,F9%*SQRT($P9)),T$7)</f>
        <v>18.884191098868897</v>
      </c>
      <c r="U9" s="126">
        <f>_xll.qlBlackDeltaCalculatorStrikeFromDelta(_xll.qlBlackDeltaCalculator(,U$6,"Spot",$C$38,1,1,G9%*SQRT($P9)),U$7)</f>
        <v>18.934112112003401</v>
      </c>
      <c r="V9" s="127">
        <f>_xll.qlBlackDeltaCalculatorAtmStrike(_xll.qlBlackDeltaCalculator(,V$6,"Spot",$C$38,1,1,H9%*SQRT($P9)),"AtmFwd")</f>
        <v>19</v>
      </c>
      <c r="W9" s="126">
        <f>_xll.qlBlackDeltaCalculatorStrikeFromDelta(_xll.qlBlackDeltaCalculator(,W$6,"Spot",$C$38,1,1,I9%*SQRT($P9)),W$7)</f>
        <v>19.07083082114686</v>
      </c>
      <c r="X9" s="126">
        <f>_xll.qlBlackDeltaCalculatorStrikeFromDelta(_xll.qlBlackDeltaCalculator(,X$6,"Spot",$C$38,1,1,J9%*SQRT($P9)),X$7)</f>
        <v>19.127403307497108</v>
      </c>
      <c r="Y9" s="126">
        <f>_xll.qlBlackDeltaCalculatorStrikeFromDelta(_xll.qlBlackDeltaCalculator(,Y$6,"Spot",$C$38,1,1,K9%*SQRT($P9)),Y$7)</f>
        <v>19.202217635518078</v>
      </c>
      <c r="Z9" s="126">
        <f>_xll.qlBlackDeltaCalculatorStrikeFromDelta(_xll.qlBlackDeltaCalculator(,Z$6,"Spot",$C$38,1,1,L9%*SQRT($P9)),Z$7)</f>
        <v>19.258870806898972</v>
      </c>
      <c r="AA9" s="128">
        <f>_xll.qlBlackDeltaCalculatorStrikeFromDelta(_xll.qlBlackDeltaCalculator(,AA$6,"Spot",$C$38,1,1,M9%*SQRT($P9)),AA$7)</f>
        <v>19.34394375347955</v>
      </c>
      <c r="AC9" s="140">
        <f>$C$38</f>
        <v>19</v>
      </c>
      <c r="AD9" s="144">
        <v>6.5991427497833252E-2</v>
      </c>
      <c r="AE9" s="145">
        <v>0.7</v>
      </c>
      <c r="AF9" s="145">
        <v>0.21663960044818401</v>
      </c>
      <c r="AG9" s="146">
        <v>3.3392516749698067</v>
      </c>
      <c r="AH9" s="155" t="str">
        <f t="array" ref="AH9">_xll.qlSabrInterpolatedSmileSection(,O9,AC9,Q9:AA9,FALSE,H9%,C9:M9%,AD9,AE9,AG9,AF9,AD$6,AE$6,AG$6,AF$6,TRUE,,,"Actual/365 (Fixed)",0,FALSE)</f>
        <v>obj_00660#0003</v>
      </c>
      <c r="AI9" s="156">
        <f>_xll.qlSabrInterpolatedSmileSectionMaxError(AH9)</f>
        <v>9.8915995496418052E-4</v>
      </c>
      <c r="AJ9" s="157">
        <f>_xll.qlSabrInterpolatedSmileSectionAlpha(AH9)</f>
        <v>0.15962965955922237</v>
      </c>
      <c r="AK9" s="156">
        <f>_xll.qlSabrInterpolatedSmileSectionBeta(AH9)</f>
        <v>0.7</v>
      </c>
      <c r="AL9" s="158">
        <f>_xll.qlSabrInterpolatedSmileSectionRho(AH9)</f>
        <v>0.21663934459071174</v>
      </c>
      <c r="AM9" s="159">
        <f>_xll.qlSabrInterpolatedSmileSectionNu(AH9)</f>
        <v>3.3392529661905201</v>
      </c>
      <c r="AN9" s="105" t="s">
        <v>56</v>
      </c>
      <c r="AU9" s="297">
        <f>T9</f>
        <v>18.884191098868897</v>
      </c>
      <c r="AV9" s="266" t="str">
        <f>_xll.qlHestonModelHelper(,$B9,"TARGET",$C$38,Q9,C9/100,I_ValuationDate!$E$5,I_ValuationDate!$E$6,"RelativePriceError")</f>
        <v>obj_005a2#0003</v>
      </c>
      <c r="AW9" s="267" t="str">
        <f>_xll.qlHestonModelHelper(,$B9,"TARGET",$C$38,R9,D9/100,I_ValuationDate!$E$5,I_ValuationDate!$E$6,"RelativePriceError")</f>
        <v>obj_00441#0003</v>
      </c>
      <c r="AX9" s="267" t="str">
        <f>_xll.qlHestonModelHelper(,$B9,"TARGET",$C$38,S9,E9/100,I_ValuationDate!$E$5,I_ValuationDate!$E$6,"RelativePriceError")</f>
        <v>obj_00447#0003</v>
      </c>
      <c r="AY9" s="267" t="str">
        <f>_xll.qlHestonModelHelper(,$B9,"TARGET",$C$38,T9,F9/100,I_ValuationDate!$E$5,I_ValuationDate!$E$6,"RelativePriceError")</f>
        <v>obj_00266#0003</v>
      </c>
      <c r="AZ9" s="267" t="str">
        <f>_xll.qlHestonModelHelper(,$B9,"TARGET",$C$38,U9,G9/100,I_ValuationDate!$E$5,I_ValuationDate!$E$6,"RelativePriceError")</f>
        <v>obj_004f9#0003</v>
      </c>
      <c r="BA9" s="267" t="str">
        <f>_xll.qlHestonModelHelper(,$B9,"TARGET",$C$38,V9,H9/100,I_ValuationDate!$E$5,I_ValuationDate!$E$6,"RelativePriceError")</f>
        <v>obj_002d5#0003</v>
      </c>
      <c r="BB9" s="267" t="str">
        <f>_xll.qlHestonModelHelper(,$B9,"TARGET",$C$38,W9,I9/100,I_ValuationDate!$E$5,I_ValuationDate!$E$6,"RelativePriceError")</f>
        <v>obj_0045d#0003</v>
      </c>
      <c r="BC9" s="267" t="str">
        <f>_xll.qlHestonModelHelper(,$B9,"TARGET",$C$38,X9,J9/100,I_ValuationDate!$E$5,I_ValuationDate!$E$6,"RelativePriceError")</f>
        <v>obj_00507#0003</v>
      </c>
      <c r="BD9" s="267" t="str">
        <f>_xll.qlHestonModelHelper(,$B9,"TARGET",$C$38,Y9,K9/100,I_ValuationDate!$E$5,I_ValuationDate!$E$6,"RelativePriceError")</f>
        <v>obj_00421#0003</v>
      </c>
      <c r="BE9" s="267" t="str">
        <f>_xll.qlHestonModelHelper(,$B9,"TARGET",$C$38,Z9,L9/100,I_ValuationDate!$E$5,I_ValuationDate!$E$6,"RelativePriceError")</f>
        <v>obj_00455#0003</v>
      </c>
      <c r="BF9" s="268" t="str">
        <f>_xll.qlHestonModelHelper(,$B9,"TARGET",$C$38,AA9,M9/100,I_ValuationDate!$E$5,I_ValuationDate!$E$6,"RelativePriceError")</f>
        <v>obj_005fc#0003</v>
      </c>
    </row>
    <row r="10" spans="1:58">
      <c r="B10" s="105" t="s">
        <v>57</v>
      </c>
      <c r="C10" s="98">
        <v>7.9710000000000001</v>
      </c>
      <c r="D10" s="99">
        <v>7.867</v>
      </c>
      <c r="E10" s="99">
        <v>7.8040000000000003</v>
      </c>
      <c r="F10" s="99">
        <v>7.7469999999999999</v>
      </c>
      <c r="G10" s="99">
        <v>7.7590000000000003</v>
      </c>
      <c r="H10" s="99">
        <v>7.8769999999999998</v>
      </c>
      <c r="I10" s="99">
        <v>8.1020000000000003</v>
      </c>
      <c r="J10" s="99">
        <v>8.327</v>
      </c>
      <c r="K10" s="99">
        <v>8.6</v>
      </c>
      <c r="L10" s="99">
        <v>8.8469999999999995</v>
      </c>
      <c r="M10" s="100">
        <v>9.1229999999999993</v>
      </c>
      <c r="O10" s="114">
        <f>_xll.qlCalendarAdvance("NullCalendar",$C$3,B10)</f>
        <v>43032</v>
      </c>
      <c r="P10" s="117">
        <f>(O10-$C$3)/365</f>
        <v>3.8356164383561646E-2</v>
      </c>
      <c r="Q10" s="125">
        <f>_xll.qlBlackDeltaCalculatorStrikeFromDelta(_xll.qlBlackDeltaCalculator(,Q$6,"Spot",$C$38,1,1,C10%*SQRT($P10)),Q$7)</f>
        <v>18.520589147863479</v>
      </c>
      <c r="R10" s="126">
        <f>_xll.qlBlackDeltaCalculatorStrikeFromDelta(_xll.qlBlackDeltaCalculator(,R$6,"Spot",$C$38,1,1,D10%*SQRT($P10)),R$7)</f>
        <v>18.630730845815389</v>
      </c>
      <c r="S10" s="126">
        <f>_xll.qlBlackDeltaCalculatorStrikeFromDelta(_xll.qlBlackDeltaCalculator(,S$6,"Spot",$C$38,1,1,E10%*SQRT($P10)),S$7)</f>
        <v>18.703581133489383</v>
      </c>
      <c r="T10" s="126">
        <f>_xll.qlBlackDeltaCalculatorStrikeFromDelta(_xll.qlBlackDeltaCalculator(,T$6,"Spot",$C$38,1,1,F10%*SQRT($P10)),T$7)</f>
        <v>18.808718721570536</v>
      </c>
      <c r="U10" s="126">
        <f>_xll.qlBlackDeltaCalculatorStrikeFromDelta(_xll.qlBlackDeltaCalculator(,U$6,"Spot",$C$38,1,1,G10%*SQRT($P10)),U$7)</f>
        <v>18.891256303808202</v>
      </c>
      <c r="V10" s="127">
        <f>_xll.qlBlackDeltaCalculatorAtmStrike(_xll.qlBlackDeltaCalculator(,V$6,"Spot",$C$38,1,1,H10%*SQRT($P10)),"AtmFwd")</f>
        <v>19</v>
      </c>
      <c r="W10" s="126">
        <f>_xll.qlBlackDeltaCalculatorStrikeFromDelta(_xll.qlBlackDeltaCalculator(,W$6,"Spot",$C$38,1,1,I10%*SQRT($P10)),W$7)</f>
        <v>19.118930306673853</v>
      </c>
      <c r="X10" s="126">
        <f>_xll.qlBlackDeltaCalculatorStrikeFromDelta(_xll.qlBlackDeltaCalculator(,X$6,"Spot",$C$38,1,1,J10%*SQRT($P10)),X$7)</f>
        <v>19.212702998200925</v>
      </c>
      <c r="Y10" s="126">
        <f>_xll.qlBlackDeltaCalculatorStrikeFromDelta(_xll.qlBlackDeltaCalculator(,Y$6,"Spot",$C$38,1,1,K10%*SQRT($P10)),Y$7)</f>
        <v>19.337328183672678</v>
      </c>
      <c r="Z10" s="126">
        <f>_xll.qlBlackDeltaCalculatorStrikeFromDelta(_xll.qlBlackDeltaCalculator(,Z$6,"Spot",$C$38,1,1,L10%*SQRT($P10)),Z$7)</f>
        <v>19.429529144795708</v>
      </c>
      <c r="AA10" s="128">
        <f>_xll.qlBlackDeltaCalculatorStrikeFromDelta(_xll.qlBlackDeltaCalculator(,AA$6,"Spot",$C$38,1,1,M10%*SQRT($P10)),AA$7)</f>
        <v>19.56979765036824</v>
      </c>
      <c r="AC10" s="140">
        <f>$C$38</f>
        <v>19</v>
      </c>
      <c r="AD10" s="144">
        <v>7.7832109384568943E-2</v>
      </c>
      <c r="AE10" s="145">
        <v>0.7</v>
      </c>
      <c r="AF10" s="145">
        <v>0.22444692024285942</v>
      </c>
      <c r="AG10" s="146">
        <v>2.22722244952103</v>
      </c>
      <c r="AH10" s="155" t="str">
        <f t="array" ref="AH10">_xll.qlSabrInterpolatedSmileSection(,O10,AC10,Q10:AA10,FALSE,H10%,C10:M10%,AD10,AE10,AG10,AF10,AD$6,AE$6,AG$6,AF$6,TRUE,,,"Actual/365 (Fixed)",0,FALSE)</f>
        <v>obj_00621#0003</v>
      </c>
      <c r="AI10" s="156">
        <f>_xll.qlSabrInterpolatedSmileSectionMaxError(AH10)</f>
        <v>1.1183334629296243E-3</v>
      </c>
      <c r="AJ10" s="157">
        <f>_xll.qlSabrInterpolatedSmileSectionAlpha(AH10)</f>
        <v>0.18827161426444158</v>
      </c>
      <c r="AK10" s="156">
        <f>_xll.qlSabrInterpolatedSmileSectionBeta(AH10)</f>
        <v>0.7</v>
      </c>
      <c r="AL10" s="158">
        <f>_xll.qlSabrInterpolatedSmileSectionRho(AH10)</f>
        <v>0.22444653339226131</v>
      </c>
      <c r="AM10" s="159">
        <f>_xll.qlSabrInterpolatedSmileSectionNu(AH10)</f>
        <v>2.227224654744016</v>
      </c>
      <c r="AN10" s="105" t="s">
        <v>57</v>
      </c>
      <c r="AU10" s="297">
        <f>T10</f>
        <v>18.808718721570536</v>
      </c>
      <c r="AV10" s="266" t="str">
        <f>_xll.qlHestonModelHelper(,$B10,"TARGET",$C$38,Q10,C10/100,I_ValuationDate!$E$5,I_ValuationDate!$E$6,"RelativePriceError")</f>
        <v>obj_00515#0003</v>
      </c>
      <c r="AW10" s="267" t="str">
        <f>_xll.qlHestonModelHelper(,$B10,"TARGET",$C$38,R10,D10/100,I_ValuationDate!$E$5,I_ValuationDate!$E$6,"RelativePriceError")</f>
        <v>obj_005b5#0003</v>
      </c>
      <c r="AX10" s="267" t="str">
        <f>_xll.qlHestonModelHelper(,$B10,"TARGET",$C$38,S10,E10/100,I_ValuationDate!$E$5,I_ValuationDate!$E$6,"RelativePriceError")</f>
        <v>obj_0055b#0003</v>
      </c>
      <c r="AY10" s="267" t="str">
        <f>_xll.qlHestonModelHelper(,$B10,"TARGET",$C$38,T10,F10/100,I_ValuationDate!$E$5,I_ValuationDate!$E$6,"RelativePriceError")</f>
        <v>obj_0026a#0003</v>
      </c>
      <c r="AZ10" s="267" t="str">
        <f>_xll.qlHestonModelHelper(,$B10,"TARGET",$C$38,U10,G10/100,I_ValuationDate!$E$5,I_ValuationDate!$E$6,"RelativePriceError")</f>
        <v>obj_004bc#0003</v>
      </c>
      <c r="BA10" s="267" t="str">
        <f>_xll.qlHestonModelHelper(,$B10,"TARGET",$C$38,V10,H10/100,I_ValuationDate!$E$5,I_ValuationDate!$E$6,"RelativePriceError")</f>
        <v>obj_00437#0003</v>
      </c>
      <c r="BB10" s="267" t="str">
        <f>_xll.qlHestonModelHelper(,$B10,"TARGET",$C$38,W10,I10/100,I_ValuationDate!$E$5,I_ValuationDate!$E$6,"RelativePriceError")</f>
        <v>obj_003db#0003</v>
      </c>
      <c r="BC10" s="267" t="str">
        <f>_xll.qlHestonModelHelper(,$B10,"TARGET",$C$38,X10,J10/100,I_ValuationDate!$E$5,I_ValuationDate!$E$6,"RelativePriceError")</f>
        <v>obj_00445#0003</v>
      </c>
      <c r="BD10" s="267" t="str">
        <f>_xll.qlHestonModelHelper(,$B10,"TARGET",$C$38,Y10,K10/100,I_ValuationDate!$E$5,I_ValuationDate!$E$6,"RelativePriceError")</f>
        <v>obj_003ce#0003</v>
      </c>
      <c r="BE10" s="267" t="str">
        <f>_xll.qlHestonModelHelper(,$B10,"TARGET",$C$38,Z10,L10/100,I_ValuationDate!$E$5,I_ValuationDate!$E$6,"RelativePriceError")</f>
        <v>obj_005cb#0003</v>
      </c>
      <c r="BF10" s="268" t="str">
        <f>_xll.qlHestonModelHelper(,$B10,"TARGET",$C$38,AA10,M10/100,I_ValuationDate!$E$5,I_ValuationDate!$E$6,"RelativePriceError")</f>
        <v>obj_004b8#0003</v>
      </c>
    </row>
    <row r="11" spans="1:58">
      <c r="B11" s="105" t="s">
        <v>58</v>
      </c>
      <c r="C11" s="98">
        <v>7.5919999999999996</v>
      </c>
      <c r="D11" s="99">
        <v>7.5030000000000001</v>
      </c>
      <c r="E11" s="99">
        <v>7.44</v>
      </c>
      <c r="F11" s="99">
        <v>7.4039999999999999</v>
      </c>
      <c r="G11" s="99">
        <v>7.4160000000000004</v>
      </c>
      <c r="H11" s="99">
        <v>7.5049999999999999</v>
      </c>
      <c r="I11" s="99">
        <v>7.7460000000000004</v>
      </c>
      <c r="J11" s="99">
        <v>7.9809999999999999</v>
      </c>
      <c r="K11" s="99">
        <v>8.25</v>
      </c>
      <c r="L11" s="99">
        <v>8.4949999999999992</v>
      </c>
      <c r="M11" s="100">
        <v>8.77</v>
      </c>
      <c r="O11" s="114">
        <f>_xll.qlCalendarAdvance("NullCalendar",$C$3,B11)</f>
        <v>43039</v>
      </c>
      <c r="P11" s="117">
        <f>(O11-$C$3)/365</f>
        <v>5.7534246575342465E-2</v>
      </c>
      <c r="Q11" s="125">
        <f>_xll.qlBlackDeltaCalculatorStrikeFromDelta(_xll.qlBlackDeltaCalculator(,Q$6,"Spot",$C$38,1,1,C11%*SQRT($P11)),Q$7)</f>
        <v>18.442381361618917</v>
      </c>
      <c r="R11" s="126">
        <f>_xll.qlBlackDeltaCalculatorStrikeFromDelta(_xll.qlBlackDeltaCalculator(,R$6,"Spot",$C$38,1,1,D11%*SQRT($P11)),R$7)</f>
        <v>18.569806291324344</v>
      </c>
      <c r="S11" s="126">
        <f>_xll.qlBlackDeltaCalculatorStrikeFromDelta(_xll.qlBlackDeltaCalculator(,S$6,"Spot",$C$38,1,1,E11%*SQRT($P11)),S$7)</f>
        <v>18.654776521370618</v>
      </c>
      <c r="T11" s="126">
        <f>_xll.qlBlackDeltaCalculatorStrikeFromDelta(_xll.qlBlackDeltaCalculator(,T$6,"Spot",$C$38,1,1,F11%*SQRT($P11)),T$7)</f>
        <v>18.77672569908837</v>
      </c>
      <c r="U11" s="126">
        <f>_xll.qlBlackDeltaCalculatorStrikeFromDelta(_xll.qlBlackDeltaCalculator(,U$6,"Spot",$C$38,1,1,G11%*SQRT($P11)),U$7)</f>
        <v>18.873201722950299</v>
      </c>
      <c r="V11" s="127">
        <f>_xll.qlBlackDeltaCalculatorAtmStrike(_xll.qlBlackDeltaCalculator(,V$6,"Spot",$C$38,1,1,H11%*SQRT($P11)),"AtmFwd")</f>
        <v>19</v>
      </c>
      <c r="W11" s="126">
        <f>_xll.qlBlackDeltaCalculatorStrikeFromDelta(_xll.qlBlackDeltaCalculator(,W$6,"Spot",$C$38,1,1,I11%*SQRT($P11)),W$7)</f>
        <v>19.139815666892353</v>
      </c>
      <c r="X11" s="126">
        <f>_xll.qlBlackDeltaCalculatorStrikeFromDelta(_xll.qlBlackDeltaCalculator(,X$6,"Spot",$C$38,1,1,J11%*SQRT($P11)),X$7)</f>
        <v>19.250447082444296</v>
      </c>
      <c r="Y11" s="126">
        <f>_xll.qlBlackDeltaCalculatorStrikeFromDelta(_xll.qlBlackDeltaCalculator(,Y$6,"Spot",$C$38,1,1,K11%*SQRT($P11)),Y$7)</f>
        <v>19.397504816139051</v>
      </c>
      <c r="Z11" s="126">
        <f>_xll.qlBlackDeltaCalculatorStrikeFromDelta(_xll.qlBlackDeltaCalculator(,Z$6,"Spot",$C$38,1,1,L11%*SQRT($P11)),Z$7)</f>
        <v>19.506737775090144</v>
      </c>
      <c r="AA11" s="128">
        <f>_xll.qlBlackDeltaCalculatorStrikeFromDelta(_xll.qlBlackDeltaCalculator(,AA$6,"Spot",$C$38,1,1,M11%*SQRT($P11)),AA$7)</f>
        <v>19.673279571907536</v>
      </c>
      <c r="AC11" s="140">
        <f>$C$38</f>
        <v>19</v>
      </c>
      <c r="AD11" s="144">
        <v>7.4314957473345475E-2</v>
      </c>
      <c r="AE11" s="145">
        <v>0.7</v>
      </c>
      <c r="AF11" s="145">
        <v>0.23375987515216165</v>
      </c>
      <c r="AG11" s="146">
        <v>1.8500106427823144</v>
      </c>
      <c r="AH11" s="155" t="str">
        <f t="array" ref="AH11">_xll.qlSabrInterpolatedSmileSection(,O11,AC11,Q11:AA11,FALSE,H11%,C11:M11%,AD11,AE11,AG11,AF11,AD$6,AE$6,AG$6,AF$6,TRUE,,,"Actual/365 (Fixed)",0,FALSE)</f>
        <v>obj_00639#0003</v>
      </c>
      <c r="AI11" s="156">
        <f>_xll.qlSabrInterpolatedSmileSectionMaxError(AH11)</f>
        <v>1.1006057919449308E-3</v>
      </c>
      <c r="AJ11" s="157">
        <f>_xll.qlSabrInterpolatedSmileSectionAlpha(AH11)</f>
        <v>0.17976382301686089</v>
      </c>
      <c r="AK11" s="156">
        <f>_xll.qlSabrInterpolatedSmileSectionBeta(AH11)</f>
        <v>0.7</v>
      </c>
      <c r="AL11" s="158">
        <f>_xll.qlSabrInterpolatedSmileSectionRho(AH11)</f>
        <v>0.23375959750906355</v>
      </c>
      <c r="AM11" s="159">
        <f>_xll.qlSabrInterpolatedSmileSectionNu(AH11)</f>
        <v>1.8500115561810797</v>
      </c>
      <c r="AN11" s="105" t="s">
        <v>58</v>
      </c>
      <c r="AU11" s="297">
        <f>T11</f>
        <v>18.77672569908837</v>
      </c>
      <c r="AV11" s="266" t="str">
        <f>_xll.qlHestonModelHelper(,$B11,"TARGET",$C$38,Q11,C11/100,I_ValuationDate!$E$5,I_ValuationDate!$E$6,"RelativePriceError")</f>
        <v>obj_0043e#0003</v>
      </c>
      <c r="AW11" s="267" t="str">
        <f>_xll.qlHestonModelHelper(,$B11,"TARGET",$C$38,R11,D11/100,I_ValuationDate!$E$5,I_ValuationDate!$E$6,"RelativePriceError")</f>
        <v>obj_00497#0003</v>
      </c>
      <c r="AX11" s="267" t="str">
        <f>_xll.qlHestonModelHelper(,$B11,"TARGET",$C$38,S11,E11/100,I_ValuationDate!$E$5,I_ValuationDate!$E$6,"RelativePriceError")</f>
        <v>obj_003f6#0003</v>
      </c>
      <c r="AY11" s="267" t="str">
        <f>_xll.qlHestonModelHelper(,$B11,"TARGET",$C$38,T11,F11/100,I_ValuationDate!$E$5,I_ValuationDate!$E$6,"RelativePriceError")</f>
        <v>obj_0025e#0003</v>
      </c>
      <c r="AZ11" s="267" t="str">
        <f>_xll.qlHestonModelHelper(,$B11,"TARGET",$C$38,U11,G11/100,I_ValuationDate!$E$5,I_ValuationDate!$E$6,"RelativePriceError")</f>
        <v>obj_00536#0003</v>
      </c>
      <c r="BA11" s="267" t="str">
        <f>_xll.qlHestonModelHelper(,$B11,"TARGET",$C$38,V11,H11/100,I_ValuationDate!$E$5,I_ValuationDate!$E$6,"RelativePriceError")</f>
        <v>obj_00559#0003</v>
      </c>
      <c r="BB11" s="267" t="str">
        <f>_xll.qlHestonModelHelper(,$B11,"TARGET",$C$38,W11,I11/100,I_ValuationDate!$E$5,I_ValuationDate!$E$6,"RelativePriceError")</f>
        <v>obj_0040d#0003</v>
      </c>
      <c r="BC11" s="267" t="str">
        <f>_xll.qlHestonModelHelper(,$B11,"TARGET",$C$38,X11,J11/100,I_ValuationDate!$E$5,I_ValuationDate!$E$6,"RelativePriceError")</f>
        <v>obj_00405#0003</v>
      </c>
      <c r="BD11" s="267" t="str">
        <f>_xll.qlHestonModelHelper(,$B11,"TARGET",$C$38,Y11,K11/100,I_ValuationDate!$E$5,I_ValuationDate!$E$6,"RelativePriceError")</f>
        <v>obj_00424#0003</v>
      </c>
      <c r="BE11" s="267" t="str">
        <f>_xll.qlHestonModelHelper(,$B11,"TARGET",$C$38,Z11,L11/100,I_ValuationDate!$E$5,I_ValuationDate!$E$6,"RelativePriceError")</f>
        <v>obj_004f8#0003</v>
      </c>
      <c r="BF11" s="268" t="str">
        <f>_xll.qlHestonModelHelper(,$B11,"TARGET",$C$38,AA11,M11/100,I_ValuationDate!$E$5,I_ValuationDate!$E$6,"RelativePriceError")</f>
        <v>obj_00584#0003</v>
      </c>
    </row>
    <row r="12" spans="1:58">
      <c r="B12" s="105" t="s">
        <v>59</v>
      </c>
      <c r="C12" s="98">
        <v>6.73</v>
      </c>
      <c r="D12" s="99">
        <v>6.6</v>
      </c>
      <c r="E12" s="99">
        <v>6.5389999999999997</v>
      </c>
      <c r="F12" s="99">
        <v>6.4850000000000003</v>
      </c>
      <c r="G12" s="99">
        <v>6.492</v>
      </c>
      <c r="H12" s="99">
        <v>6.5880000000000001</v>
      </c>
      <c r="I12" s="99">
        <v>6.82</v>
      </c>
      <c r="J12" s="99">
        <v>7.0570000000000004</v>
      </c>
      <c r="K12" s="99">
        <v>7.3</v>
      </c>
      <c r="L12" s="99">
        <v>7.59</v>
      </c>
      <c r="M12" s="100">
        <v>7.9</v>
      </c>
      <c r="O12" s="114">
        <f>_xll.qlCalendarAdvance("NullCalendar",$C$3,B12)</f>
        <v>43049</v>
      </c>
      <c r="P12" s="117">
        <f>(O12-$C$3)/365</f>
        <v>8.4931506849315067E-2</v>
      </c>
      <c r="Q12" s="125">
        <f>_xll.qlBlackDeltaCalculatorStrikeFromDelta(_xll.qlBlackDeltaCalculator(,Q$6,"Spot",$C$38,1,1,C12%*SQRT($P12)),Q$7)</f>
        <v>18.400363131786797</v>
      </c>
      <c r="R12" s="126">
        <f>_xll.qlBlackDeltaCalculatorStrikeFromDelta(_xll.qlBlackDeltaCalculator(,R$6,"Spot",$C$38,1,1,D12%*SQRT($P12)),R$7)</f>
        <v>18.540807269318982</v>
      </c>
      <c r="S12" s="126">
        <f>_xll.qlBlackDeltaCalculatorStrikeFromDelta(_xll.qlBlackDeltaCalculator(,S$6,"Spot",$C$38,1,1,E12%*SQRT($P12)),S$7)</f>
        <v>18.63179713829674</v>
      </c>
      <c r="T12" s="126">
        <f>_xll.qlBlackDeltaCalculatorStrikeFromDelta(_xll.qlBlackDeltaCalculator(,T$6,"Spot",$C$38,1,1,F12%*SQRT($P12)),T$7)</f>
        <v>18.762688143930536</v>
      </c>
      <c r="U12" s="126">
        <f>_xll.qlBlackDeltaCalculatorStrikeFromDelta(_xll.qlBlackDeltaCalculator(,U$6,"Spot",$C$38,1,1,G12%*SQRT($P12)),U$7)</f>
        <v>18.865367431835978</v>
      </c>
      <c r="V12" s="127">
        <f>_xll.qlBlackDeltaCalculatorAtmStrike(_xll.qlBlackDeltaCalculator(,V$6,"Spot",$C$38,1,1,H12%*SQRT($P12)),"AtmFwd")</f>
        <v>19</v>
      </c>
      <c r="W12" s="126">
        <f>_xll.qlBlackDeltaCalculatorStrikeFromDelta(_xll.qlBlackDeltaCalculator(,W$6,"Spot",$C$38,1,1,I12%*SQRT($P12)),W$7)</f>
        <v>19.149851237431371</v>
      </c>
      <c r="X12" s="126">
        <f>_xll.qlBlackDeltaCalculatorStrikeFromDelta(_xll.qlBlackDeltaCalculator(,X$6,"Spot",$C$38,1,1,J12%*SQRT($P12)),X$7)</f>
        <v>19.269473701884575</v>
      </c>
      <c r="Y12" s="126">
        <f>_xll.qlBlackDeltaCalculatorStrikeFromDelta(_xll.qlBlackDeltaCalculator(,Y$6,"Spot",$C$38,1,1,K12%*SQRT($P12)),Y$7)</f>
        <v>19.427989331821276</v>
      </c>
      <c r="Z12" s="126">
        <f>_xll.qlBlackDeltaCalculatorStrikeFromDelta(_xll.qlBlackDeltaCalculator(,Z$6,"Spot",$C$38,1,1,L12%*SQRT($P12)),Z$7)</f>
        <v>19.551088328954712</v>
      </c>
      <c r="AA12" s="128">
        <f>_xll.qlBlackDeltaCalculatorStrikeFromDelta(_xll.qlBlackDeltaCalculator(,AA$6,"Spot",$C$38,1,1,M12%*SQRT($P12)),AA$7)</f>
        <v>19.738547256676142</v>
      </c>
      <c r="AC12" s="140">
        <f>$C$38</f>
        <v>19</v>
      </c>
      <c r="AD12" s="144">
        <v>6.4987701435258338E-2</v>
      </c>
      <c r="AE12" s="145">
        <v>0.7</v>
      </c>
      <c r="AF12" s="145">
        <v>0.23622746263824057</v>
      </c>
      <c r="AG12" s="146">
        <v>1.666236479944659</v>
      </c>
      <c r="AH12" s="155" t="str">
        <f t="array" ref="AH12">_xll.qlSabrInterpolatedSmileSection(,O12,AC12,Q12:AA12,FALSE,H12%,C12:M12%,AD12,AE12,AG12,AF12,AD$6,AE$6,AG$6,AF$6,TRUE,,,"Actual/365 (Fixed)",0,FALSE)</f>
        <v>obj_00638#0003</v>
      </c>
      <c r="AI12" s="156">
        <f>_xll.qlSabrInterpolatedSmileSectionMaxError(AH12)</f>
        <v>8.8758821322150461E-4</v>
      </c>
      <c r="AJ12" s="157">
        <f>_xll.qlSabrInterpolatedSmileSectionAlpha(AH12)</f>
        <v>0.15720170668466121</v>
      </c>
      <c r="AK12" s="156">
        <f>_xll.qlSabrInterpolatedSmileSectionBeta(AH12)</f>
        <v>0.7</v>
      </c>
      <c r="AL12" s="158">
        <f>_xll.qlSabrInterpolatedSmileSectionRho(AH12)</f>
        <v>0.23622747238244257</v>
      </c>
      <c r="AM12" s="159">
        <f>_xll.qlSabrInterpolatedSmileSectionNu(AH12)</f>
        <v>1.6662364882495801</v>
      </c>
      <c r="AN12" s="105" t="s">
        <v>59</v>
      </c>
      <c r="AU12" s="297">
        <f>T12</f>
        <v>18.762688143930536</v>
      </c>
      <c r="AV12" s="266" t="str">
        <f>_xll.qlHestonModelHelper(,$B12,"TARGET",$C$38,Q12,C12/100,I_ValuationDate!$E$5,I_ValuationDate!$E$6,"RelativePriceError")</f>
        <v>obj_00482#0003</v>
      </c>
      <c r="AW12" s="267" t="str">
        <f>_xll.qlHestonModelHelper(,$B12,"TARGET",$C$38,R12,D12/100,I_ValuationDate!$E$5,I_ValuationDate!$E$6,"RelativePriceError")</f>
        <v>obj_003b2#0003</v>
      </c>
      <c r="AX12" s="267" t="str">
        <f>_xll.qlHestonModelHelper(,$B12,"TARGET",$C$38,S12,E12/100,I_ValuationDate!$E$5,I_ValuationDate!$E$6,"RelativePriceError")</f>
        <v>obj_00420#0003</v>
      </c>
      <c r="AY12" s="267" t="str">
        <f>_xll.qlHestonModelHelper(,$B12,"TARGET",$C$38,T12,F12/100,I_ValuationDate!$E$5,I_ValuationDate!$E$6,"RelativePriceError")</f>
        <v>obj_002c2#0003</v>
      </c>
      <c r="AZ12" s="267" t="str">
        <f>_xll.qlHestonModelHelper(,$B12,"TARGET",$C$38,U12,G12/100,I_ValuationDate!$E$5,I_ValuationDate!$E$6,"RelativePriceError")</f>
        <v>obj_003d9#0003</v>
      </c>
      <c r="BA12" s="267" t="str">
        <f>_xll.qlHestonModelHelper(,$B12,"TARGET",$C$38,V12,H12/100,I_ValuationDate!$E$5,I_ValuationDate!$E$6,"RelativePriceError")</f>
        <v>obj_00604#0003</v>
      </c>
      <c r="BB12" s="267" t="str">
        <f>_xll.qlHestonModelHelper(,$B12,"TARGET",$C$38,W12,I12/100,I_ValuationDate!$E$5,I_ValuationDate!$E$6,"RelativePriceError")</f>
        <v>obj_00488#0003</v>
      </c>
      <c r="BC12" s="267" t="str">
        <f>_xll.qlHestonModelHelper(,$B12,"TARGET",$C$38,X12,J12/100,I_ValuationDate!$E$5,I_ValuationDate!$E$6,"RelativePriceError")</f>
        <v>obj_005f1#0003</v>
      </c>
      <c r="BD12" s="267" t="str">
        <f>_xll.qlHestonModelHelper(,$B12,"TARGET",$C$38,Y12,K12/100,I_ValuationDate!$E$5,I_ValuationDate!$E$6,"RelativePriceError")</f>
        <v>obj_004b4#0003</v>
      </c>
      <c r="BE12" s="267" t="str">
        <f>_xll.qlHestonModelHelper(,$B12,"TARGET",$C$38,Z12,L12/100,I_ValuationDate!$E$5,I_ValuationDate!$E$6,"RelativePriceError")</f>
        <v>obj_00599#0003</v>
      </c>
      <c r="BF12" s="268" t="str">
        <f>_xll.qlHestonModelHelper(,$B12,"TARGET",$C$38,AA12,M12/100,I_ValuationDate!$E$5,I_ValuationDate!$E$6,"RelativePriceError")</f>
        <v>obj_005ab#0003</v>
      </c>
    </row>
    <row r="13" spans="1:58">
      <c r="B13" s="105" t="s">
        <v>60</v>
      </c>
      <c r="C13" s="98">
        <v>6.9420000000000002</v>
      </c>
      <c r="D13" s="99">
        <v>6.8150000000000004</v>
      </c>
      <c r="E13" s="99">
        <v>6.72</v>
      </c>
      <c r="F13" s="99">
        <v>6.6589999999999998</v>
      </c>
      <c r="G13" s="99">
        <v>6.65</v>
      </c>
      <c r="H13" s="99">
        <v>6.7549999999999999</v>
      </c>
      <c r="I13" s="99">
        <v>6.9930000000000003</v>
      </c>
      <c r="J13" s="99">
        <v>7.2489999999999997</v>
      </c>
      <c r="K13" s="99">
        <v>7.55</v>
      </c>
      <c r="L13" s="99">
        <v>7.8470000000000004</v>
      </c>
      <c r="M13" s="100">
        <v>8.1649999999999991</v>
      </c>
      <c r="O13" s="114">
        <f>_xll.qlCalendarAdvance("NullCalendar",$C$3,B13)</f>
        <v>43079</v>
      </c>
      <c r="P13" s="117">
        <f>(O13-$C$3)/365</f>
        <v>0.16712328767123288</v>
      </c>
      <c r="Q13" s="125">
        <f>_xll.qlBlackDeltaCalculatorStrikeFromDelta(_xll.qlBlackDeltaCalculator(,Q$6,"Spot",$C$38,1,1,C13%*SQRT($P13)),Q$7)</f>
        <v>18.140767026196528</v>
      </c>
      <c r="R13" s="126">
        <f>_xll.qlBlackDeltaCalculatorStrikeFromDelta(_xll.qlBlackDeltaCalculator(,R$6,"Spot",$C$38,1,1,D13%*SQRT($P13)),R$7)</f>
        <v>18.340702720088174</v>
      </c>
      <c r="S13" s="126">
        <f>_xll.qlBlackDeltaCalculatorStrikeFromDelta(_xll.qlBlackDeltaCalculator(,S$6,"Spot",$C$38,1,1,E13%*SQRT($P13)),S$7)</f>
        <v>18.473616836251512</v>
      </c>
      <c r="T13" s="126">
        <f>_xll.qlBlackDeltaCalculatorStrikeFromDelta(_xll.qlBlackDeltaCalculator(,T$6,"Spot",$C$38,1,1,F13%*SQRT($P13)),T$7)</f>
        <v>18.661232334344561</v>
      </c>
      <c r="U13" s="126">
        <f>_xll.qlBlackDeltaCalculatorStrikeFromDelta(_xll.qlBlackDeltaCalculator(,U$6,"Spot",$C$38,1,1,G13%*SQRT($P13)),U$7)</f>
        <v>18.808959255076811</v>
      </c>
      <c r="V13" s="127">
        <f>_xll.qlBlackDeltaCalculatorAtmStrike(_xll.qlBlackDeltaCalculator(,V$6,"Spot",$C$38,1,1,H13%*SQRT($P13)),"AtmFwd")</f>
        <v>19</v>
      </c>
      <c r="W13" s="126">
        <f>_xll.qlBlackDeltaCalculatorStrikeFromDelta(_xll.qlBlackDeltaCalculator(,W$6,"Spot",$C$38,1,1,I13%*SQRT($P13)),W$7)</f>
        <v>19.218303064917279</v>
      </c>
      <c r="X13" s="126">
        <f>_xll.qlBlackDeltaCalculatorStrikeFromDelta(_xll.qlBlackDeltaCalculator(,X$6,"Spot",$C$38,1,1,J13%*SQRT($P13)),X$7)</f>
        <v>19.392108374701504</v>
      </c>
      <c r="Y13" s="126">
        <f>_xll.qlBlackDeltaCalculatorStrikeFromDelta(_xll.qlBlackDeltaCalculator(,Y$6,"Spot",$C$38,1,1,K13%*SQRT($P13)),Y$7)</f>
        <v>19.626972257811584</v>
      </c>
      <c r="Z13" s="126">
        <f>_xll.qlBlackDeltaCalculatorStrikeFromDelta(_xll.qlBlackDeltaCalculator(,Z$6,"Spot",$C$38,1,1,L13%*SQRT($P13)),Z$7)</f>
        <v>19.807576789504427</v>
      </c>
      <c r="AA13" s="128">
        <f>_xll.qlBlackDeltaCalculatorStrikeFromDelta(_xll.qlBlackDeltaCalculator(,AA$6,"Spot",$C$38,1,1,M13%*SQRT($P13)),AA$7)</f>
        <v>20.083524486050369</v>
      </c>
      <c r="AC13" s="140">
        <f>$C$38</f>
        <v>19</v>
      </c>
      <c r="AD13" s="144">
        <v>6.648245675140757E-2</v>
      </c>
      <c r="AE13" s="145">
        <v>0.7</v>
      </c>
      <c r="AF13" s="145">
        <v>0.23413014857513628</v>
      </c>
      <c r="AG13" s="146">
        <v>1.2438278243420586</v>
      </c>
      <c r="AH13" s="155" t="str">
        <f t="array" ref="AH13">_xll.qlSabrInterpolatedSmileSection(,O13,AC13,Q13:AA13,FALSE,H13%,C13:M13%,AD13,AE13,AG13,AF13,AD$6,AE$6,AG$6,AF$6,TRUE,,,"Actual/365 (Fixed)",0,FALSE)</f>
        <v>obj_0064f#0003</v>
      </c>
      <c r="AI13" s="156">
        <f>_xll.qlSabrInterpolatedSmileSectionMaxError(AH13)</f>
        <v>1.1340693131115381E-3</v>
      </c>
      <c r="AJ13" s="157">
        <f>_xll.qlSabrInterpolatedSmileSectionAlpha(AH13)</f>
        <v>0.16081743016103925</v>
      </c>
      <c r="AK13" s="156">
        <f>_xll.qlSabrInterpolatedSmileSectionBeta(AH13)</f>
        <v>0.7</v>
      </c>
      <c r="AL13" s="158">
        <f>_xll.qlSabrInterpolatedSmileSectionRho(AH13)</f>
        <v>0.23412984405990411</v>
      </c>
      <c r="AM13" s="159">
        <f>_xll.qlSabrInterpolatedSmileSectionNu(AH13)</f>
        <v>1.2438283817385869</v>
      </c>
      <c r="AN13" s="105" t="s">
        <v>60</v>
      </c>
      <c r="AU13" s="297">
        <f>T13</f>
        <v>18.661232334344561</v>
      </c>
      <c r="AV13" s="266" t="str">
        <f>_xll.qlHestonModelHelper(,$B13,"TARGET",$C$38,Q13,C13/100,I_ValuationDate!$E$5,I_ValuationDate!$E$6,"RelativePriceError")</f>
        <v>obj_005a8#0003</v>
      </c>
      <c r="AW13" s="267" t="str">
        <f>_xll.qlHestonModelHelper(,$B13,"TARGET",$C$38,R13,D13/100,I_ValuationDate!$E$5,I_ValuationDate!$E$6,"RelativePriceError")</f>
        <v>obj_005d8#0003</v>
      </c>
      <c r="AX13" s="267" t="str">
        <f>_xll.qlHestonModelHelper(,$B13,"TARGET",$C$38,S13,E13/100,I_ValuationDate!$E$5,I_ValuationDate!$E$6,"RelativePriceError")</f>
        <v>obj_00589#0003</v>
      </c>
      <c r="AY13" s="267" t="str">
        <f>_xll.qlHestonModelHelper(,$B13,"TARGET",$C$38,T13,F13/100,I_ValuationDate!$E$5,I_ValuationDate!$E$6,"RelativePriceError")</f>
        <v>obj_00324#0003</v>
      </c>
      <c r="AZ13" s="267" t="str">
        <f>_xll.qlHestonModelHelper(,$B13,"TARGET",$C$38,U13,G13/100,I_ValuationDate!$E$5,I_ValuationDate!$E$6,"RelativePriceError")</f>
        <v>obj_00587#0003</v>
      </c>
      <c r="BA13" s="267" t="str">
        <f>_xll.qlHestonModelHelper(,$B13,"TARGET",$C$38,V13,H13/100,I_ValuationDate!$E$5,I_ValuationDate!$E$6,"RelativePriceError")</f>
        <v>obj_004d7#0003</v>
      </c>
      <c r="BB13" s="267" t="str">
        <f>_xll.qlHestonModelHelper(,$B13,"TARGET",$C$38,W13,I13/100,I_ValuationDate!$E$5,I_ValuationDate!$E$6,"RelativePriceError")</f>
        <v>obj_00573#0003</v>
      </c>
      <c r="BC13" s="267" t="str">
        <f>_xll.qlHestonModelHelper(,$B13,"TARGET",$C$38,X13,J13/100,I_ValuationDate!$E$5,I_ValuationDate!$E$6,"RelativePriceError")</f>
        <v>obj_0054f#0003</v>
      </c>
      <c r="BD13" s="267" t="str">
        <f>_xll.qlHestonModelHelper(,$B13,"TARGET",$C$38,Y13,K13/100,I_ValuationDate!$E$5,I_ValuationDate!$E$6,"RelativePriceError")</f>
        <v>obj_00534#0003</v>
      </c>
      <c r="BE13" s="267" t="str">
        <f>_xll.qlHestonModelHelper(,$B13,"TARGET",$C$38,Z13,L13/100,I_ValuationDate!$E$5,I_ValuationDate!$E$6,"RelativePriceError")</f>
        <v>obj_003cc#0003</v>
      </c>
      <c r="BF13" s="268" t="str">
        <f>_xll.qlHestonModelHelper(,$B13,"TARGET",$C$38,AA13,M13/100,I_ValuationDate!$E$5,I_ValuationDate!$E$6,"RelativePriceError")</f>
        <v>obj_003a5#0003</v>
      </c>
    </row>
    <row r="14" spans="1:58">
      <c r="B14" s="105" t="s">
        <v>61</v>
      </c>
      <c r="C14" s="98">
        <v>7.0629999999999997</v>
      </c>
      <c r="D14" s="99">
        <v>6.899</v>
      </c>
      <c r="E14" s="99">
        <v>6.77</v>
      </c>
      <c r="F14" s="99">
        <v>6.6840000000000002</v>
      </c>
      <c r="G14" s="99">
        <v>6.66</v>
      </c>
      <c r="H14" s="99">
        <v>6.76</v>
      </c>
      <c r="I14" s="99">
        <v>7.0030000000000001</v>
      </c>
      <c r="J14" s="99">
        <v>7.274</v>
      </c>
      <c r="K14" s="99">
        <v>7.6</v>
      </c>
      <c r="L14" s="99">
        <v>7.9240000000000004</v>
      </c>
      <c r="M14" s="100">
        <v>8.2759999999999998</v>
      </c>
      <c r="O14" s="114">
        <f>_xll.qlCalendarAdvance("NullCalendar",$C$3,B14)</f>
        <v>43110</v>
      </c>
      <c r="P14" s="117">
        <f>(O14-$C$3)/365</f>
        <v>0.25205479452054796</v>
      </c>
      <c r="Q14" s="125">
        <f>_xll.qlBlackDeltaCalculatorStrikeFromDelta(_xll.qlBlackDeltaCalculator(,Q$6,"Spot",$C$38,1,1,C14%*SQRT($P14)),Q$7)</f>
        <v>17.934772818300967</v>
      </c>
      <c r="R14" s="126">
        <f>_xll.qlBlackDeltaCalculatorStrikeFromDelta(_xll.qlBlackDeltaCalculator(,R$6,"Spot",$C$38,1,1,D14%*SQRT($P14)),R$7)</f>
        <v>18.185969663315415</v>
      </c>
      <c r="S14" s="126">
        <f>_xll.qlBlackDeltaCalculatorStrikeFromDelta(_xll.qlBlackDeltaCalculator(,S$6,"Spot",$C$38,1,1,E14%*SQRT($P14)),S$7)</f>
        <v>18.352933880637437</v>
      </c>
      <c r="T14" s="126">
        <f>_xll.qlBlackDeltaCalculatorStrikeFromDelta(_xll.qlBlackDeltaCalculator(,T$6,"Spot",$C$38,1,1,F14%*SQRT($P14)),T$7)</f>
        <v>18.585247547054053</v>
      </c>
      <c r="U14" s="126">
        <f>_xll.qlBlackDeltaCalculatorStrikeFromDelta(_xll.qlBlackDeltaCalculator(,U$6,"Spot",$C$38,1,1,G14%*SQRT($P14)),U$7)</f>
        <v>18.767266089398895</v>
      </c>
      <c r="V14" s="127">
        <f>_xll.qlBlackDeltaCalculatorAtmStrike(_xll.qlBlackDeltaCalculator(,V$6,"Spot",$C$38,1,1,H14%*SQRT($P14)),"AtmFwd")</f>
        <v>19</v>
      </c>
      <c r="W14" s="126">
        <f>_xll.qlBlackDeltaCalculatorStrikeFromDelta(_xll.qlBlackDeltaCalculator(,W$6,"Spot",$C$38,1,1,I14%*SQRT($P14)),W$7)</f>
        <v>19.271057752308405</v>
      </c>
      <c r="X14" s="126">
        <f>_xll.qlBlackDeltaCalculatorStrikeFromDelta(_xll.qlBlackDeltaCalculator(,X$6,"Spot",$C$38,1,1,J14%*SQRT($P14)),X$7)</f>
        <v>19.48680564026056</v>
      </c>
      <c r="Y14" s="126">
        <f>_xll.qlBlackDeltaCalculatorStrikeFromDelta(_xll.qlBlackDeltaCalculator(,Y$6,"Spot",$C$38,1,1,K14%*SQRT($P14)),Y$7)</f>
        <v>19.780822446316368</v>
      </c>
      <c r="Z14" s="126">
        <f>_xll.qlBlackDeltaCalculatorStrikeFromDelta(_xll.qlBlackDeltaCalculator(,Z$6,"Spot",$C$38,1,1,L14%*SQRT($P14)),Z$7)</f>
        <v>20.009629106478577</v>
      </c>
      <c r="AA14" s="128">
        <f>_xll.qlBlackDeltaCalculatorStrikeFromDelta(_xll.qlBlackDeltaCalculator(,AA$6,"Spot",$C$38,1,1,M14%*SQRT($P14)),AA$7)</f>
        <v>20.361489640902946</v>
      </c>
      <c r="AC14" s="140">
        <f>$C$38</f>
        <v>19</v>
      </c>
      <c r="AD14" s="144">
        <v>6.6335096159272133E-2</v>
      </c>
      <c r="AE14" s="145">
        <v>0.7</v>
      </c>
      <c r="AF14" s="145">
        <v>0.22030508891792794</v>
      </c>
      <c r="AG14" s="146">
        <v>1.0756510289345638</v>
      </c>
      <c r="AH14" s="155" t="str">
        <f t="array" ref="AH14">_xll.qlSabrInterpolatedSmileSection(,O14,AC14,Q14:AA14,FALSE,H14%,C14:M14%,AD14,AE14,AG14,AF14,AD$6,AE$6,AG$6,AF$6,TRUE,,,"Actual/365 (Fixed)",0,FALSE)</f>
        <v>obj_00642#0003</v>
      </c>
      <c r="AI14" s="156">
        <f>_xll.qlSabrInterpolatedSmileSectionMaxError(AH14)</f>
        <v>1.2003465889190573E-3</v>
      </c>
      <c r="AJ14" s="157">
        <f>_xll.qlSabrInterpolatedSmileSectionAlpha(AH14)</f>
        <v>0.16046095798204743</v>
      </c>
      <c r="AK14" s="156">
        <f>_xll.qlSabrInterpolatedSmileSectionBeta(AH14)</f>
        <v>0.7</v>
      </c>
      <c r="AL14" s="158">
        <f>_xll.qlSabrInterpolatedSmileSectionRho(AH14)</f>
        <v>0.22030500470384137</v>
      </c>
      <c r="AM14" s="159">
        <f>_xll.qlSabrInterpolatedSmileSectionNu(AH14)</f>
        <v>1.075652298309909</v>
      </c>
      <c r="AN14" s="105" t="s">
        <v>61</v>
      </c>
      <c r="AU14" s="297">
        <f>T14</f>
        <v>18.585247547054053</v>
      </c>
      <c r="AV14" s="266" t="str">
        <f>_xll.qlHestonModelHelper(,$B14,"TARGET",$C$38,Q14,C14/100,I_ValuationDate!$E$5,I_ValuationDate!$E$6,"RelativePriceError")</f>
        <v>obj_0053e#0003</v>
      </c>
      <c r="AW14" s="267" t="str">
        <f>_xll.qlHestonModelHelper(,$B14,"TARGET",$C$38,R14,D14/100,I_ValuationDate!$E$5,I_ValuationDate!$E$6,"RelativePriceError")</f>
        <v>obj_0056a#0003</v>
      </c>
      <c r="AX14" s="267" t="str">
        <f>_xll.qlHestonModelHelper(,$B14,"TARGET",$C$38,S14,E14/100,I_ValuationDate!$E$5,I_ValuationDate!$E$6,"RelativePriceError")</f>
        <v>obj_0057f#0003</v>
      </c>
      <c r="AY14" s="267" t="str">
        <f>_xll.qlHestonModelHelper(,$B14,"TARGET",$C$38,T14,F14/100,I_ValuationDate!$E$5,I_ValuationDate!$E$6,"RelativePriceError")</f>
        <v>obj_002c7#0003</v>
      </c>
      <c r="AZ14" s="267" t="str">
        <f>_xll.qlHestonModelHelper(,$B14,"TARGET",$C$38,U14,G14/100,I_ValuationDate!$E$5,I_ValuationDate!$E$6,"RelativePriceError")</f>
        <v>obj_0057c#0003</v>
      </c>
      <c r="BA14" s="267" t="str">
        <f>_xll.qlHestonModelHelper(,$B14,"TARGET",$C$38,V14,H14/100,I_ValuationDate!$E$5,I_ValuationDate!$E$6,"RelativePriceError")</f>
        <v>obj_005e3#0003</v>
      </c>
      <c r="BB14" s="267" t="str">
        <f>_xll.qlHestonModelHelper(,$B14,"TARGET",$C$38,W14,I14/100,I_ValuationDate!$E$5,I_ValuationDate!$E$6,"RelativePriceError")</f>
        <v>obj_00585#0003</v>
      </c>
      <c r="BC14" s="267" t="str">
        <f>_xll.qlHestonModelHelper(,$B14,"TARGET",$C$38,X14,J14/100,I_ValuationDate!$E$5,I_ValuationDate!$E$6,"RelativePriceError")</f>
        <v>obj_0045b#0003</v>
      </c>
      <c r="BD14" s="267" t="str">
        <f>_xll.qlHestonModelHelper(,$B14,"TARGET",$C$38,Y14,K14/100,I_ValuationDate!$E$5,I_ValuationDate!$E$6,"RelativePriceError")</f>
        <v>obj_0040a#0003</v>
      </c>
      <c r="BE14" s="267" t="str">
        <f>_xll.qlHestonModelHelper(,$B14,"TARGET",$C$38,Z14,L14/100,I_ValuationDate!$E$5,I_ValuationDate!$E$6,"RelativePriceError")</f>
        <v>obj_005f5#0003</v>
      </c>
      <c r="BF14" s="268" t="str">
        <f>_xll.qlHestonModelHelper(,$B14,"TARGET",$C$38,AA14,M14/100,I_ValuationDate!$E$5,I_ValuationDate!$E$6,"RelativePriceError")</f>
        <v>obj_003c4#0003</v>
      </c>
    </row>
    <row r="15" spans="1:58">
      <c r="B15" s="105" t="s">
        <v>62</v>
      </c>
      <c r="C15" s="98">
        <v>7.7</v>
      </c>
      <c r="D15" s="99">
        <v>7.4</v>
      </c>
      <c r="E15" s="99">
        <v>7.15</v>
      </c>
      <c r="F15" s="99">
        <v>7.0270000000000001</v>
      </c>
      <c r="G15" s="99">
        <v>6.968</v>
      </c>
      <c r="H15" s="99">
        <v>7.0350000000000001</v>
      </c>
      <c r="I15" s="99">
        <v>7.2629999999999999</v>
      </c>
      <c r="J15" s="99">
        <v>7.532</v>
      </c>
      <c r="K15" s="99">
        <v>7.84</v>
      </c>
      <c r="L15" s="99">
        <v>8.2149999999999999</v>
      </c>
      <c r="M15" s="100">
        <v>8.6010000000000009</v>
      </c>
      <c r="O15" s="114">
        <f>_xll.qlCalendarAdvance("NullCalendar",$C$3,B15)</f>
        <v>43141</v>
      </c>
      <c r="P15" s="117">
        <f>(O15-$C$3)/365</f>
        <v>0.33698630136986302</v>
      </c>
      <c r="Q15" s="125">
        <f>_xll.qlBlackDeltaCalculatorStrikeFromDelta(_xll.qlBlackDeltaCalculator(,Q$6,"Spot",$C$38,1,1,C15%*SQRT($P15)),Q$7)</f>
        <v>17.670822360084863</v>
      </c>
      <c r="R15" s="126">
        <f>_xll.qlBlackDeltaCalculatorStrikeFromDelta(_xll.qlBlackDeltaCalculator(,R$6,"Spot",$C$38,1,1,D15%*SQRT($P15)),R$7)</f>
        <v>17.998880163510695</v>
      </c>
      <c r="S15" s="126">
        <f>_xll.qlBlackDeltaCalculatorStrikeFromDelta(_xll.qlBlackDeltaCalculator(,S$6,"Spot",$C$38,1,1,E15%*SQRT($P15)),S$7)</f>
        <v>18.215666614943373</v>
      </c>
      <c r="T15" s="126">
        <f>_xll.qlBlackDeltaCalculatorStrikeFromDelta(_xll.qlBlackDeltaCalculator(,T$6,"Spot",$C$38,1,1,F15%*SQRT($P15)),T$7)</f>
        <v>18.499748228827453</v>
      </c>
      <c r="U15" s="126">
        <f>_xll.qlBlackDeltaCalculatorStrikeFromDelta(_xll.qlBlackDeltaCalculator(,U$6,"Spot",$C$38,1,1,G15%*SQRT($P15)),U$7)</f>
        <v>18.721470202158809</v>
      </c>
      <c r="V15" s="127">
        <f>_xll.qlBlackDeltaCalculatorAtmStrike(_xll.qlBlackDeltaCalculator(,V$6,"Spot",$C$38,1,1,H15%*SQRT($P15)),"AtmFwd")</f>
        <v>19</v>
      </c>
      <c r="W15" s="126">
        <f>_xll.qlBlackDeltaCalculatorStrikeFromDelta(_xll.qlBlackDeltaCalculator(,W$6,"Spot",$C$38,1,1,I15%*SQRT($P15)),W$7)</f>
        <v>19.328365225928213</v>
      </c>
      <c r="X15" s="126">
        <f>_xll.qlBlackDeltaCalculatorStrikeFromDelta(_xll.qlBlackDeltaCalculator(,X$6,"Spot",$C$38,1,1,J15%*SQRT($P15)),X$7)</f>
        <v>19.587390425684561</v>
      </c>
      <c r="Y15" s="126">
        <f>_xll.qlBlackDeltaCalculatorStrikeFromDelta(_xll.qlBlackDeltaCalculator(,Y$6,"Spot",$C$38,1,1,K15%*SQRT($P15)),Y$7)</f>
        <v>19.938337447085644</v>
      </c>
      <c r="Z15" s="126">
        <f>_xll.qlBlackDeltaCalculatorStrikeFromDelta(_xll.qlBlackDeltaCalculator(,Z$6,"Spot",$C$38,1,1,L15%*SQRT($P15)),Z$7)</f>
        <v>20.220386975774861</v>
      </c>
      <c r="AA15" s="128">
        <f>_xll.qlBlackDeltaCalculatorStrikeFromDelta(_xll.qlBlackDeltaCalculator(,AA$6,"Spot",$C$38,1,1,M15%*SQRT($P15)),AA$7)</f>
        <v>20.651991545214379</v>
      </c>
      <c r="AC15" s="140">
        <f>$C$38</f>
        <v>19</v>
      </c>
      <c r="AD15" s="144">
        <v>6.8692845709085362E-2</v>
      </c>
      <c r="AE15" s="145">
        <v>0.7</v>
      </c>
      <c r="AF15" s="145">
        <v>0.1641956171987218</v>
      </c>
      <c r="AG15" s="146">
        <v>0.99276937706996249</v>
      </c>
      <c r="AH15" s="155" t="str">
        <f t="array" ref="AH15">_xll.qlSabrInterpolatedSmileSection(,O15,AC15,Q15:AA15,FALSE,H15%,C15:M15%,AD15,AE15,AG15,AF15,AD$6,AE$6,AG$6,AF$6,TRUE,,,"Actual/365 (Fixed)",0,FALSE)</f>
        <v>obj_0065d#0003</v>
      </c>
      <c r="AI15" s="156">
        <f>_xll.qlSabrInterpolatedSmileSectionMaxError(AH15)</f>
        <v>1.260014037649082E-3</v>
      </c>
      <c r="AJ15" s="157">
        <f>_xll.qlSabrInterpolatedSmileSectionAlpha(AH15)</f>
        <v>0.16616424893165693</v>
      </c>
      <c r="AK15" s="156">
        <f>_xll.qlSabrInterpolatedSmileSectionBeta(AH15)</f>
        <v>0.7</v>
      </c>
      <c r="AL15" s="158">
        <f>_xll.qlSabrInterpolatedSmileSectionRho(AH15)</f>
        <v>0.16419561579155209</v>
      </c>
      <c r="AM15" s="159">
        <f>_xll.qlSabrInterpolatedSmileSectionNu(AH15)</f>
        <v>0.99276936872597021</v>
      </c>
      <c r="AN15" s="105" t="s">
        <v>62</v>
      </c>
      <c r="AU15" s="297">
        <f>T15</f>
        <v>18.499748228827453</v>
      </c>
      <c r="AV15" s="266" t="str">
        <f>_xll.qlHestonModelHelper(,$B15,"TARGET",$C$38,Q15,C15/100,I_ValuationDate!$E$5,I_ValuationDate!$E$6,"RelativePriceError")</f>
        <v>obj_0056e#0003</v>
      </c>
      <c r="AW15" s="267" t="str">
        <f>_xll.qlHestonModelHelper(,$B15,"TARGET",$C$38,R15,D15/100,I_ValuationDate!$E$5,I_ValuationDate!$E$6,"RelativePriceError")</f>
        <v>obj_0048d#0003</v>
      </c>
      <c r="AX15" s="267" t="str">
        <f>_xll.qlHestonModelHelper(,$B15,"TARGET",$C$38,S15,E15/100,I_ValuationDate!$E$5,I_ValuationDate!$E$6,"RelativePriceError")</f>
        <v>obj_003aa#0003</v>
      </c>
      <c r="AY15" s="267" t="str">
        <f>_xll.qlHestonModelHelper(,$B15,"TARGET",$C$38,T15,F15/100,I_ValuationDate!$E$5,I_ValuationDate!$E$6,"RelativePriceError")</f>
        <v>obj_00390#0003</v>
      </c>
      <c r="AZ15" s="267" t="str">
        <f>_xll.qlHestonModelHelper(,$B15,"TARGET",$C$38,U15,G15/100,I_ValuationDate!$E$5,I_ValuationDate!$E$6,"RelativePriceError")</f>
        <v>obj_004d0#0003</v>
      </c>
      <c r="BA15" s="267" t="str">
        <f>_xll.qlHestonModelHelper(,$B15,"TARGET",$C$38,V15,H15/100,I_ValuationDate!$E$5,I_ValuationDate!$E$6,"RelativePriceError")</f>
        <v>obj_00553#0003</v>
      </c>
      <c r="BB15" s="267" t="str">
        <f>_xll.qlHestonModelHelper(,$B15,"TARGET",$C$38,W15,I15/100,I_ValuationDate!$E$5,I_ValuationDate!$E$6,"RelativePriceError")</f>
        <v>obj_00511#0003</v>
      </c>
      <c r="BC15" s="267" t="str">
        <f>_xll.qlHestonModelHelper(,$B15,"TARGET",$C$38,X15,J15/100,I_ValuationDate!$E$5,I_ValuationDate!$E$6,"RelativePriceError")</f>
        <v>obj_005eb#0003</v>
      </c>
      <c r="BD15" s="267" t="str">
        <f>_xll.qlHestonModelHelper(,$B15,"TARGET",$C$38,Y15,K15/100,I_ValuationDate!$E$5,I_ValuationDate!$E$6,"RelativePriceError")</f>
        <v>obj_004de#0003</v>
      </c>
      <c r="BE15" s="267" t="str">
        <f>_xll.qlHestonModelHelper(,$B15,"TARGET",$C$38,Z15,L15/100,I_ValuationDate!$E$5,I_ValuationDate!$E$6,"RelativePriceError")</f>
        <v>obj_00596#0003</v>
      </c>
      <c r="BF15" s="268" t="str">
        <f>_xll.qlHestonModelHelper(,$B15,"TARGET",$C$38,AA15,M15/100,I_ValuationDate!$E$5,I_ValuationDate!$E$6,"RelativePriceError")</f>
        <v>obj_003be#0003</v>
      </c>
    </row>
    <row r="16" spans="1:58">
      <c r="B16" s="105" t="s">
        <v>63</v>
      </c>
      <c r="C16" s="98">
        <v>7.86</v>
      </c>
      <c r="D16" s="99">
        <v>7.57</v>
      </c>
      <c r="E16" s="99">
        <v>7.35</v>
      </c>
      <c r="F16" s="99">
        <v>7.1719999999999997</v>
      </c>
      <c r="G16" s="99">
        <v>7.093</v>
      </c>
      <c r="H16" s="99">
        <v>7.149</v>
      </c>
      <c r="I16" s="99">
        <v>7.3860000000000001</v>
      </c>
      <c r="J16" s="99">
        <v>7.681</v>
      </c>
      <c r="K16" s="99">
        <v>8.0500000000000007</v>
      </c>
      <c r="L16" s="99">
        <v>8.4740000000000002</v>
      </c>
      <c r="M16" s="100">
        <v>8.9269999999999996</v>
      </c>
      <c r="O16" s="114">
        <f>_xll.qlCalendarAdvance("NullCalendar",$C$3,B16)</f>
        <v>43169</v>
      </c>
      <c r="P16" s="117">
        <f>(O16-$C$3)/365</f>
        <v>0.41369863013698632</v>
      </c>
      <c r="Q16" s="125">
        <f>_xll.qlBlackDeltaCalculatorStrikeFromDelta(_xll.qlBlackDeltaCalculator(,Q$6,"Spot",$C$38,1,1,C16%*SQRT($P16)),Q$7)</f>
        <v>17.506307077479075</v>
      </c>
      <c r="R16" s="126">
        <f>_xll.qlBlackDeltaCalculatorStrikeFromDelta(_xll.qlBlackDeltaCalculator(,R$6,"Spot",$C$38,1,1,D16%*SQRT($P16)),R$7)</f>
        <v>17.871832101191252</v>
      </c>
      <c r="S16" s="126">
        <f>_xll.qlBlackDeltaCalculatorStrikeFromDelta(_xll.qlBlackDeltaCalculator(,S$6,"Spot",$C$38,1,1,E16%*SQRT($P16)),S$7)</f>
        <v>18.111720781582115</v>
      </c>
      <c r="T16" s="126">
        <f>_xll.qlBlackDeltaCalculatorStrikeFromDelta(_xll.qlBlackDeltaCalculator(,T$6,"Spot",$C$38,1,1,F16%*SQRT($P16)),T$7)</f>
        <v>18.4375405056076</v>
      </c>
      <c r="U16" s="126">
        <f>_xll.qlBlackDeltaCalculatorStrikeFromDelta(_xll.qlBlackDeltaCalculator(,U$6,"Spot",$C$38,1,1,G16%*SQRT($P16)),U$7)</f>
        <v>18.688355979891995</v>
      </c>
      <c r="V16" s="127">
        <f>_xll.qlBlackDeltaCalculatorAtmStrike(_xll.qlBlackDeltaCalculator(,V$6,"Spot",$C$38,1,1,H16%*SQRT($P16)),"AtmFwd")</f>
        <v>19</v>
      </c>
      <c r="W16" s="126">
        <f>_xll.qlBlackDeltaCalculatorStrikeFromDelta(_xll.qlBlackDeltaCalculator(,W$6,"Spot",$C$38,1,1,I16%*SQRT($P16)),W$7)</f>
        <v>19.372849191872305</v>
      </c>
      <c r="X16" s="126">
        <f>_xll.qlBlackDeltaCalculatorStrikeFromDelta(_xll.qlBlackDeltaCalculator(,X$6,"Spot",$C$38,1,1,J16%*SQRT($P16)),X$7)</f>
        <v>19.667777928066997</v>
      </c>
      <c r="Y16" s="126">
        <f>_xll.qlBlackDeltaCalculatorStrikeFromDelta(_xll.qlBlackDeltaCalculator(,Y$6,"Spot",$C$38,1,1,K16%*SQRT($P16)),Y$7)</f>
        <v>20.074351479077905</v>
      </c>
      <c r="Z16" s="126">
        <f>_xll.qlBlackDeltaCalculatorStrikeFromDelta(_xll.qlBlackDeltaCalculator(,Z$6,"Spot",$C$38,1,1,L16%*SQRT($P16)),Z$7)</f>
        <v>20.404885652833798</v>
      </c>
      <c r="AA16" s="128">
        <f>_xll.qlBlackDeltaCalculatorStrikeFromDelta(_xll.qlBlackDeltaCalculator(,AA$6,"Spot",$C$38,1,1,M16%*SQRT($P16)),AA$7)</f>
        <v>20.916357092526539</v>
      </c>
      <c r="AC16" s="140">
        <f>$C$38</f>
        <v>19</v>
      </c>
      <c r="AD16" s="144">
        <v>6.9686634253308843E-2</v>
      </c>
      <c r="AE16" s="145">
        <v>0.7</v>
      </c>
      <c r="AF16" s="145">
        <v>0.1638816074898071</v>
      </c>
      <c r="AG16" s="146">
        <v>0.93955058254800128</v>
      </c>
      <c r="AH16" s="155" t="str">
        <f t="array" ref="AH16">_xll.qlSabrInterpolatedSmileSection(,O16,AC16,Q16:AA16,FALSE,H16%,C16:M16%,AD16,AE16,AG16,AF16,AD$6,AE$6,AG$6,AF$6,TRUE,,,"Actual/365 (Fixed)",0,FALSE)</f>
        <v>obj_00627#0003</v>
      </c>
      <c r="AI16" s="156">
        <f>_xll.qlSabrInterpolatedSmileSectionMaxError(AH16)</f>
        <v>1.1345249241783151E-3</v>
      </c>
      <c r="AJ16" s="157">
        <f>_xll.qlSabrInterpolatedSmileSectionAlpha(AH16)</f>
        <v>0.16856817011868816</v>
      </c>
      <c r="AK16" s="156">
        <f>_xll.qlSabrInterpolatedSmileSectionBeta(AH16)</f>
        <v>0.7</v>
      </c>
      <c r="AL16" s="158">
        <f>_xll.qlSabrInterpolatedSmileSectionRho(AH16)</f>
        <v>0.16388161176055252</v>
      </c>
      <c r="AM16" s="159">
        <f>_xll.qlSabrInterpolatedSmileSectionNu(AH16)</f>
        <v>0.93955054398958393</v>
      </c>
      <c r="AN16" s="105" t="s">
        <v>63</v>
      </c>
      <c r="AU16" s="297">
        <f>T16</f>
        <v>18.4375405056076</v>
      </c>
      <c r="AV16" s="266" t="str">
        <f>_xll.qlHestonModelHelper(,$B16,"TARGET",$C$38,Q16,C16/100,I_ValuationDate!$E$5,I_ValuationDate!$E$6,"RelativePriceError")</f>
        <v>obj_0057e#0003</v>
      </c>
      <c r="AW16" s="267" t="str">
        <f>_xll.qlHestonModelHelper(,$B16,"TARGET",$C$38,R16,D16/100,I_ValuationDate!$E$5,I_ValuationDate!$E$6,"RelativePriceError")</f>
        <v>obj_0051c#0003</v>
      </c>
      <c r="AX16" s="267" t="str">
        <f>_xll.qlHestonModelHelper(,$B16,"TARGET",$C$38,S16,E16/100,I_ValuationDate!$E$5,I_ValuationDate!$E$6,"RelativePriceError")</f>
        <v>obj_00412#0003</v>
      </c>
      <c r="AY16" s="267" t="str">
        <f>_xll.qlHestonModelHelper(,$B16,"TARGET",$C$38,T16,F16/100,I_ValuationDate!$E$5,I_ValuationDate!$E$6,"RelativePriceError")</f>
        <v>obj_002ce#0003</v>
      </c>
      <c r="AZ16" s="267" t="str">
        <f>_xll.qlHestonModelHelper(,$B16,"TARGET",$C$38,U16,G16/100,I_ValuationDate!$E$5,I_ValuationDate!$E$6,"RelativePriceError")</f>
        <v>obj_00597#0003</v>
      </c>
      <c r="BA16" s="267" t="str">
        <f>_xll.qlHestonModelHelper(,$B16,"TARGET",$C$38,V16,H16/100,I_ValuationDate!$E$5,I_ValuationDate!$E$6,"RelativePriceError")</f>
        <v>obj_003ba#0003</v>
      </c>
      <c r="BB16" s="267" t="str">
        <f>_xll.qlHestonModelHelper(,$B16,"TARGET",$C$38,W16,I16/100,I_ValuationDate!$E$5,I_ValuationDate!$E$6,"RelativePriceError")</f>
        <v>obj_005c4#0003</v>
      </c>
      <c r="BC16" s="267" t="str">
        <f>_xll.qlHestonModelHelper(,$B16,"TARGET",$C$38,X16,J16/100,I_ValuationDate!$E$5,I_ValuationDate!$E$6,"RelativePriceError")</f>
        <v>obj_004d4#0003</v>
      </c>
      <c r="BD16" s="267" t="str">
        <f>_xll.qlHestonModelHelper(,$B16,"TARGET",$C$38,Y16,K16/100,I_ValuationDate!$E$5,I_ValuationDate!$E$6,"RelativePriceError")</f>
        <v>obj_003a1#0003</v>
      </c>
      <c r="BE16" s="267" t="str">
        <f>_xll.qlHestonModelHelper(,$B16,"TARGET",$C$38,Z16,L16/100,I_ValuationDate!$E$5,I_ValuationDate!$E$6,"RelativePriceError")</f>
        <v>obj_005d4#0003</v>
      </c>
      <c r="BF16" s="268" t="str">
        <f>_xll.qlHestonModelHelper(,$B16,"TARGET",$C$38,AA16,M16/100,I_ValuationDate!$E$5,I_ValuationDate!$E$6,"RelativePriceError")</f>
        <v>obj_0061a#0003</v>
      </c>
    </row>
    <row r="17" spans="2:58">
      <c r="B17" s="105" t="s">
        <v>64</v>
      </c>
      <c r="C17" s="98">
        <v>8.01</v>
      </c>
      <c r="D17" s="99">
        <v>7.64</v>
      </c>
      <c r="E17" s="99">
        <v>7.4</v>
      </c>
      <c r="F17" s="99">
        <v>7.2649999999999997</v>
      </c>
      <c r="G17" s="99">
        <v>7.17</v>
      </c>
      <c r="H17" s="99">
        <v>7.2229999999999999</v>
      </c>
      <c r="I17" s="99">
        <v>7.4649999999999999</v>
      </c>
      <c r="J17" s="99">
        <v>7.7850000000000001</v>
      </c>
      <c r="K17" s="99">
        <v>8.1999999999999993</v>
      </c>
      <c r="L17" s="99">
        <v>8.6370000000000005</v>
      </c>
      <c r="M17" s="100">
        <v>9.1300000000000008</v>
      </c>
      <c r="O17" s="114">
        <f>_xll.qlCalendarAdvance("NullCalendar",$C$3,B17)</f>
        <v>43200</v>
      </c>
      <c r="P17" s="117">
        <f>(O17-$C$3)/365</f>
        <v>0.49863013698630138</v>
      </c>
      <c r="Q17" s="125">
        <f>_xll.qlBlackDeltaCalculatorStrikeFromDelta(_xll.qlBlackDeltaCalculator(,Q$6,"Spot",$C$38,1,1,C17%*SQRT($P17)),Q$7)</f>
        <v>17.339775333047331</v>
      </c>
      <c r="R17" s="126">
        <f>_xll.qlBlackDeltaCalculatorStrikeFromDelta(_xll.qlBlackDeltaCalculator(,R$6,"Spot",$C$38,1,1,D17%*SQRT($P17)),R$7)</f>
        <v>17.756575887971554</v>
      </c>
      <c r="S17" s="126">
        <f>_xll.qlBlackDeltaCalculatorStrikeFromDelta(_xll.qlBlackDeltaCalculator(,S$6,"Spot",$C$38,1,1,E17%*SQRT($P17)),S$7)</f>
        <v>18.022955635235029</v>
      </c>
      <c r="T17" s="126">
        <f>_xll.qlBlackDeltaCalculatorStrikeFromDelta(_xll.qlBlackDeltaCalculator(,T$6,"Spot",$C$38,1,1,F17%*SQRT($P17)),T$7)</f>
        <v>18.377975183754671</v>
      </c>
      <c r="U17" s="126">
        <f>_xll.qlBlackDeltaCalculatorStrikeFromDelta(_xll.qlBlackDeltaCalculator(,U$6,"Spot",$C$38,1,1,G17%*SQRT($P17)),U$7)</f>
        <v>18.6568222462538</v>
      </c>
      <c r="V17" s="127">
        <f>_xll.qlBlackDeltaCalculatorAtmStrike(_xll.qlBlackDeltaCalculator(,V$6,"Spot",$C$38,1,1,H17%*SQRT($P17)),"AtmFwd")</f>
        <v>19</v>
      </c>
      <c r="W17" s="126">
        <f>_xll.qlBlackDeltaCalculatorStrikeFromDelta(_xll.qlBlackDeltaCalculator(,W$6,"Spot",$C$38,1,1,I17%*SQRT($P17)),W$7)</f>
        <v>19.416821506937918</v>
      </c>
      <c r="X17" s="126">
        <f>_xll.qlBlackDeltaCalculatorStrikeFromDelta(_xll.qlBlackDeltaCalculator(,X$6,"Spot",$C$38,1,1,J17%*SQRT($P17)),X$7)</f>
        <v>19.747533067786716</v>
      </c>
      <c r="Y17" s="126">
        <f>_xll.qlBlackDeltaCalculatorStrikeFromDelta(_xll.qlBlackDeltaCalculator(,Y$6,"Spot",$C$38,1,1,K17%*SQRT($P17)),Y$7)</f>
        <v>20.209004237187784</v>
      </c>
      <c r="Z17" s="126">
        <f>_xll.qlBlackDeltaCalculatorStrikeFromDelta(_xll.qlBlackDeltaCalculator(,Z$6,"Spot",$C$38,1,1,L17%*SQRT($P17)),Z$7)</f>
        <v>20.582876302525289</v>
      </c>
      <c r="AA17" s="128">
        <f>_xll.qlBlackDeltaCalculatorStrikeFromDelta(_xll.qlBlackDeltaCalculator(,AA$6,"Spot",$C$38,1,1,M17%*SQRT($P17)),AA$7)</f>
        <v>21.169500369086101</v>
      </c>
      <c r="AC17" s="140">
        <f>$C$38</f>
        <v>19</v>
      </c>
      <c r="AD17" s="144">
        <v>7.0307764108871268E-2</v>
      </c>
      <c r="AE17" s="145">
        <v>0.7</v>
      </c>
      <c r="AF17" s="145">
        <v>0.17052618959716567</v>
      </c>
      <c r="AG17" s="146">
        <v>0.87671318905183571</v>
      </c>
      <c r="AH17" s="155" t="str">
        <f t="array" ref="AH17">_xll.qlSabrInterpolatedSmileSection(,O17,AC17,Q17:AA17,FALSE,H17%,C17:M17%,AD17,AE17,AG17,AF17,AD$6,AE$6,AG$6,AF$6,TRUE,,,"Actual/365 (Fixed)",0,FALSE)</f>
        <v>obj_00633#0003</v>
      </c>
      <c r="AI17" s="156">
        <f>_xll.qlSabrInterpolatedSmileSectionMaxError(AH17)</f>
        <v>1.1634642583571025E-3</v>
      </c>
      <c r="AJ17" s="157">
        <f>_xll.qlSabrInterpolatedSmileSectionAlpha(AH17)</f>
        <v>0.17007064226760299</v>
      </c>
      <c r="AK17" s="156">
        <f>_xll.qlSabrInterpolatedSmileSectionBeta(AH17)</f>
        <v>0.7</v>
      </c>
      <c r="AL17" s="158">
        <f>_xll.qlSabrInterpolatedSmileSectionRho(AH17)</f>
        <v>0.17052619450215342</v>
      </c>
      <c r="AM17" s="159">
        <f>_xll.qlSabrInterpolatedSmileSectionNu(AH17)</f>
        <v>0.87671338141000943</v>
      </c>
      <c r="AN17" s="105" t="s">
        <v>64</v>
      </c>
      <c r="AU17" s="297">
        <f>T17</f>
        <v>18.377975183754671</v>
      </c>
      <c r="AV17" s="266" t="str">
        <f>_xll.qlHestonModelHelper(,$B17,"TARGET",$C$38,Q17,C17/100,I_ValuationDate!$E$5,I_ValuationDate!$E$6,"RelativePriceError")</f>
        <v>obj_00595#0003</v>
      </c>
      <c r="AW17" s="267" t="str">
        <f>_xll.qlHestonModelHelper(,$B17,"TARGET",$C$38,R17,D17/100,I_ValuationDate!$E$5,I_ValuationDate!$E$6,"RelativePriceError")</f>
        <v>obj_00440#0003</v>
      </c>
      <c r="AX17" s="267" t="str">
        <f>_xll.qlHestonModelHelper(,$B17,"TARGET",$C$38,S17,E17/100,I_ValuationDate!$E$5,I_ValuationDate!$E$6,"RelativePriceError")</f>
        <v>obj_004c5#0003</v>
      </c>
      <c r="AY17" s="267" t="str">
        <f>_xll.qlHestonModelHelper(,$B17,"TARGET",$C$38,T17,F17/100,I_ValuationDate!$E$5,I_ValuationDate!$E$6,"RelativePriceError")</f>
        <v>obj_00264#0003</v>
      </c>
      <c r="AZ17" s="267" t="str">
        <f>_xll.qlHestonModelHelper(,$B17,"TARGET",$C$38,U17,G17/100,I_ValuationDate!$E$5,I_ValuationDate!$E$6,"RelativePriceError")</f>
        <v>obj_005f9#0003</v>
      </c>
      <c r="BA17" s="267" t="str">
        <f>_xll.qlHestonModelHelper(,$B17,"TARGET",$C$38,V17,H17/100,I_ValuationDate!$E$5,I_ValuationDate!$E$6,"RelativePriceError")</f>
        <v>obj_00580#0003</v>
      </c>
      <c r="BB17" s="267" t="str">
        <f>_xll.qlHestonModelHelper(,$B17,"TARGET",$C$38,W17,I17/100,I_ValuationDate!$E$5,I_ValuationDate!$E$6,"RelativePriceError")</f>
        <v>obj_004b9#0003</v>
      </c>
      <c r="BC17" s="267" t="str">
        <f>_xll.qlHestonModelHelper(,$B17,"TARGET",$C$38,X17,J17/100,I_ValuationDate!$E$5,I_ValuationDate!$E$6,"RelativePriceError")</f>
        <v>obj_0050b#0003</v>
      </c>
      <c r="BD17" s="267" t="str">
        <f>_xll.qlHestonModelHelper(,$B17,"TARGET",$C$38,Y17,K17/100,I_ValuationDate!$E$5,I_ValuationDate!$E$6,"RelativePriceError")</f>
        <v>obj_004fc#0003</v>
      </c>
      <c r="BE17" s="267" t="str">
        <f>_xll.qlHestonModelHelper(,$B17,"TARGET",$C$38,Z17,L17/100,I_ValuationDate!$E$5,I_ValuationDate!$E$6,"RelativePriceError")</f>
        <v>obj_00425#0003</v>
      </c>
      <c r="BF17" s="268" t="str">
        <f>_xll.qlHestonModelHelper(,$B17,"TARGET",$C$38,AA17,M17/100,I_ValuationDate!$E$5,I_ValuationDate!$E$6,"RelativePriceError")</f>
        <v>obj_003e6#0003</v>
      </c>
    </row>
    <row r="18" spans="2:58">
      <c r="B18" s="105" t="s">
        <v>65</v>
      </c>
      <c r="C18" s="98">
        <v>8.3810000000000002</v>
      </c>
      <c r="D18" s="99">
        <v>7.9749999999999996</v>
      </c>
      <c r="E18" s="99">
        <v>7.65</v>
      </c>
      <c r="F18" s="99">
        <v>7.4210000000000003</v>
      </c>
      <c r="G18" s="99">
        <v>7.3159999999999998</v>
      </c>
      <c r="H18" s="99">
        <v>7.38</v>
      </c>
      <c r="I18" s="99">
        <v>7.641</v>
      </c>
      <c r="J18" s="99">
        <v>7.9859999999999998</v>
      </c>
      <c r="K18" s="99">
        <v>8.4</v>
      </c>
      <c r="L18" s="99">
        <v>8.9499999999999993</v>
      </c>
      <c r="M18" s="100">
        <v>9.516</v>
      </c>
      <c r="O18" s="114">
        <f>_xll.qlCalendarAdvance("NullCalendar",$C$3,B18)</f>
        <v>43291</v>
      </c>
      <c r="P18" s="117">
        <f>(O18-$C$3)/365</f>
        <v>0.74794520547945209</v>
      </c>
      <c r="Q18" s="125">
        <f>_xll.qlBlackDeltaCalculatorStrikeFromDelta(_xll.qlBlackDeltaCalculator(,Q$6,"Spot",$C$38,1,1,C18%*SQRT($P18)),Q$7)</f>
        <v>16.908955130566476</v>
      </c>
      <c r="R18" s="126">
        <f>_xll.qlBlackDeltaCalculatorStrikeFromDelta(_xll.qlBlackDeltaCalculator(,R$6,"Spot",$C$38,1,1,D18%*SQRT($P18)),R$7)</f>
        <v>17.434094911699557</v>
      </c>
      <c r="S18" s="126">
        <f>_xll.qlBlackDeltaCalculatorStrikeFromDelta(_xll.qlBlackDeltaCalculator(,S$6,"Spot",$C$38,1,1,E18%*SQRT($P18)),S$7)</f>
        <v>17.779693583661135</v>
      </c>
      <c r="T18" s="126">
        <f>_xll.qlBlackDeltaCalculatorStrikeFromDelta(_xll.qlBlackDeltaCalculator(,T$6,"Spot",$C$38,1,1,F18%*SQRT($P18)),T$7)</f>
        <v>18.232577722889861</v>
      </c>
      <c r="U18" s="126">
        <f>_xll.qlBlackDeltaCalculatorStrikeFromDelta(_xll.qlBlackDeltaCalculator(,U$6,"Spot",$C$38,1,1,G18%*SQRT($P18)),U$7)</f>
        <v>18.579536653798879</v>
      </c>
      <c r="V18" s="127">
        <f>_xll.qlBlackDeltaCalculatorAtmStrike(_xll.qlBlackDeltaCalculator(,V$6,"Spot",$C$38,1,1,H18%*SQRT($P18)),"AtmFwd")</f>
        <v>19</v>
      </c>
      <c r="W18" s="126">
        <f>_xll.qlBlackDeltaCalculatorStrikeFromDelta(_xll.qlBlackDeltaCalculator(,W$6,"Spot",$C$38,1,1,I18%*SQRT($P18)),W$7)</f>
        <v>19.532607976788878</v>
      </c>
      <c r="X18" s="126">
        <f>_xll.qlBlackDeltaCalculatorStrikeFromDelta(_xll.qlBlackDeltaCalculator(,X$6,"Spot",$C$38,1,1,J18%*SQRT($P18)),X$7)</f>
        <v>19.953575129421946</v>
      </c>
      <c r="Y18" s="126">
        <f>_xll.qlBlackDeltaCalculatorStrikeFromDelta(_xll.qlBlackDeltaCalculator(,Y$6,"Spot",$C$38,1,1,K18%*SQRT($P18)),Y$7)</f>
        <v>20.53993209155761</v>
      </c>
      <c r="Z18" s="126">
        <f>_xll.qlBlackDeltaCalculatorStrikeFromDelta(_xll.qlBlackDeltaCalculator(,Z$6,"Spot",$C$38,1,1,L18%*SQRT($P18)),Z$7)</f>
        <v>21.04431725050615</v>
      </c>
      <c r="AA18" s="128">
        <f>_xll.qlBlackDeltaCalculatorStrikeFromDelta(_xll.qlBlackDeltaCalculator(,AA$6,"Spot",$C$38,1,1,M18%*SQRT($P18)),AA$7)</f>
        <v>21.828001923616391</v>
      </c>
      <c r="AC18" s="140">
        <f>$C$38</f>
        <v>19</v>
      </c>
      <c r="AD18" s="144">
        <v>7.140257381739841E-2</v>
      </c>
      <c r="AE18" s="145">
        <v>0.7</v>
      </c>
      <c r="AF18" s="145">
        <v>0.15798164575417137</v>
      </c>
      <c r="AG18" s="146">
        <v>0.7629423965204154</v>
      </c>
      <c r="AH18" s="155" t="str">
        <f t="array" ref="AH18">_xll.qlSabrInterpolatedSmileSection(,O18,AC18,Q18:AA18,FALSE,H18%,C18:M18%,AD18,AE18,AG18,AF18,AD$6,AE$6,AG$6,AF$6,TRUE,,,"Actual/365 (Fixed)",0,FALSE)</f>
        <v>obj_00620#0003</v>
      </c>
      <c r="AI18" s="156">
        <f>_xll.qlSabrInterpolatedSmileSectionMaxError(AH18)</f>
        <v>1.213012138201644E-3</v>
      </c>
      <c r="AJ18" s="157">
        <f>_xll.qlSabrInterpolatedSmileSectionAlpha(AH18)</f>
        <v>0.17271893354757556</v>
      </c>
      <c r="AK18" s="156">
        <f>_xll.qlSabrInterpolatedSmileSectionBeta(AH18)</f>
        <v>0.7</v>
      </c>
      <c r="AL18" s="158">
        <f>_xll.qlSabrInterpolatedSmileSectionRho(AH18)</f>
        <v>0.15798164547243951</v>
      </c>
      <c r="AM18" s="159">
        <f>_xll.qlSabrInterpolatedSmileSectionNu(AH18)</f>
        <v>0.76294239069967285</v>
      </c>
      <c r="AN18" s="105" t="s">
        <v>65</v>
      </c>
      <c r="AU18" s="297">
        <f>T18</f>
        <v>18.232577722889861</v>
      </c>
      <c r="AV18" s="266" t="str">
        <f>_xll.qlHestonModelHelper(,$B18,"TARGET",$C$38,Q18,C18/100,I_ValuationDate!$E$5,I_ValuationDate!$E$6,"RelativePriceError")</f>
        <v>obj_00432#0003</v>
      </c>
      <c r="AW18" s="267" t="str">
        <f>_xll.qlHestonModelHelper(,$B18,"TARGET",$C$38,R18,D18/100,I_ValuationDate!$E$5,I_ValuationDate!$E$6,"RelativePriceError")</f>
        <v>obj_00434#0003</v>
      </c>
      <c r="AX18" s="267" t="str">
        <f>_xll.qlHestonModelHelper(,$B18,"TARGET",$C$38,S18,E18/100,I_ValuationDate!$E$5,I_ValuationDate!$E$6,"RelativePriceError")</f>
        <v>obj_003fd#0003</v>
      </c>
      <c r="AY18" s="267" t="str">
        <f>_xll.qlHestonModelHelper(,$B18,"TARGET",$C$38,T18,F18/100,I_ValuationDate!$E$5,I_ValuationDate!$E$6,"RelativePriceError")</f>
        <v>obj_00279#0003</v>
      </c>
      <c r="AZ18" s="267" t="str">
        <f>_xll.qlHestonModelHelper(,$B18,"TARGET",$C$38,U18,G18/100,I_ValuationDate!$E$5,I_ValuationDate!$E$6,"RelativePriceError")</f>
        <v>obj_004b7#0003</v>
      </c>
      <c r="BA18" s="267" t="str">
        <f>_xll.qlHestonModelHelper(,$B18,"TARGET",$C$38,V18,H18/100,I_ValuationDate!$E$5,I_ValuationDate!$E$6,"RelativePriceError")</f>
        <v>obj_00454#0003</v>
      </c>
      <c r="BB18" s="267" t="str">
        <f>_xll.qlHestonModelHelper(,$B18,"TARGET",$C$38,W18,I18/100,I_ValuationDate!$E$5,I_ValuationDate!$E$6,"RelativePriceError")</f>
        <v>obj_0041f#0003</v>
      </c>
      <c r="BC18" s="267" t="str">
        <f>_xll.qlHestonModelHelper(,$B18,"TARGET",$C$38,X18,J18/100,I_ValuationDate!$E$5,I_ValuationDate!$E$6,"RelativePriceError")</f>
        <v>obj_004e4#0003</v>
      </c>
      <c r="BD18" s="267" t="str">
        <f>_xll.qlHestonModelHelper(,$B18,"TARGET",$C$38,Y18,K18/100,I_ValuationDate!$E$5,I_ValuationDate!$E$6,"RelativePriceError")</f>
        <v>obj_005a0#0003</v>
      </c>
      <c r="BE18" s="267" t="str">
        <f>_xll.qlHestonModelHelper(,$B18,"TARGET",$C$38,Z18,L18/100,I_ValuationDate!$E$5,I_ValuationDate!$E$6,"RelativePriceError")</f>
        <v>obj_003b0#0003</v>
      </c>
      <c r="BF18" s="268" t="str">
        <f>_xll.qlHestonModelHelper(,$B18,"TARGET",$C$38,AA18,M18/100,I_ValuationDate!$E$5,I_ValuationDate!$E$6,"RelativePriceError")</f>
        <v>obj_0045a#0003</v>
      </c>
    </row>
    <row r="19" spans="2:58">
      <c r="B19" s="105" t="s">
        <v>66</v>
      </c>
      <c r="C19" s="98">
        <v>8.8000000000000007</v>
      </c>
      <c r="D19" s="99">
        <v>8.1999999999999993</v>
      </c>
      <c r="E19" s="99">
        <v>7.77</v>
      </c>
      <c r="F19" s="99">
        <v>7.54</v>
      </c>
      <c r="G19" s="99">
        <v>7.4340000000000002</v>
      </c>
      <c r="H19" s="99">
        <v>7.49</v>
      </c>
      <c r="I19" s="99">
        <v>7.7539999999999996</v>
      </c>
      <c r="J19" s="99">
        <v>8.11</v>
      </c>
      <c r="K19" s="99">
        <v>8.6199999999999992</v>
      </c>
      <c r="L19" s="99">
        <v>9.1579999999999995</v>
      </c>
      <c r="M19" s="100">
        <v>9.766</v>
      </c>
      <c r="O19" s="114">
        <f>_xll.qlCalendarAdvance("NullCalendar",$C$3,B19)</f>
        <v>43383</v>
      </c>
      <c r="P19" s="117">
        <f>(O19-$C$3)/365</f>
        <v>1</v>
      </c>
      <c r="Q19" s="125">
        <f>_xll.qlBlackDeltaCalculatorStrikeFromDelta(_xll.qlBlackDeltaCalculator(,Q$6,"Spot",$C$38,1,1,C19%*SQRT($P19)),Q$7)</f>
        <v>16.503357749198891</v>
      </c>
      <c r="R19" s="126">
        <f>_xll.qlBlackDeltaCalculatorStrikeFromDelta(_xll.qlBlackDeltaCalculator(,R$6,"Spot",$C$38,1,1,D19%*SQRT($P19)),R$7)</f>
        <v>17.162276542492911</v>
      </c>
      <c r="S19" s="126">
        <f>_xll.qlBlackDeltaCalculatorStrikeFromDelta(_xll.qlBlackDeltaCalculator(,S$6,"Spot",$C$38,1,1,E19%*SQRT($P19)),S$7)</f>
        <v>17.582898432974424</v>
      </c>
      <c r="T19" s="126">
        <f>_xll.qlBlackDeltaCalculatorStrikeFromDelta(_xll.qlBlackDeltaCalculator(,T$6,"Spot",$C$38,1,1,F19%*SQRT($P19)),T$7)</f>
        <v>18.109289379430802</v>
      </c>
      <c r="U19" s="126">
        <f>_xll.qlBlackDeltaCalculatorStrikeFromDelta(_xll.qlBlackDeltaCalculator(,U$6,"Spot",$C$38,1,1,G19%*SQRT($P19)),U$7)</f>
        <v>18.514560443164001</v>
      </c>
      <c r="V19" s="127">
        <f>_xll.qlBlackDeltaCalculatorAtmStrike(_xll.qlBlackDeltaCalculator(,V$6,"Spot",$C$38,1,1,H19%*SQRT($P19)),"AtmFwd")</f>
        <v>19</v>
      </c>
      <c r="W19" s="126">
        <f>_xll.qlBlackDeltaCalculatorStrikeFromDelta(_xll.qlBlackDeltaCalculator(,W$6,"Spot",$C$38,1,1,I19%*SQRT($P19)),W$7)</f>
        <v>19.635181936613922</v>
      </c>
      <c r="X19" s="126">
        <f>_xll.qlBlackDeltaCalculatorStrikeFromDelta(_xll.qlBlackDeltaCalculator(,X$6,"Spot",$C$38,1,1,J19%*SQRT($P19)),X$7)</f>
        <v>20.134378011391775</v>
      </c>
      <c r="Y19" s="126">
        <f>_xll.qlBlackDeltaCalculatorStrikeFromDelta(_xll.qlBlackDeltaCalculator(,Y$6,"Spot",$C$38,1,1,K19%*SQRT($P19)),Y$7)</f>
        <v>20.852936078448547</v>
      </c>
      <c r="Z19" s="126">
        <f>_xll.qlBlackDeltaCalculatorStrikeFromDelta(_xll.qlBlackDeltaCalculator(,Z$6,"Spot",$C$38,1,1,L19%*SQRT($P19)),Z$7)</f>
        <v>21.455841077521512</v>
      </c>
      <c r="AA19" s="128">
        <f>_xll.qlBlackDeltaCalculatorStrikeFromDelta(_xll.qlBlackDeltaCalculator(,AA$6,"Spot",$C$38,1,1,M19%*SQRT($P19)),AA$7)</f>
        <v>22.417549725498461</v>
      </c>
      <c r="AC19" s="140">
        <f>$C$38</f>
        <v>19</v>
      </c>
      <c r="AD19" s="144">
        <v>7.2078139589299359E-2</v>
      </c>
      <c r="AE19" s="145">
        <v>0.7</v>
      </c>
      <c r="AF19" s="145">
        <v>0.14891457993989682</v>
      </c>
      <c r="AG19" s="146">
        <v>0.69201049958741367</v>
      </c>
      <c r="AH19" s="155" t="str">
        <f t="array" ref="AH19">_xll.qlSabrInterpolatedSmileSection(,O19,AC19,Q19:AA19,FALSE,H19%,C19:M19%,AD19,AE19,AG19,AF19,AD$6,AE$6,AG$6,AF$6,TRUE,,,"Actual/365 (Fixed)",0,FALSE)</f>
        <v>obj_00655#0003</v>
      </c>
      <c r="AI19" s="156">
        <f>_xll.qlSabrInterpolatedSmileSectionMaxError(AH19)</f>
        <v>1.6093418283491118E-3</v>
      </c>
      <c r="AJ19" s="157">
        <f>_xll.qlSabrInterpolatedSmileSectionAlpha(AH19)</f>
        <v>0.17435309034506621</v>
      </c>
      <c r="AK19" s="156">
        <f>_xll.qlSabrInterpolatedSmileSectionBeta(AH19)</f>
        <v>0.7</v>
      </c>
      <c r="AL19" s="158">
        <f>_xll.qlSabrInterpolatedSmileSectionRho(AH19)</f>
        <v>0.14891458181183059</v>
      </c>
      <c r="AM19" s="159">
        <f>_xll.qlSabrInterpolatedSmileSectionNu(AH19)</f>
        <v>0.69201049443868512</v>
      </c>
      <c r="AN19" s="105" t="s">
        <v>66</v>
      </c>
      <c r="AU19" s="297">
        <f>T19</f>
        <v>18.109289379430802</v>
      </c>
      <c r="AV19" s="266" t="str">
        <f>_xll.qlHestonModelHelper(,$B19,"TARGET",$C$38,Q19,C19/100,I_ValuationDate!$E$5,I_ValuationDate!$E$6,"RelativePriceError")</f>
        <v>obj_0055a#0003</v>
      </c>
      <c r="AW19" s="267" t="str">
        <f>_xll.qlHestonModelHelper(,$B19,"TARGET",$C$38,R19,D19/100,I_ValuationDate!$E$5,I_ValuationDate!$E$6,"RelativePriceError")</f>
        <v>obj_003ed#0003</v>
      </c>
      <c r="AX19" s="267" t="str">
        <f>_xll.qlHestonModelHelper(,$B19,"TARGET",$C$38,S19,E19/100,I_ValuationDate!$E$5,I_ValuationDate!$E$6,"RelativePriceError")</f>
        <v>obj_00463#0003</v>
      </c>
      <c r="AY19" s="267" t="str">
        <f>_xll.qlHestonModelHelper(,$B19,"TARGET",$C$38,T19,F19/100,I_ValuationDate!$E$5,I_ValuationDate!$E$6,"RelativePriceError")</f>
        <v>obj_00260#0003</v>
      </c>
      <c r="AZ19" s="267" t="str">
        <f>_xll.qlHestonModelHelper(,$B19,"TARGET",$C$38,U19,G19/100,I_ValuationDate!$E$5,I_ValuationDate!$E$6,"RelativePriceError")</f>
        <v>obj_003bb#0003</v>
      </c>
      <c r="BA19" s="267" t="str">
        <f>_xll.qlHestonModelHelper(,$B19,"TARGET",$C$38,V19,H19/100,I_ValuationDate!$E$5,I_ValuationDate!$E$6,"RelativePriceError")</f>
        <v>obj_004ff#0003</v>
      </c>
      <c r="BB19" s="267" t="str">
        <f>_xll.qlHestonModelHelper(,$B19,"TARGET",$C$38,W19,I19/100,I_ValuationDate!$E$5,I_ValuationDate!$E$6,"RelativePriceError")</f>
        <v>obj_005d7#0003</v>
      </c>
      <c r="BC19" s="267" t="str">
        <f>_xll.qlHestonModelHelper(,$B19,"TARGET",$C$38,X19,J19/100,I_ValuationDate!$E$5,I_ValuationDate!$E$6,"RelativePriceError")</f>
        <v>obj_004a0#0003</v>
      </c>
      <c r="BD19" s="267" t="str">
        <f>_xll.qlHestonModelHelper(,$B19,"TARGET",$C$38,Y19,K19/100,I_ValuationDate!$E$5,I_ValuationDate!$E$6,"RelativePriceError")</f>
        <v>obj_004b1#0003</v>
      </c>
      <c r="BE19" s="267" t="str">
        <f>_xll.qlHestonModelHelper(,$B19,"TARGET",$C$38,Z19,L19/100,I_ValuationDate!$E$5,I_ValuationDate!$E$6,"RelativePriceError")</f>
        <v>obj_0049a#0003</v>
      </c>
      <c r="BF19" s="268" t="str">
        <f>_xll.qlHestonModelHelper(,$B19,"TARGET",$C$38,AA19,M19/100,I_ValuationDate!$E$5,I_ValuationDate!$E$6,"RelativePriceError")</f>
        <v>obj_005dd#0003</v>
      </c>
    </row>
    <row r="20" spans="2:58">
      <c r="B20" s="105" t="s">
        <v>67</v>
      </c>
      <c r="C20" s="98">
        <v>9.0289999999999999</v>
      </c>
      <c r="D20" s="99">
        <v>8.577</v>
      </c>
      <c r="E20" s="99">
        <v>8.27</v>
      </c>
      <c r="F20" s="99">
        <v>7.9119999999999999</v>
      </c>
      <c r="G20" s="99">
        <v>7.7619999999999996</v>
      </c>
      <c r="H20" s="99">
        <v>7.7850000000000001</v>
      </c>
      <c r="I20" s="99">
        <v>8.0069999999999997</v>
      </c>
      <c r="J20" s="99">
        <v>8.3339999999999996</v>
      </c>
      <c r="K20" s="99">
        <v>8.81</v>
      </c>
      <c r="L20" s="99">
        <v>9.3140000000000001</v>
      </c>
      <c r="M20" s="100">
        <v>9.8870000000000005</v>
      </c>
      <c r="O20" s="114">
        <f>_xll.qlCalendarAdvance("NullCalendar",$C$3,B20)</f>
        <v>43565</v>
      </c>
      <c r="P20" s="117">
        <f>(O20-$C$3)/365</f>
        <v>1.4986301369863013</v>
      </c>
      <c r="Q20" s="125">
        <f>_xll.qlBlackDeltaCalculatorStrikeFromDelta(_xll.qlBlackDeltaCalculator(,Q$6,"Spot",$C$38,1,1,C20%*SQRT($P20)),Q$7)</f>
        <v>15.938524873955108</v>
      </c>
      <c r="R20" s="126">
        <f>_xll.qlBlackDeltaCalculatorStrikeFromDelta(_xll.qlBlackDeltaCalculator(,R$6,"Spot",$C$38,1,1,D20%*SQRT($P20)),R$7)</f>
        <v>16.699695051146271</v>
      </c>
      <c r="S20" s="126">
        <f>_xll.qlBlackDeltaCalculatorStrikeFromDelta(_xll.qlBlackDeltaCalculator(,S$6,"Spot",$C$38,1,1,E20%*SQRT($P20)),S$7)</f>
        <v>17.195282962134247</v>
      </c>
      <c r="T20" s="126">
        <f>_xll.qlBlackDeltaCalculatorStrikeFromDelta(_xll.qlBlackDeltaCalculator(,T$6,"Spot",$C$38,1,1,F20%*SQRT($P20)),T$7)</f>
        <v>17.882100546554764</v>
      </c>
      <c r="U20" s="126">
        <f>_xll.qlBlackDeltaCalculatorStrikeFromDelta(_xll.qlBlackDeltaCalculator(,U$6,"Spot",$C$38,1,1,G20%*SQRT($P20)),U$7)</f>
        <v>18.399801150588576</v>
      </c>
      <c r="V20" s="127">
        <f>_xll.qlBlackDeltaCalculatorAtmStrike(_xll.qlBlackDeltaCalculator(,V$6,"Spot",$C$38,1,1,H20%*SQRT($P20)),"AtmFwd")</f>
        <v>19</v>
      </c>
      <c r="W20" s="126">
        <f>_xll.qlBlackDeltaCalculatorStrikeFromDelta(_xll.qlBlackDeltaCalculator(,W$6,"Spot",$C$38,1,1,I20%*SQRT($P20)),W$7)</f>
        <v>19.826358882603717</v>
      </c>
      <c r="X20" s="126">
        <f>_xll.qlBlackDeltaCalculatorStrikeFromDelta(_xll.qlBlackDeltaCalculator(,X$6,"Spot",$C$38,1,1,J20%*SQRT($P20)),X$7)</f>
        <v>20.459703613698125</v>
      </c>
      <c r="Y20" s="126">
        <f>_xll.qlBlackDeltaCalculatorStrikeFromDelta(_xll.qlBlackDeltaCalculator(,Y$6,"Spot",$C$38,1,1,K20%*SQRT($P20)),Y$7)</f>
        <v>21.371002530751689</v>
      </c>
      <c r="Z20" s="126">
        <f>_xll.qlBlackDeltaCalculatorStrikeFromDelta(_xll.qlBlackDeltaCalculator(,Z$6,"Spot",$C$38,1,1,L20%*SQRT($P20)),Z$7)</f>
        <v>22.132843980814446</v>
      </c>
      <c r="AA20" s="128">
        <f>_xll.qlBlackDeltaCalculatorStrikeFromDelta(_xll.qlBlackDeltaCalculator(,AA$6,"Spot",$C$38,1,1,M20%*SQRT($P20)),AA$7)</f>
        <v>23.355884433619636</v>
      </c>
      <c r="AC20" s="140">
        <f>$C$38</f>
        <v>19</v>
      </c>
      <c r="AD20" s="144">
        <v>7.520166067301326E-2</v>
      </c>
      <c r="AE20" s="145">
        <v>0.7</v>
      </c>
      <c r="AF20" s="145">
        <v>0.12227292552657702</v>
      </c>
      <c r="AG20" s="146">
        <v>0.54621138939523028</v>
      </c>
      <c r="AH20" s="155" t="str">
        <f t="array" ref="AH20">_xll.qlSabrInterpolatedSmileSection(,O20,AC20,Q20:AA20,FALSE,H20%,C20:M20%,AD20,AE20,AG20,AF20,AD$6,AE$6,AG$6,AF$6,TRUE,,,"Actual/365 (Fixed)",0,FALSE)</f>
        <v>obj_00659#0003</v>
      </c>
      <c r="AI20" s="156">
        <f>_xll.qlSabrInterpolatedSmileSectionMaxError(AH20)</f>
        <v>1.2499313296025355E-3</v>
      </c>
      <c r="AJ20" s="157">
        <f>_xll.qlSabrInterpolatedSmileSectionAlpha(AH20)</f>
        <v>0.18190870934006345</v>
      </c>
      <c r="AK20" s="156">
        <f>_xll.qlSabrInterpolatedSmileSectionBeta(AH20)</f>
        <v>0.7</v>
      </c>
      <c r="AL20" s="158">
        <f>_xll.qlSabrInterpolatedSmileSectionRho(AH20)</f>
        <v>0.12227284516416159</v>
      </c>
      <c r="AM20" s="159">
        <f>_xll.qlSabrInterpolatedSmileSectionNu(AH20)</f>
        <v>0.54621156593787423</v>
      </c>
      <c r="AN20" s="105" t="s">
        <v>67</v>
      </c>
      <c r="AU20" s="297">
        <f>T20</f>
        <v>17.882100546554764</v>
      </c>
      <c r="AV20" s="266" t="str">
        <f>_xll.qlHestonModelHelper(,$B20,"TARGET",$C$38,Q20,C20/100,I_ValuationDate!$E$5,I_ValuationDate!$E$6,"RelativePriceError")</f>
        <v>obj_00472#0003</v>
      </c>
      <c r="AW20" s="267" t="str">
        <f>_xll.qlHestonModelHelper(,$B20,"TARGET",$C$38,R20,D20/100,I_ValuationDate!$E$5,I_ValuationDate!$E$6,"RelativePriceError")</f>
        <v>obj_0041a#0003</v>
      </c>
      <c r="AX20" s="267" t="str">
        <f>_xll.qlHestonModelHelper(,$B20,"TARGET",$C$38,S20,E20/100,I_ValuationDate!$E$5,I_ValuationDate!$E$6,"RelativePriceError")</f>
        <v>obj_005c7#0003</v>
      </c>
      <c r="AY20" s="267" t="str">
        <f>_xll.qlHestonModelHelper(,$B20,"TARGET",$C$38,T20,F20/100,I_ValuationDate!$E$5,I_ValuationDate!$E$6,"RelativePriceError")</f>
        <v>obj_001d3#0003</v>
      </c>
      <c r="AZ20" s="267" t="str">
        <f>_xll.qlHestonModelHelper(,$B20,"TARGET",$C$38,U20,G20/100,I_ValuationDate!$E$5,I_ValuationDate!$E$6,"RelativePriceError")</f>
        <v>obj_004a2#0003</v>
      </c>
      <c r="BA20" s="267" t="str">
        <f>_xll.qlHestonModelHelper(,$B20,"TARGET",$C$38,V20,H20/100,I_ValuationDate!$E$5,I_ValuationDate!$E$6,"RelativePriceError")</f>
        <v>obj_003a2#0003</v>
      </c>
      <c r="BB20" s="267" t="str">
        <f>_xll.qlHestonModelHelper(,$B20,"TARGET",$C$38,W20,I20/100,I_ValuationDate!$E$5,I_ValuationDate!$E$6,"RelativePriceError")</f>
        <v>obj_003fa#0003</v>
      </c>
      <c r="BC20" s="267" t="str">
        <f>_xll.qlHestonModelHelper(,$B20,"TARGET",$C$38,X20,J20/100,I_ValuationDate!$E$5,I_ValuationDate!$E$6,"RelativePriceError")</f>
        <v>obj_004c9#0003</v>
      </c>
      <c r="BD20" s="267" t="str">
        <f>_xll.qlHestonModelHelper(,$B20,"TARGET",$C$38,Y20,K20/100,I_ValuationDate!$E$5,I_ValuationDate!$E$6,"RelativePriceError")</f>
        <v>obj_0052a#0003</v>
      </c>
      <c r="BE20" s="267" t="str">
        <f>_xll.qlHestonModelHelper(,$B20,"TARGET",$C$38,Z20,L20/100,I_ValuationDate!$E$5,I_ValuationDate!$E$6,"RelativePriceError")</f>
        <v>obj_0060b#0003</v>
      </c>
      <c r="BF20" s="268" t="str">
        <f>_xll.qlHestonModelHelper(,$B20,"TARGET",$C$38,AA20,M20/100,I_ValuationDate!$E$5,I_ValuationDate!$E$6,"RelativePriceError")</f>
        <v>obj_004d8#0003</v>
      </c>
    </row>
    <row r="21" spans="2:58">
      <c r="B21" s="105" t="s">
        <v>68</v>
      </c>
      <c r="C21" s="98">
        <v>9.3260000000000005</v>
      </c>
      <c r="D21" s="99">
        <v>8.8490000000000002</v>
      </c>
      <c r="E21" s="99">
        <v>8.5169999999999995</v>
      </c>
      <c r="F21" s="99">
        <v>8.1219999999999999</v>
      </c>
      <c r="G21" s="99">
        <v>7.9569999999999999</v>
      </c>
      <c r="H21" s="99">
        <v>7.9530000000000003</v>
      </c>
      <c r="I21" s="99">
        <v>8.1519999999999992</v>
      </c>
      <c r="J21" s="99">
        <v>8.4619999999999997</v>
      </c>
      <c r="K21" s="99">
        <v>9.0269999999999992</v>
      </c>
      <c r="L21" s="99">
        <v>9.4559999999999995</v>
      </c>
      <c r="M21" s="100">
        <v>10.026</v>
      </c>
      <c r="O21" s="114">
        <f>_xll.qlCalendarAdvance("NullCalendar",$C$3,B21)</f>
        <v>43748</v>
      </c>
      <c r="P21" s="117">
        <f>(O21-$C$3)/365</f>
        <v>2</v>
      </c>
      <c r="Q21" s="125">
        <f>_xll.qlBlackDeltaCalculatorStrikeFromDelta(_xll.qlBlackDeltaCalculator(,Q$6,"Spot",$C$38,1,1,C21%*SQRT($P21)),Q$7)</f>
        <v>15.428205976845225</v>
      </c>
      <c r="R21" s="126">
        <f>_xll.qlBlackDeltaCalculatorStrikeFromDelta(_xll.qlBlackDeltaCalculator(,R$6,"Spot",$C$38,1,1,D21%*SQRT($P21)),R$7)</f>
        <v>16.311840910080811</v>
      </c>
      <c r="S21" s="126">
        <f>_xll.qlBlackDeltaCalculatorStrikeFromDelta(_xll.qlBlackDeltaCalculator(,S$6,"Spot",$C$38,1,1,E21%*SQRT($P21)),S$7)</f>
        <v>16.892267776052446</v>
      </c>
      <c r="T21" s="126">
        <f>_xll.qlBlackDeltaCalculatorStrikeFromDelta(_xll.qlBlackDeltaCalculator(,T$6,"Spot",$C$38,1,1,F21%*SQRT($P21)),T$7)</f>
        <v>17.699955737255809</v>
      </c>
      <c r="U21" s="126">
        <f>_xll.qlBlackDeltaCalculatorStrikeFromDelta(_xll.qlBlackDeltaCalculator(,U$6,"Spot",$C$38,1,1,G21%*SQRT($P21)),U$7)</f>
        <v>18.309327833449363</v>
      </c>
      <c r="V21" s="127">
        <f>_xll.qlBlackDeltaCalculatorAtmStrike(_xll.qlBlackDeltaCalculator(,V$6,"Spot",$C$38,1,1,H21%*SQRT($P21)),"AtmFwd")</f>
        <v>19</v>
      </c>
      <c r="W21" s="126">
        <f>_xll.qlBlackDeltaCalculatorStrikeFromDelta(_xll.qlBlackDeltaCalculator(,W$6,"Spot",$C$38,1,1,I21%*SQRT($P21)),W$7)</f>
        <v>19.995491248410797</v>
      </c>
      <c r="X21" s="126">
        <f>_xll.qlBlackDeltaCalculatorStrikeFromDelta(_xll.qlBlackDeltaCalculator(,X$6,"Spot",$C$38,1,1,J21%*SQRT($P21)),X$7)</f>
        <v>20.745227473693099</v>
      </c>
      <c r="Y21" s="126">
        <f>_xll.qlBlackDeltaCalculatorStrikeFromDelta(_xll.qlBlackDeltaCalculator(,Y$6,"Spot",$C$38,1,1,K21%*SQRT($P21)),Y$7)</f>
        <v>21.865276608969733</v>
      </c>
      <c r="Z21" s="126">
        <f>_xll.qlBlackDeltaCalculatorStrikeFromDelta(_xll.qlBlackDeltaCalculator(,Z$6,"Spot",$C$38,1,1,L21%*SQRT($P21)),Z$7)</f>
        <v>22.754432111162934</v>
      </c>
      <c r="AA21" s="128">
        <f>_xll.qlBlackDeltaCalculatorStrikeFromDelta(_xll.qlBlackDeltaCalculator(,AA$6,"Spot",$C$38,1,1,M21%*SQRT($P21)),AA$7)</f>
        <v>24.232950127213414</v>
      </c>
      <c r="AC21" s="140">
        <f>$C$38</f>
        <v>19</v>
      </c>
      <c r="AD21" s="144">
        <v>7.6759318060925993E-2</v>
      </c>
      <c r="AE21" s="145">
        <v>0.7</v>
      </c>
      <c r="AF21" s="145">
        <v>0.1081955801652924</v>
      </c>
      <c r="AG21" s="146">
        <v>0.47706324738210776</v>
      </c>
      <c r="AH21" s="155" t="str">
        <f t="array" ref="AH21">_xll.qlSabrInterpolatedSmileSection(,O21,AC21,Q21:AA21,FALSE,H21%,C21:M21%,AD21,AE21,AG21,AF21,AD$6,AE$6,AG$6,AF$6,TRUE,,,"Actual/365 (Fixed)",0,FALSE)</f>
        <v>obj_00622#0003</v>
      </c>
      <c r="AI21" s="156">
        <f>_xll.qlSabrInterpolatedSmileSectionMaxError(AH21)</f>
        <v>1.4229426234864395E-3</v>
      </c>
      <c r="AJ21" s="157">
        <f>_xll.qlSabrInterpolatedSmileSectionAlpha(AH21)</f>
        <v>0.18567664571495635</v>
      </c>
      <c r="AK21" s="156">
        <f>_xll.qlSabrInterpolatedSmileSectionBeta(AH21)</f>
        <v>0.7</v>
      </c>
      <c r="AL21" s="158">
        <f>_xll.qlSabrInterpolatedSmileSectionRho(AH21)</f>
        <v>0.1081957481736175</v>
      </c>
      <c r="AM21" s="159">
        <f>_xll.qlSabrInterpolatedSmileSectionNu(AH21)</f>
        <v>0.47706273037250307</v>
      </c>
      <c r="AN21" s="105" t="s">
        <v>68</v>
      </c>
      <c r="AU21" s="297">
        <f>T21</f>
        <v>17.699955737255809</v>
      </c>
      <c r="AV21" s="266" t="str">
        <f>_xll.qlHestonModelHelper(,$B21,"TARGET",$C$38,Q21,C21/100,I_ValuationDate!$E$5,I_ValuationDate!$E$6,"RelativePriceError")</f>
        <v>obj_003e7#0003</v>
      </c>
      <c r="AW21" s="267" t="str">
        <f>_xll.qlHestonModelHelper(,$B21,"TARGET",$C$38,R21,D21/100,I_ValuationDate!$E$5,I_ValuationDate!$E$6,"RelativePriceError")</f>
        <v>obj_004be#0003</v>
      </c>
      <c r="AX21" s="267" t="str">
        <f>_xll.qlHestonModelHelper(,$B21,"TARGET",$C$38,S21,E21/100,I_ValuationDate!$E$5,I_ValuationDate!$E$6,"RelativePriceError")</f>
        <v>obj_00619#0003</v>
      </c>
      <c r="AY21" s="267" t="str">
        <f>_xll.qlHestonModelHelper(,$B21,"TARGET",$C$38,T21,F21/100,I_ValuationDate!$E$5,I_ValuationDate!$E$6,"RelativePriceError")</f>
        <v>obj_001d5#0003</v>
      </c>
      <c r="AZ21" s="267" t="str">
        <f>_xll.qlHestonModelHelper(,$B21,"TARGET",$C$38,U21,G21/100,I_ValuationDate!$E$5,I_ValuationDate!$E$6,"RelativePriceError")</f>
        <v>obj_0041d#0003</v>
      </c>
      <c r="BA21" s="267" t="str">
        <f>_xll.qlHestonModelHelper(,$B21,"TARGET",$C$38,V21,H21/100,I_ValuationDate!$E$5,I_ValuationDate!$E$6,"RelativePriceError")</f>
        <v>obj_0041c#0003</v>
      </c>
      <c r="BB21" s="267" t="str">
        <f>_xll.qlHestonModelHelper(,$B21,"TARGET",$C$38,W21,I21/100,I_ValuationDate!$E$5,I_ValuationDate!$E$6,"RelativePriceError")</f>
        <v>obj_005c9#0003</v>
      </c>
      <c r="BC21" s="267" t="str">
        <f>_xll.qlHestonModelHelper(,$B21,"TARGET",$C$38,X21,J21/100,I_ValuationDate!$E$5,I_ValuationDate!$E$6,"RelativePriceError")</f>
        <v>obj_004b6#0003</v>
      </c>
      <c r="BD21" s="267" t="str">
        <f>_xll.qlHestonModelHelper(,$B21,"TARGET",$C$38,Y21,K21/100,I_ValuationDate!$E$5,I_ValuationDate!$E$6,"RelativePriceError")</f>
        <v>obj_00427#0003</v>
      </c>
      <c r="BE21" s="267" t="str">
        <f>_xll.qlHestonModelHelper(,$B21,"TARGET",$C$38,Z21,L21/100,I_ValuationDate!$E$5,I_ValuationDate!$E$6,"RelativePriceError")</f>
        <v>obj_005bd#0003</v>
      </c>
      <c r="BF21" s="268" t="str">
        <f>_xll.qlHestonModelHelper(,$B21,"TARGET",$C$38,AA21,M21/100,I_ValuationDate!$E$5,I_ValuationDate!$E$6,"RelativePriceError")</f>
        <v>obj_00539#0003</v>
      </c>
    </row>
    <row r="22" spans="2:58">
      <c r="B22" s="105" t="s">
        <v>69</v>
      </c>
      <c r="C22" s="98">
        <v>10.065</v>
      </c>
      <c r="D22" s="99">
        <v>9.4779999999999998</v>
      </c>
      <c r="E22" s="99">
        <v>9.1240000000000006</v>
      </c>
      <c r="F22" s="99">
        <v>8.6880000000000006</v>
      </c>
      <c r="G22" s="99">
        <v>8.4749999999999996</v>
      </c>
      <c r="H22" s="99">
        <v>8.3849999999999998</v>
      </c>
      <c r="I22" s="99">
        <v>8.52</v>
      </c>
      <c r="J22" s="99">
        <v>8.7729999999999997</v>
      </c>
      <c r="K22" s="99">
        <v>9.2810000000000006</v>
      </c>
      <c r="L22" s="99">
        <v>9.6850000000000005</v>
      </c>
      <c r="M22" s="100">
        <v>10.236000000000001</v>
      </c>
      <c r="O22" s="114">
        <f>_xll.qlCalendarAdvance("NullCalendar",$C$3,B22)</f>
        <v>44114</v>
      </c>
      <c r="P22" s="117">
        <f>(O22-$C$3)/365</f>
        <v>3.0027397260273974</v>
      </c>
      <c r="Q22" s="125">
        <f>_xll.qlBlackDeltaCalculatorStrikeFromDelta(_xll.qlBlackDeltaCalculator(,Q$6,"Spot",$C$38,1,1,C22%*SQRT($P22)),Q$7)</f>
        <v>14.480005242949499</v>
      </c>
      <c r="R22" s="126">
        <f>_xll.qlBlackDeltaCalculatorStrikeFromDelta(_xll.qlBlackDeltaCalculator(,R$6,"Spot",$C$38,1,1,D22%*SQRT($P22)),R$7)</f>
        <v>15.60272799245673</v>
      </c>
      <c r="S22" s="126">
        <f>_xll.qlBlackDeltaCalculatorStrikeFromDelta(_xll.qlBlackDeltaCalculator(,S$6,"Spot",$C$38,1,1,E22%*SQRT($P22)),S$7)</f>
        <v>16.331124207090465</v>
      </c>
      <c r="T22" s="126">
        <f>_xll.qlBlackDeltaCalculatorStrikeFromDelta(_xll.qlBlackDeltaCalculator(,T$6,"Spot",$C$38,1,1,F22%*SQRT($P22)),T$7)</f>
        <v>17.361022034164218</v>
      </c>
      <c r="U22" s="126">
        <f>_xll.qlBlackDeltaCalculatorStrikeFromDelta(_xll.qlBlackDeltaCalculator(,U$6,"Spot",$C$38,1,1,G22%*SQRT($P22)),U$7)</f>
        <v>18.149357238546234</v>
      </c>
      <c r="V22" s="127">
        <f>_xll.qlBlackDeltaCalculatorAtmStrike(_xll.qlBlackDeltaCalculator(,V$6,"Spot",$C$38,1,1,H22%*SQRT($P22)),"AtmFwd")</f>
        <v>19</v>
      </c>
      <c r="W22" s="126">
        <f>_xll.qlBlackDeltaCalculatorStrikeFromDelta(_xll.qlBlackDeltaCalculator(,W$6,"Spot",$C$38,1,1,I22%*SQRT($P22)),W$7)</f>
        <v>20.332599070294222</v>
      </c>
      <c r="X22" s="126">
        <f>_xll.qlBlackDeltaCalculatorStrikeFromDelta(_xll.qlBlackDeltaCalculator(,X$6,"Spot",$C$38,1,1,J22%*SQRT($P22)),X$7)</f>
        <v>21.296266129141468</v>
      </c>
      <c r="Y22" s="126">
        <f>_xll.qlBlackDeltaCalculatorStrikeFromDelta(_xll.qlBlackDeltaCalculator(,Y$6,"Spot",$C$38,1,1,K22%*SQRT($P22)),Y$7)</f>
        <v>22.738414092157381</v>
      </c>
      <c r="Z22" s="126">
        <f>_xll.qlBlackDeltaCalculatorStrikeFromDelta(_xll.qlBlackDeltaCalculator(,Z$6,"Spot",$C$38,1,1,L22%*SQRT($P22)),Z$7)</f>
        <v>23.893321906411799</v>
      </c>
      <c r="AA22" s="128">
        <f>_xll.qlBlackDeltaCalculatorStrikeFromDelta(_xll.qlBlackDeltaCalculator(,AA$6,"Spot",$C$38,1,1,M22%*SQRT($P22)),AA$7)</f>
        <v>25.83999254440295</v>
      </c>
      <c r="AC22" s="140">
        <f>$C$38</f>
        <v>19</v>
      </c>
      <c r="AD22" s="144">
        <v>8.1138569762371784E-2</v>
      </c>
      <c r="AE22" s="145">
        <v>0.7</v>
      </c>
      <c r="AF22" s="145">
        <v>6.0724095136522278E-2</v>
      </c>
      <c r="AG22" s="146">
        <v>0.38109633458214792</v>
      </c>
      <c r="AH22" s="155" t="str">
        <f t="array" ref="AH22">_xll.qlSabrInterpolatedSmileSection(,O22,AC22,Q22:AA22,FALSE,H22%,C22:M22%,AD22,AE22,AG22,AF22,AD$6,AE$6,AG$6,AF$6,TRUE,,,"Actual/365 (Fixed)",0,FALSE)</f>
        <v>obj_0064e#0003</v>
      </c>
      <c r="AI22" s="156">
        <f>_xll.qlSabrInterpolatedSmileSectionMaxError(AH22)</f>
        <v>1.0997994237029879E-3</v>
      </c>
      <c r="AJ22" s="157">
        <f>_xll.qlSabrInterpolatedSmileSectionAlpha(AH22)</f>
        <v>0.19626979455824145</v>
      </c>
      <c r="AK22" s="156">
        <f>_xll.qlSabrInterpolatedSmileSectionBeta(AH22)</f>
        <v>0.7</v>
      </c>
      <c r="AL22" s="158">
        <f>_xll.qlSabrInterpolatedSmileSectionRho(AH22)</f>
        <v>6.0724033940296088E-2</v>
      </c>
      <c r="AM22" s="159">
        <f>_xll.qlSabrInterpolatedSmileSectionNu(AH22)</f>
        <v>0.38109615908331812</v>
      </c>
      <c r="AN22" s="105" t="s">
        <v>69</v>
      </c>
      <c r="AU22" s="297">
        <f>T22</f>
        <v>17.361022034164218</v>
      </c>
      <c r="AV22" s="266" t="str">
        <f>_xll.qlHestonModelHelper(,$B22,"TARGET",$C$38,Q22,C22/100,I_ValuationDate!$E$5,I_ValuationDate!$E$6,"RelativePriceError")</f>
        <v>obj_0057d#0003</v>
      </c>
      <c r="AW22" s="267" t="str">
        <f>_xll.qlHestonModelHelper(,$B22,"TARGET",$C$38,R22,D22/100,I_ValuationDate!$E$5,I_ValuationDate!$E$6,"RelativePriceError")</f>
        <v>obj_004d2#0003</v>
      </c>
      <c r="AX22" s="267" t="str">
        <f>_xll.qlHestonModelHelper(,$B22,"TARGET",$C$38,S22,E22/100,I_ValuationDate!$E$5,I_ValuationDate!$E$6,"RelativePriceError")</f>
        <v>obj_003d0#0003</v>
      </c>
      <c r="AY22" s="267" t="str">
        <f>_xll.qlHestonModelHelper(,$B22,"TARGET",$C$38,T22,F22/100,I_ValuationDate!$E$5,I_ValuationDate!$E$6,"RelativePriceError")</f>
        <v>obj_0038c#0003</v>
      </c>
      <c r="AZ22" s="267" t="str">
        <f>_xll.qlHestonModelHelper(,$B22,"TARGET",$C$38,U22,G22/100,I_ValuationDate!$E$5,I_ValuationDate!$E$6,"RelativePriceError")</f>
        <v>obj_00537#0003</v>
      </c>
      <c r="BA22" s="267" t="str">
        <f>_xll.qlHestonModelHelper(,$B22,"TARGET",$C$38,V22,H22/100,I_ValuationDate!$E$5,I_ValuationDate!$E$6,"RelativePriceError")</f>
        <v>obj_003e0#0003</v>
      </c>
      <c r="BB22" s="267" t="str">
        <f>_xll.qlHestonModelHelper(,$B22,"TARGET",$C$38,W22,I22/100,I_ValuationDate!$E$5,I_ValuationDate!$E$6,"RelativePriceError")</f>
        <v>obj_005e5#0003</v>
      </c>
      <c r="BC22" s="267" t="str">
        <f>_xll.qlHestonModelHelper(,$B22,"TARGET",$C$38,X22,J22/100,I_ValuationDate!$E$5,I_ValuationDate!$E$6,"RelativePriceError")</f>
        <v>obj_004cb#0003</v>
      </c>
      <c r="BD22" s="267" t="str">
        <f>_xll.qlHestonModelHelper(,$B22,"TARGET",$C$38,Y22,K22/100,I_ValuationDate!$E$5,I_ValuationDate!$E$6,"RelativePriceError")</f>
        <v>obj_00518#0003</v>
      </c>
      <c r="BE22" s="267" t="str">
        <f>_xll.qlHestonModelHelper(,$B22,"TARGET",$C$38,Z22,L22/100,I_ValuationDate!$E$5,I_ValuationDate!$E$6,"RelativePriceError")</f>
        <v>obj_0059a#0003</v>
      </c>
      <c r="BF22" s="268" t="str">
        <f>_xll.qlHestonModelHelper(,$B22,"TARGET",$C$38,AA22,M22/100,I_ValuationDate!$E$5,I_ValuationDate!$E$6,"RelativePriceError")</f>
        <v>obj_003ee#0003</v>
      </c>
    </row>
    <row r="23" spans="2:58">
      <c r="B23" s="105" t="s">
        <v>70</v>
      </c>
      <c r="C23" s="98">
        <v>10.613</v>
      </c>
      <c r="D23" s="99">
        <v>9.9819999999999993</v>
      </c>
      <c r="E23" s="99">
        <v>9.6340000000000003</v>
      </c>
      <c r="F23" s="99">
        <v>9.173</v>
      </c>
      <c r="G23" s="99">
        <v>8.9329999999999998</v>
      </c>
      <c r="H23" s="99">
        <v>8.7629999999999999</v>
      </c>
      <c r="I23" s="99">
        <v>8.8610000000000007</v>
      </c>
      <c r="J23" s="99">
        <v>9.0649999999999995</v>
      </c>
      <c r="K23" s="99">
        <v>9.484</v>
      </c>
      <c r="L23" s="99">
        <v>9.9619999999999997</v>
      </c>
      <c r="M23" s="100">
        <v>10.488</v>
      </c>
      <c r="O23" s="114">
        <f>_xll.qlCalendarAdvance("NullCalendar",$C$3,B23)</f>
        <v>44479</v>
      </c>
      <c r="P23" s="117">
        <f>(O23-$C$3)/365</f>
        <v>4.0027397260273974</v>
      </c>
      <c r="Q23" s="125">
        <f>_xll.qlBlackDeltaCalculatorStrikeFromDelta(_xll.qlBlackDeltaCalculator(,Q$6,"Spot",$C$38,1,1,C23%*SQRT($P23)),Q$7)</f>
        <v>13.704515611171747</v>
      </c>
      <c r="R23" s="126">
        <f>_xll.qlBlackDeltaCalculatorStrikeFromDelta(_xll.qlBlackDeltaCalculator(,R$6,"Spot",$C$38,1,1,D23%*SQRT($P23)),R$7)</f>
        <v>15.005910165810485</v>
      </c>
      <c r="S23" s="126">
        <f>_xll.qlBlackDeltaCalculatorStrikeFromDelta(_xll.qlBlackDeltaCalculator(,S$6,"Spot",$C$38,1,1,E23%*SQRT($P23)),S$7)</f>
        <v>15.851214471508762</v>
      </c>
      <c r="T23" s="126">
        <f>_xll.qlBlackDeltaCalculatorStrikeFromDelta(_xll.qlBlackDeltaCalculator(,T$6,"Spot",$C$38,1,1,F23%*SQRT($P23)),T$7)</f>
        <v>17.072944744373892</v>
      </c>
      <c r="U23" s="126">
        <f>_xll.qlBlackDeltaCalculatorStrikeFromDelta(_xll.qlBlackDeltaCalculator(,U$6,"Spot",$C$38,1,1,G23%*SQRT($P23)),U$7)</f>
        <v>18.021125020320309</v>
      </c>
      <c r="V23" s="127">
        <f>_xll.qlBlackDeltaCalculatorAtmStrike(_xll.qlBlackDeltaCalculator(,V$6,"Spot",$C$38,1,1,H23%*SQRT($P23)),"AtmFwd")</f>
        <v>19</v>
      </c>
      <c r="W23" s="126">
        <f>_xll.qlBlackDeltaCalculatorStrikeFromDelta(_xll.qlBlackDeltaCalculator(,W$6,"Spot",$C$38,1,1,I23%*SQRT($P23)),W$7)</f>
        <v>20.665446906428166</v>
      </c>
      <c r="X23" s="126">
        <f>_xll.qlBlackDeltaCalculatorStrikeFromDelta(_xll.qlBlackDeltaCalculator(,X$6,"Spot",$C$38,1,1,J23%*SQRT($P23)),X$7)</f>
        <v>21.828401520026858</v>
      </c>
      <c r="Y23" s="126">
        <f>_xll.qlBlackDeltaCalculatorStrikeFromDelta(_xll.qlBlackDeltaCalculator(,Y$6,"Spot",$C$38,1,1,K23%*SQRT($P23)),Y$7)</f>
        <v>23.549357821483245</v>
      </c>
      <c r="Z23" s="126">
        <f>_xll.qlBlackDeltaCalculatorStrikeFromDelta(_xll.qlBlackDeltaCalculator(,Z$6,"Spot",$C$38,1,1,L23%*SQRT($P23)),Z$7)</f>
        <v>25.021229019265952</v>
      </c>
      <c r="AA23" s="128">
        <f>_xll.qlBlackDeltaCalculatorStrikeFromDelta(_xll.qlBlackDeltaCalculator(,AA$6,"Spot",$C$38,1,1,M23%*SQRT($P23)),AA$7)</f>
        <v>27.428875571676759</v>
      </c>
      <c r="AC23" s="140">
        <f>$C$38</f>
        <v>19</v>
      </c>
      <c r="AD23" s="144">
        <v>8.5091887966612365E-2</v>
      </c>
      <c r="AE23" s="145">
        <v>0.7</v>
      </c>
      <c r="AF23" s="145">
        <v>3.2814225257234625E-2</v>
      </c>
      <c r="AG23" s="146">
        <v>0.32287253598612942</v>
      </c>
      <c r="AH23" s="155" t="str">
        <f t="array" ref="AH23">_xll.qlSabrInterpolatedSmileSection(,O23,AC23,Q23:AA23,FALSE,H23%,C23:M23%,AD23,AE23,AG23,AF23,AD$6,AE$6,AG$6,AF$6,TRUE,,,"Actual/365 (Fixed)",0,FALSE)</f>
        <v>obj_00629#0003</v>
      </c>
      <c r="AI23" s="156">
        <f>_xll.qlSabrInterpolatedSmileSectionMaxError(AH23)</f>
        <v>1.4221445875963051E-3</v>
      </c>
      <c r="AJ23" s="157">
        <f>_xll.qlSabrInterpolatedSmileSectionAlpha(AH23)</f>
        <v>0.2058326462575476</v>
      </c>
      <c r="AK23" s="156">
        <f>_xll.qlSabrInterpolatedSmileSectionBeta(AH23)</f>
        <v>0.7</v>
      </c>
      <c r="AL23" s="158">
        <f>_xll.qlSabrInterpolatedSmileSectionRho(AH23)</f>
        <v>3.2814315849321825E-2</v>
      </c>
      <c r="AM23" s="159">
        <f>_xll.qlSabrInterpolatedSmileSectionNu(AH23)</f>
        <v>0.32287246300738087</v>
      </c>
      <c r="AN23" s="105" t="s">
        <v>70</v>
      </c>
      <c r="AU23" s="297">
        <f>T23</f>
        <v>17.072944744373892</v>
      </c>
      <c r="AV23" s="266" t="str">
        <f>_xll.qlHestonModelHelper(,$B23,"TARGET",$C$38,Q23,C23/100,I_ValuationDate!$E$5,I_ValuationDate!$E$6,"RelativePriceError")</f>
        <v>obj_0044d#0003</v>
      </c>
      <c r="AW23" s="267" t="str">
        <f>_xll.qlHestonModelHelper(,$B23,"TARGET",$C$38,R23,D23/100,I_ValuationDate!$E$5,I_ValuationDate!$E$6,"RelativePriceError")</f>
        <v>obj_00491#0003</v>
      </c>
      <c r="AX23" s="267" t="str">
        <f>_xll.qlHestonModelHelper(,$B23,"TARGET",$C$38,S23,E23/100,I_ValuationDate!$E$5,I_ValuationDate!$E$6,"RelativePriceError")</f>
        <v>obj_003e1#0003</v>
      </c>
      <c r="AY23" s="267" t="str">
        <f>_xll.qlHestonModelHelper(,$B23,"TARGET",$C$38,T23,F23/100,I_ValuationDate!$E$5,I_ValuationDate!$E$6,"RelativePriceError")</f>
        <v>obj_002c9#0003</v>
      </c>
      <c r="AZ23" s="267" t="str">
        <f>_xll.qlHestonModelHelper(,$B23,"TARGET",$C$38,U23,G23/100,I_ValuationDate!$E$5,I_ValuationDate!$E$6,"RelativePriceError")</f>
        <v>obj_003c9#0003</v>
      </c>
      <c r="BA23" s="267" t="str">
        <f>_xll.qlHestonModelHelper(,$B23,"TARGET",$C$38,V23,H23/100,I_ValuationDate!$E$5,I_ValuationDate!$E$6,"RelativePriceError")</f>
        <v>obj_0050c#0003</v>
      </c>
      <c r="BB23" s="267" t="str">
        <f>_xll.qlHestonModelHelper(,$B23,"TARGET",$C$38,W23,I23/100,I_ValuationDate!$E$5,I_ValuationDate!$E$6,"RelativePriceError")</f>
        <v>obj_00400#0003</v>
      </c>
      <c r="BC23" s="267" t="str">
        <f>_xll.qlHestonModelHelper(,$B23,"TARGET",$C$38,X23,J23/100,I_ValuationDate!$E$5,I_ValuationDate!$E$6,"RelativePriceError")</f>
        <v>obj_0052d#0003</v>
      </c>
      <c r="BD23" s="267" t="str">
        <f>_xll.qlHestonModelHelper(,$B23,"TARGET",$C$38,Y23,K23/100,I_ValuationDate!$E$5,I_ValuationDate!$E$6,"RelativePriceError")</f>
        <v>obj_003d6#0003</v>
      </c>
      <c r="BE23" s="267" t="str">
        <f>_xll.qlHestonModelHelper(,$B23,"TARGET",$C$38,Z23,L23/100,I_ValuationDate!$E$5,I_ValuationDate!$E$6,"RelativePriceError")</f>
        <v>obj_00614#0003</v>
      </c>
      <c r="BF23" s="268" t="str">
        <f>_xll.qlHestonModelHelper(,$B23,"TARGET",$C$38,AA23,M23/100,I_ValuationDate!$E$5,I_ValuationDate!$E$6,"RelativePriceError")</f>
        <v>obj_0052c#0003</v>
      </c>
    </row>
    <row r="24" spans="2:58">
      <c r="B24" s="105" t="s">
        <v>71</v>
      </c>
      <c r="C24" s="98">
        <v>11.034000000000001</v>
      </c>
      <c r="D24" s="99">
        <v>10.371</v>
      </c>
      <c r="E24" s="99">
        <v>10.042</v>
      </c>
      <c r="F24" s="99">
        <v>9.5670000000000002</v>
      </c>
      <c r="G24" s="99">
        <v>9.3209999999999997</v>
      </c>
      <c r="H24" s="99">
        <v>9.08</v>
      </c>
      <c r="I24" s="99">
        <v>9.1430000000000007</v>
      </c>
      <c r="J24" s="99">
        <v>9.3369999999999997</v>
      </c>
      <c r="K24" s="99">
        <v>9.8239999999999998</v>
      </c>
      <c r="L24" s="99">
        <v>10.249000000000001</v>
      </c>
      <c r="M24" s="100">
        <v>10.766</v>
      </c>
      <c r="O24" s="114">
        <f>_xll.qlCalendarAdvance("NullCalendar",$C$3,B24)</f>
        <v>44844</v>
      </c>
      <c r="P24" s="117">
        <f>(O24-$C$3)/365</f>
        <v>5.0027397260273974</v>
      </c>
      <c r="Q24" s="125">
        <f>_xll.qlBlackDeltaCalculatorStrikeFromDelta(_xll.qlBlackDeltaCalculator(,Q$6,"Spot",$C$38,1,1,C24%*SQRT($P24)),Q$7)</f>
        <v>13.052122394920993</v>
      </c>
      <c r="R24" s="126">
        <f>_xll.qlBlackDeltaCalculatorStrikeFromDelta(_xll.qlBlackDeltaCalculator(,R$6,"Spot",$C$38,1,1,D24%*SQRT($P24)),R$7)</f>
        <v>14.498809732684602</v>
      </c>
      <c r="S24" s="126">
        <f>_xll.qlBlackDeltaCalculatorStrikeFromDelta(_xll.qlBlackDeltaCalculator(,S$6,"Spot",$C$38,1,1,E24%*SQRT($P24)),S$7)</f>
        <v>15.438626224753246</v>
      </c>
      <c r="T24" s="126">
        <f>_xll.qlBlackDeltaCalculatorStrikeFromDelta(_xll.qlBlackDeltaCalculator(,T$6,"Spot",$C$38,1,1,F24%*SQRT($P24)),T$7)</f>
        <v>16.827322380507802</v>
      </c>
      <c r="U24" s="126">
        <f>_xll.qlBlackDeltaCalculatorStrikeFromDelta(_xll.qlBlackDeltaCalculator(,U$6,"Spot",$C$38,1,1,G24%*SQRT($P24)),U$7)</f>
        <v>17.918597649984989</v>
      </c>
      <c r="V24" s="127">
        <f>_xll.qlBlackDeltaCalculatorAtmStrike(_xll.qlBlackDeltaCalculator(,V$6,"Spot",$C$38,1,1,H24%*SQRT($P24)),"AtmFwd")</f>
        <v>19</v>
      </c>
      <c r="W24" s="126">
        <f>_xll.qlBlackDeltaCalculatorStrikeFromDelta(_xll.qlBlackDeltaCalculator(,W$6,"Spot",$C$38,1,1,I24%*SQRT($P24)),W$7)</f>
        <v>20.992116495557067</v>
      </c>
      <c r="X24" s="126">
        <f>_xll.qlBlackDeltaCalculatorStrikeFromDelta(_xll.qlBlackDeltaCalculator(,X$6,"Spot",$C$38,1,1,J24%*SQRT($P24)),X$7)</f>
        <v>22.356240165533737</v>
      </c>
      <c r="Y24" s="126">
        <f>_xll.qlBlackDeltaCalculatorStrikeFromDelta(_xll.qlBlackDeltaCalculator(,Y$6,"Spot",$C$38,1,1,K24%*SQRT($P24)),Y$7)</f>
        <v>24.442343094154779</v>
      </c>
      <c r="Z24" s="126">
        <f>_xll.qlBlackDeltaCalculatorStrikeFromDelta(_xll.qlBlackDeltaCalculator(,Z$6,"Spot",$C$38,1,1,L24%*SQRT($P24)),Z$7)</f>
        <v>26.16685148698603</v>
      </c>
      <c r="AA24" s="128">
        <f>_xll.qlBlackDeltaCalculatorStrikeFromDelta(_xll.qlBlackDeltaCalculator(,AA$6,"Spot",$C$38,1,1,M24%*SQRT($P24)),AA$7)</f>
        <v>29.064397846577634</v>
      </c>
      <c r="AC24" s="140">
        <f>$C$38</f>
        <v>19</v>
      </c>
      <c r="AD24" s="144">
        <v>8.838374420436991E-2</v>
      </c>
      <c r="AE24" s="145">
        <v>0.7</v>
      </c>
      <c r="AF24" s="145">
        <v>2.5198165658626964E-2</v>
      </c>
      <c r="AG24" s="146">
        <v>0.28660648187627935</v>
      </c>
      <c r="AH24" s="155" t="str">
        <f t="array" ref="AH24">_xll.qlSabrInterpolatedSmileSection(,O24,AC24,Q24:AA24,FALSE,H24%,C24:M24%,AD24,AE24,AG24,AF24,AD$6,AE$6,AG$6,AF$6,TRUE,,,"Actual/365 (Fixed)",0,FALSE)</f>
        <v>obj_00650#0003</v>
      </c>
      <c r="AI24" s="156">
        <f>_xll.qlSabrInterpolatedSmileSectionMaxError(AH24)</f>
        <v>1.7678463242401937E-3</v>
      </c>
      <c r="AJ24" s="157">
        <f>_xll.qlSabrInterpolatedSmileSectionAlpha(AH24)</f>
        <v>0.21379545490939969</v>
      </c>
      <c r="AK24" s="156">
        <f>_xll.qlSabrInterpolatedSmileSectionBeta(AH24)</f>
        <v>0.7</v>
      </c>
      <c r="AL24" s="158">
        <f>_xll.qlSabrInterpolatedSmileSectionRho(AH24)</f>
        <v>2.5198123655129738E-2</v>
      </c>
      <c r="AM24" s="159">
        <f>_xll.qlSabrInterpolatedSmileSectionNu(AH24)</f>
        <v>0.28660651288892919</v>
      </c>
      <c r="AN24" s="105" t="s">
        <v>71</v>
      </c>
      <c r="AU24" s="297">
        <f>T24</f>
        <v>16.827322380507802</v>
      </c>
      <c r="AV24" s="266" t="str">
        <f>_xll.qlHestonModelHelper(,$B24,"TARGET",$C$38,Q24,C24/100,I_ValuationDate!$E$5,I_ValuationDate!$E$6,"RelativePriceError")</f>
        <v>obj_0058d#0003</v>
      </c>
      <c r="AW24" s="267" t="str">
        <f>_xll.qlHestonModelHelper(,$B24,"TARGET",$C$38,R24,D24/100,I_ValuationDate!$E$5,I_ValuationDate!$E$6,"RelativePriceError")</f>
        <v>obj_005b8#0003</v>
      </c>
      <c r="AX24" s="267" t="str">
        <f>_xll.qlHestonModelHelper(,$B24,"TARGET",$C$38,S24,E24/100,I_ValuationDate!$E$5,I_ValuationDate!$E$6,"RelativePriceError")</f>
        <v>obj_004ca#0003</v>
      </c>
      <c r="AY24" s="267" t="str">
        <f>_xll.qlHestonModelHelper(,$B24,"TARGET",$C$38,T24,F24/100,I_ValuationDate!$E$5,I_ValuationDate!$E$6,"RelativePriceError")</f>
        <v>obj_00394#0003</v>
      </c>
      <c r="AZ24" s="267" t="str">
        <f>_xll.qlHestonModelHelper(,$B24,"TARGET",$C$38,U24,G24/100,I_ValuationDate!$E$5,I_ValuationDate!$E$6,"RelativePriceError")</f>
        <v>obj_005a7#0003</v>
      </c>
      <c r="BA24" s="267" t="str">
        <f>_xll.qlHestonModelHelper(,$B24,"TARGET",$C$38,V24,H24/100,I_ValuationDate!$E$5,I_ValuationDate!$E$6,"RelativePriceError")</f>
        <v>obj_0053d#0003</v>
      </c>
      <c r="BB24" s="267" t="str">
        <f>_xll.qlHestonModelHelper(,$B24,"TARGET",$C$38,W24,I24/100,I_ValuationDate!$E$5,I_ValuationDate!$E$6,"RelativePriceError")</f>
        <v>obj_004ec#0003</v>
      </c>
      <c r="BC24" s="267" t="str">
        <f>_xll.qlHestonModelHelper(,$B24,"TARGET",$C$38,X24,J24/100,I_ValuationDate!$E$5,I_ValuationDate!$E$6,"RelativePriceError")</f>
        <v>obj_00612#0003</v>
      </c>
      <c r="BD24" s="267" t="str">
        <f>_xll.qlHestonModelHelper(,$B24,"TARGET",$C$38,Y24,K24/100,I_ValuationDate!$E$5,I_ValuationDate!$E$6,"RelativePriceError")</f>
        <v>obj_00572#0003</v>
      </c>
      <c r="BE24" s="267" t="str">
        <f>_xll.qlHestonModelHelper(,$B24,"TARGET",$C$38,Z24,L24/100,I_ValuationDate!$E$5,I_ValuationDate!$E$6,"RelativePriceError")</f>
        <v>obj_005fa#0003</v>
      </c>
      <c r="BF24" s="268" t="str">
        <f>_xll.qlHestonModelHelper(,$B24,"TARGET",$C$38,AA24,M24/100,I_ValuationDate!$E$5,I_ValuationDate!$E$6,"RelativePriceError")</f>
        <v>obj_003b5#0003</v>
      </c>
    </row>
    <row r="25" spans="2:58">
      <c r="B25" s="105" t="s">
        <v>72</v>
      </c>
      <c r="C25" s="98">
        <v>11.257</v>
      </c>
      <c r="D25" s="99">
        <v>10.58</v>
      </c>
      <c r="E25" s="99">
        <v>10.183999999999999</v>
      </c>
      <c r="F25" s="99">
        <v>9.6829999999999998</v>
      </c>
      <c r="G25" s="99">
        <v>9.3390000000000004</v>
      </c>
      <c r="H25" s="99">
        <v>9.2119999999999997</v>
      </c>
      <c r="I25" s="99">
        <v>9.3710000000000004</v>
      </c>
      <c r="J25" s="99">
        <v>9.5129999999999999</v>
      </c>
      <c r="K25" s="99">
        <v>9.9469999999999992</v>
      </c>
      <c r="L25" s="99">
        <v>10.324999999999999</v>
      </c>
      <c r="M25" s="100">
        <v>10.83</v>
      </c>
      <c r="O25" s="114">
        <f>_xll.qlCalendarAdvance("NullCalendar",$C$3,B25)</f>
        <v>45209</v>
      </c>
      <c r="P25" s="117">
        <f>(O25-$C$3)/365</f>
        <v>6.0027397260273974</v>
      </c>
      <c r="Q25" s="125">
        <f>_xll.qlBlackDeltaCalculatorStrikeFromDelta(_xll.qlBlackDeltaCalculator(,Q$6,"Spot",$C$38,1,1,C25%*SQRT($P25)),Q$7)</f>
        <v>12.538681940629447</v>
      </c>
      <c r="R25" s="126">
        <f>_xll.qlBlackDeltaCalculatorStrikeFromDelta(_xll.qlBlackDeltaCalculator(,R$6,"Spot",$C$38,1,1,D25%*SQRT($P25)),R$7)</f>
        <v>14.09524658019742</v>
      </c>
      <c r="S25" s="126">
        <f>_xll.qlBlackDeltaCalculatorStrikeFromDelta(_xll.qlBlackDeltaCalculator(,S$6,"Spot",$C$38,1,1,E25%*SQRT($P25)),S$7)</f>
        <v>15.134300999709628</v>
      </c>
      <c r="T25" s="126">
        <f>_xll.qlBlackDeltaCalculatorStrikeFromDelta(_xll.qlBlackDeltaCalculator(,T$6,"Spot",$C$38,1,1,F25%*SQRT($P25)),T$7)</f>
        <v>16.65258084957285</v>
      </c>
      <c r="U25" s="126">
        <f>_xll.qlBlackDeltaCalculatorStrikeFromDelta(_xll.qlBlackDeltaCalculator(,U$6,"Spot",$C$38,1,1,G25%*SQRT($P25)),U$7)</f>
        <v>17.857985953702677</v>
      </c>
      <c r="V25" s="127">
        <f>_xll.qlBlackDeltaCalculatorAtmStrike(_xll.qlBlackDeltaCalculator(,V$6,"Spot",$C$38,1,1,H25%*SQRT($P25)),"AtmFwd")</f>
        <v>19</v>
      </c>
      <c r="W25" s="126">
        <f>_xll.qlBlackDeltaCalculatorStrikeFromDelta(_xll.qlBlackDeltaCalculator(,W$6,"Spot",$C$38,1,1,I25%*SQRT($P25)),W$7)</f>
        <v>21.311844558858144</v>
      </c>
      <c r="X25" s="126">
        <f>_xll.qlBlackDeltaCalculatorStrikeFromDelta(_xll.qlBlackDeltaCalculator(,X$6,"Spot",$C$38,1,1,J25%*SQRT($P25)),X$7)</f>
        <v>22.846683857153366</v>
      </c>
      <c r="Y25" s="126">
        <f>_xll.qlBlackDeltaCalculatorStrikeFromDelta(_xll.qlBlackDeltaCalculator(,Y$6,"Spot",$C$38,1,1,K25%*SQRT($P25)),Y$7)</f>
        <v>25.196895470614781</v>
      </c>
      <c r="Z25" s="126">
        <f>_xll.qlBlackDeltaCalculatorStrikeFromDelta(_xll.qlBlackDeltaCalculator(,Z$6,"Spot",$C$38,1,1,L25%*SQRT($P25)),Z$7)</f>
        <v>27.129623019765859</v>
      </c>
      <c r="AA25" s="128">
        <f>_xll.qlBlackDeltaCalculatorStrikeFromDelta(_xll.qlBlackDeltaCalculator(,AA$6,"Spot",$C$38,1,1,M25%*SQRT($P25)),AA$7)</f>
        <v>30.450050963296231</v>
      </c>
      <c r="AC25" s="140">
        <f>$C$38</f>
        <v>19</v>
      </c>
      <c r="AD25" s="144">
        <v>8.9624814645010292E-2</v>
      </c>
      <c r="AE25" s="145">
        <v>0.7</v>
      </c>
      <c r="AF25" s="145">
        <v>3.2037711763331672E-2</v>
      </c>
      <c r="AG25" s="146">
        <v>0.26168631984052831</v>
      </c>
      <c r="AH25" s="155" t="str">
        <f t="array" ref="AH25">_xll.qlSabrInterpolatedSmileSection(,O25,AC25,Q25:AA25,FALSE,H25%,C25:M25%,AD25,AE25,AG25,AF25,AD$6,AE$6,AG$6,AF$6,TRUE,,,"Actual/365 (Fixed)",0,FALSE)</f>
        <v>obj_00645#0003</v>
      </c>
      <c r="AI25" s="156">
        <f>_xll.qlSabrInterpolatedSmileSectionMaxError(AH25)</f>
        <v>1.2913734985740555E-3</v>
      </c>
      <c r="AJ25" s="157">
        <f>_xll.qlSabrInterpolatedSmileSectionAlpha(AH25)</f>
        <v>0.21679756803962938</v>
      </c>
      <c r="AK25" s="156">
        <f>_xll.qlSabrInterpolatedSmileSectionBeta(AH25)</f>
        <v>0.7</v>
      </c>
      <c r="AL25" s="158">
        <f>_xll.qlSabrInterpolatedSmileSectionRho(AH25)</f>
        <v>3.2037830641233944E-2</v>
      </c>
      <c r="AM25" s="159">
        <f>_xll.qlSabrInterpolatedSmileSectionNu(AH25)</f>
        <v>0.26168612908877986</v>
      </c>
      <c r="AN25" s="105" t="s">
        <v>72</v>
      </c>
      <c r="AU25" s="297">
        <f>T25</f>
        <v>16.65258084957285</v>
      </c>
      <c r="AV25" s="266" t="str">
        <f>_xll.qlHestonModelHelper(,$B25,"TARGET",$C$38,Q25,C25/100,I_ValuationDate!$E$5,I_ValuationDate!$E$6,"RelativePriceError")</f>
        <v>obj_00467#0003</v>
      </c>
      <c r="AW25" s="267" t="str">
        <f>_xll.qlHestonModelHelper(,$B25,"TARGET",$C$38,R25,D25/100,I_ValuationDate!$E$5,I_ValuationDate!$E$6,"RelativePriceError")</f>
        <v>obj_0049c#0003</v>
      </c>
      <c r="AX25" s="267" t="str">
        <f>_xll.qlHestonModelHelper(,$B25,"TARGET",$C$38,S25,E25/100,I_ValuationDate!$E$5,I_ValuationDate!$E$6,"RelativePriceError")</f>
        <v>obj_003f7#0003</v>
      </c>
      <c r="AY25" s="267" t="str">
        <f>_xll.qlHestonModelHelper(,$B25,"TARGET",$C$38,T25,F25/100,I_ValuationDate!$E$5,I_ValuationDate!$E$6,"RelativePriceError")</f>
        <v>obj_00268#0003</v>
      </c>
      <c r="AZ25" s="267" t="str">
        <f>_xll.qlHestonModelHelper(,$B25,"TARGET",$C$38,U25,G25/100,I_ValuationDate!$E$5,I_ValuationDate!$E$6,"RelativePriceError")</f>
        <v>obj_005f4#0003</v>
      </c>
      <c r="BA25" s="267" t="str">
        <f>_xll.qlHestonModelHelper(,$B25,"TARGET",$C$38,V25,H25/100,I_ValuationDate!$E$5,I_ValuationDate!$E$6,"RelativePriceError")</f>
        <v>obj_005ed#0003</v>
      </c>
      <c r="BB25" s="267" t="str">
        <f>_xll.qlHestonModelHelper(,$B25,"TARGET",$C$38,W25,I25/100,I_ValuationDate!$E$5,I_ValuationDate!$E$6,"RelativePriceError")</f>
        <v>obj_004e0#0003</v>
      </c>
      <c r="BC25" s="267" t="str">
        <f>_xll.qlHestonModelHelper(,$B25,"TARGET",$C$38,X25,J25/100,I_ValuationDate!$E$5,I_ValuationDate!$E$6,"RelativePriceError")</f>
        <v>obj_004e8#0003</v>
      </c>
      <c r="BD25" s="267" t="str">
        <f>_xll.qlHestonModelHelper(,$B25,"TARGET",$C$38,Y25,K25/100,I_ValuationDate!$E$5,I_ValuationDate!$E$6,"RelativePriceError")</f>
        <v>obj_003f1#0003</v>
      </c>
      <c r="BE25" s="267" t="str">
        <f>_xll.qlHestonModelHelper(,$B25,"TARGET",$C$38,Z25,L25/100,I_ValuationDate!$E$5,I_ValuationDate!$E$6,"RelativePriceError")</f>
        <v>obj_004d6#0003</v>
      </c>
      <c r="BF25" s="268" t="str">
        <f>_xll.qlHestonModelHelper(,$B25,"TARGET",$C$38,AA25,M25/100,I_ValuationDate!$E$5,I_ValuationDate!$E$6,"RelativePriceError")</f>
        <v>obj_005e7#0003</v>
      </c>
    </row>
    <row r="26" spans="2:58">
      <c r="B26" s="105" t="s">
        <v>73</v>
      </c>
      <c r="C26" s="98">
        <v>11.407999999999999</v>
      </c>
      <c r="D26" s="99">
        <v>10.705</v>
      </c>
      <c r="E26" s="99">
        <v>10.298999999999999</v>
      </c>
      <c r="F26" s="99">
        <v>9.7859999999999996</v>
      </c>
      <c r="G26" s="99">
        <v>9.3480000000000008</v>
      </c>
      <c r="H26" s="99">
        <v>9.3130000000000006</v>
      </c>
      <c r="I26" s="99">
        <v>9.5619999999999994</v>
      </c>
      <c r="J26" s="99">
        <v>9.5809999999999995</v>
      </c>
      <c r="K26" s="99">
        <v>10.026999999999999</v>
      </c>
      <c r="L26" s="99">
        <v>10.39</v>
      </c>
      <c r="M26" s="100">
        <v>10.879</v>
      </c>
      <c r="O26" s="114">
        <f>_xll.qlCalendarAdvance("NullCalendar",$C$3,B26)</f>
        <v>45575</v>
      </c>
      <c r="P26" s="117">
        <f>(O26-$C$3)/365</f>
        <v>7.0054794520547947</v>
      </c>
      <c r="Q26" s="125">
        <f>_xll.qlBlackDeltaCalculatorStrikeFromDelta(_xll.qlBlackDeltaCalculator(,Q$6,"Spot",$C$38,1,1,C26%*SQRT($P26)),Q$7)</f>
        <v>12.101972802742425</v>
      </c>
      <c r="R26" s="126">
        <f>_xll.qlBlackDeltaCalculatorStrikeFromDelta(_xll.qlBlackDeltaCalculator(,R$6,"Spot",$C$38,1,1,D26%*SQRT($P26)),R$7)</f>
        <v>13.755880778114035</v>
      </c>
      <c r="S26" s="126">
        <f>_xll.qlBlackDeltaCalculatorStrikeFromDelta(_xll.qlBlackDeltaCalculator(,S$6,"Spot",$C$38,1,1,E26%*SQRT($P26)),S$7)</f>
        <v>14.865874791766881</v>
      </c>
      <c r="T26" s="126">
        <f>_xll.qlBlackDeltaCalculatorStrikeFromDelta(_xll.qlBlackDeltaCalculator(,T$6,"Spot",$C$38,1,1,F26%*SQRT($P26)),T$7)</f>
        <v>16.498683552095539</v>
      </c>
      <c r="U26" s="126">
        <f>_xll.qlBlackDeltaCalculatorStrikeFromDelta(_xll.qlBlackDeltaCalculator(,U$6,"Spot",$C$38,1,1,G26%*SQRT($P26)),U$7)</f>
        <v>17.809127291085041</v>
      </c>
      <c r="V26" s="127">
        <f>_xll.qlBlackDeltaCalculatorAtmStrike(_xll.qlBlackDeltaCalculator(,V$6,"Spot",$C$38,1,1,H26%*SQRT($P26)),"AtmFwd")</f>
        <v>19</v>
      </c>
      <c r="W26" s="126">
        <f>_xll.qlBlackDeltaCalculatorStrikeFromDelta(_xll.qlBlackDeltaCalculator(,W$6,"Spot",$C$38,1,1,I26%*SQRT($P26)),W$7)</f>
        <v>21.627903045825697</v>
      </c>
      <c r="X26" s="126">
        <f>_xll.qlBlackDeltaCalculatorStrikeFromDelta(_xll.qlBlackDeltaCalculator(,X$6,"Spot",$C$38,1,1,J26%*SQRT($P26)),X$7)</f>
        <v>23.280951744626051</v>
      </c>
      <c r="Y26" s="126">
        <f>_xll.qlBlackDeltaCalculatorStrikeFromDelta(_xll.qlBlackDeltaCalculator(,Y$6,"Spot",$C$38,1,1,K26%*SQRT($P26)),Y$7)</f>
        <v>25.912312775324992</v>
      </c>
      <c r="Z26" s="126">
        <f>_xll.qlBlackDeltaCalculatorStrikeFromDelta(_xll.qlBlackDeltaCalculator(,Z$6,"Spot",$C$38,1,1,L26%*SQRT($P26)),Z$7)</f>
        <v>28.06939730936157</v>
      </c>
      <c r="AA26" s="128">
        <f>_xll.qlBlackDeltaCalculatorStrikeFromDelta(_xll.qlBlackDeltaCalculator(,AA$6,"Spot",$C$38,1,1,M26%*SQRT($P26)),AA$7)</f>
        <v>31.801721545345682</v>
      </c>
      <c r="AC26" s="140">
        <f>$C$38</f>
        <v>19</v>
      </c>
      <c r="AD26" s="144">
        <v>9.0551487818139667E-2</v>
      </c>
      <c r="AE26" s="145">
        <v>0.7</v>
      </c>
      <c r="AF26" s="145">
        <v>3.6961729944901961E-2</v>
      </c>
      <c r="AG26" s="146">
        <v>0.24167653869772132</v>
      </c>
      <c r="AH26" s="155" t="str">
        <f t="array" ref="AH26">_xll.qlSabrInterpolatedSmileSection(,O26,AC26,Q26:AA26,FALSE,H26%,C26:M26%,AD26,AE26,AG26,AF26,AD$6,AE$6,AG$6,AF$6,TRUE,,,"Actual/365 (Fixed)",0,FALSE)</f>
        <v>obj_0061f#0003</v>
      </c>
      <c r="AI26" s="156">
        <f>_xll.qlSabrInterpolatedSmileSectionMaxError(AH26)</f>
        <v>1.337816008494655E-3</v>
      </c>
      <c r="AJ26" s="157">
        <f>_xll.qlSabrInterpolatedSmileSectionAlpha(AH26)</f>
        <v>0.21903915305970026</v>
      </c>
      <c r="AK26" s="156">
        <f>_xll.qlSabrInterpolatedSmileSectionBeta(AH26)</f>
        <v>0.7</v>
      </c>
      <c r="AL26" s="158">
        <f>_xll.qlSabrInterpolatedSmileSectionRho(AH26)</f>
        <v>3.6961784486455602E-2</v>
      </c>
      <c r="AM26" s="159">
        <f>_xll.qlSabrInterpolatedSmileSectionNu(AH26)</f>
        <v>0.24167628447763856</v>
      </c>
      <c r="AN26" s="105" t="s">
        <v>73</v>
      </c>
      <c r="AU26" s="297">
        <f>T26</f>
        <v>16.498683552095539</v>
      </c>
      <c r="AV26" s="266" t="str">
        <f>_xll.qlHestonModelHelper(,$B26,"TARGET",$C$38,Q26,C26/100,I_ValuationDate!$E$5,I_ValuationDate!$E$6,"RelativePriceError")</f>
        <v>obj_004ed#0003</v>
      </c>
      <c r="AW26" s="267" t="str">
        <f>_xll.qlHestonModelHelper(,$B26,"TARGET",$C$38,R26,D26/100,I_ValuationDate!$E$5,I_ValuationDate!$E$6,"RelativePriceError")</f>
        <v>obj_005f7#0003</v>
      </c>
      <c r="AX26" s="267" t="str">
        <f>_xll.qlHestonModelHelper(,$B26,"TARGET",$C$38,S26,E26/100,I_ValuationDate!$E$5,I_ValuationDate!$E$6,"RelativePriceError")</f>
        <v>obj_003c6#0003</v>
      </c>
      <c r="AY26" s="267" t="str">
        <f>_xll.qlHestonModelHelper(,$B26,"TARGET",$C$38,T26,F26/100,I_ValuationDate!$E$5,I_ValuationDate!$E$6,"RelativePriceError")</f>
        <v>obj_00304#0003</v>
      </c>
      <c r="AZ26" s="267" t="str">
        <f>_xll.qlHestonModelHelper(,$B26,"TARGET",$C$38,U26,G26/100,I_ValuationDate!$E$5,I_ValuationDate!$E$6,"RelativePriceError")</f>
        <v>obj_005bc#0003</v>
      </c>
      <c r="BA26" s="267" t="str">
        <f>_xll.qlHestonModelHelper(,$B26,"TARGET",$C$38,V26,H26/100,I_ValuationDate!$E$5,I_ValuationDate!$E$6,"RelativePriceError")</f>
        <v>obj_005a5#0003</v>
      </c>
      <c r="BB26" s="267" t="str">
        <f>_xll.qlHestonModelHelper(,$B26,"TARGET",$C$38,W26,I26/100,I_ValuationDate!$E$5,I_ValuationDate!$E$6,"RelativePriceError")</f>
        <v>obj_0050d#0003</v>
      </c>
      <c r="BC26" s="267" t="str">
        <f>_xll.qlHestonModelHelper(,$B26,"TARGET",$C$38,X26,J26/100,I_ValuationDate!$E$5,I_ValuationDate!$E$6,"RelativePriceError")</f>
        <v>obj_00408#0003</v>
      </c>
      <c r="BD26" s="267" t="str">
        <f>_xll.qlHestonModelHelper(,$B26,"TARGET",$C$38,Y26,K26/100,I_ValuationDate!$E$5,I_ValuationDate!$E$6,"RelativePriceError")</f>
        <v>obj_004e9#0003</v>
      </c>
      <c r="BE26" s="267" t="str">
        <f>_xll.qlHestonModelHelper(,$B26,"TARGET",$C$38,Z26,L26/100,I_ValuationDate!$E$5,I_ValuationDate!$E$6,"RelativePriceError")</f>
        <v>obj_00469#0003</v>
      </c>
      <c r="BF26" s="268" t="str">
        <f>_xll.qlHestonModelHelper(,$B26,"TARGET",$C$38,AA26,M26/100,I_ValuationDate!$E$5,I_ValuationDate!$E$6,"RelativePriceError")</f>
        <v>obj_0043c#0003</v>
      </c>
    </row>
    <row r="27" spans="2:58">
      <c r="B27" s="105" t="s">
        <v>74</v>
      </c>
      <c r="C27" s="98">
        <v>11.826000000000001</v>
      </c>
      <c r="D27" s="99">
        <v>11.068</v>
      </c>
      <c r="E27" s="99">
        <v>10.616</v>
      </c>
      <c r="F27" s="99">
        <v>10.055999999999999</v>
      </c>
      <c r="G27" s="99">
        <v>9.7720000000000002</v>
      </c>
      <c r="H27" s="99">
        <v>9.5730000000000004</v>
      </c>
      <c r="I27" s="99">
        <v>9.6720000000000006</v>
      </c>
      <c r="J27" s="99">
        <v>9.859</v>
      </c>
      <c r="K27" s="99">
        <v>10.273999999999999</v>
      </c>
      <c r="L27" s="99">
        <v>10.606</v>
      </c>
      <c r="M27" s="100">
        <v>11.079000000000001</v>
      </c>
      <c r="O27" s="114">
        <f>_xll.qlCalendarAdvance("NullCalendar",$C$3,B27)</f>
        <v>46670</v>
      </c>
      <c r="P27" s="117">
        <f>(O27-$C$3)/365</f>
        <v>10.005479452054795</v>
      </c>
      <c r="Q27" s="125">
        <f>_xll.qlBlackDeltaCalculatorStrikeFromDelta(_xll.qlBlackDeltaCalculator(,Q$6,"Spot",$C$38,1,1,C27%*SQRT($P27)),Q$7)</f>
        <v>11.013352998782784</v>
      </c>
      <c r="R27" s="126">
        <f>_xll.qlBlackDeltaCalculatorStrikeFromDelta(_xll.qlBlackDeltaCalculator(,R$6,"Spot",$C$38,1,1,D27%*SQRT($P27)),R$7)</f>
        <v>12.897787578707092</v>
      </c>
      <c r="S27" s="126">
        <f>_xll.qlBlackDeltaCalculatorStrikeFromDelta(_xll.qlBlackDeltaCalculator(,S$6,"Spot",$C$38,1,1,E27%*SQRT($P27)),S$7)</f>
        <v>14.193525587420071</v>
      </c>
      <c r="T27" s="126">
        <f>_xll.qlBlackDeltaCalculatorStrikeFromDelta(_xll.qlBlackDeltaCalculator(,T$6,"Spot",$C$38,1,1,F27%*SQRT($P27)),T$7)</f>
        <v>16.126803032310995</v>
      </c>
      <c r="U27" s="126">
        <f>_xll.qlBlackDeltaCalculatorStrikeFromDelta(_xll.qlBlackDeltaCalculator(,U$6,"Spot",$C$38,1,1,G27%*SQRT($P27)),U$7)</f>
        <v>17.691913013939473</v>
      </c>
      <c r="V27" s="127">
        <f>_xll.qlBlackDeltaCalculatorAtmStrike(_xll.qlBlackDeltaCalculator(,V$6,"Spot",$C$38,1,1,H27%*SQRT($P27)),"AtmFwd")</f>
        <v>19</v>
      </c>
      <c r="W27" s="126">
        <f>_xll.qlBlackDeltaCalculatorStrikeFromDelta(_xll.qlBlackDeltaCalculator(,W$6,"Spot",$C$38,1,1,I27%*SQRT($P27)),W$7)</f>
        <v>22.401391256569468</v>
      </c>
      <c r="X27" s="126">
        <f>_xll.qlBlackDeltaCalculatorStrikeFromDelta(_xll.qlBlackDeltaCalculator(,X$6,"Spot",$C$38,1,1,J27%*SQRT($P27)),X$7)</f>
        <v>24.616282604109518</v>
      </c>
      <c r="Y27" s="126">
        <f>_xll.qlBlackDeltaCalculatorStrikeFromDelta(_xll.qlBlackDeltaCalculator(,Y$6,"Spot",$C$38,1,1,K27%*SQRT($P27)),Y$7)</f>
        <v>28.052198789907777</v>
      </c>
      <c r="Z27" s="126">
        <f>_xll.qlBlackDeltaCalculatorStrikeFromDelta(_xll.qlBlackDeltaCalculator(,Z$6,"Spot",$C$38,1,1,L27%*SQRT($P27)),Z$7)</f>
        <v>30.896788158960348</v>
      </c>
      <c r="AA27" s="128">
        <f>_xll.qlBlackDeltaCalculatorStrikeFromDelta(_xll.qlBlackDeltaCalculator(,AA$6,"Spot",$C$38,1,1,M27%*SQRT($P27)),AA$7)</f>
        <v>35.955245616225504</v>
      </c>
      <c r="AC27" s="140">
        <f>$C$38</f>
        <v>19</v>
      </c>
      <c r="AD27" s="144">
        <v>9.3208323222814277E-2</v>
      </c>
      <c r="AE27" s="145">
        <v>0.7</v>
      </c>
      <c r="AF27" s="145">
        <v>3.4114006064861452E-2</v>
      </c>
      <c r="AG27" s="146">
        <v>0.20214695929279791</v>
      </c>
      <c r="AH27" s="155" t="str">
        <f t="array" ref="AH27">_xll.qlSabrInterpolatedSmileSection(,O27,AC27,Q27:AA27,FALSE,H27%,C27:M27%,AD27,AE27,AG27,AF27,AD$6,AE$6,AG$6,AF$6,TRUE,,,"Actual/365 (Fixed)",0,FALSE)</f>
        <v>obj_0063a#0003</v>
      </c>
      <c r="AI27" s="156">
        <f>_xll.qlSabrInterpolatedSmileSectionMaxError(AH27)</f>
        <v>1.1797999842243778E-3</v>
      </c>
      <c r="AJ27" s="157">
        <f>_xll.qlSabrInterpolatedSmileSectionAlpha(AH27)</f>
        <v>0.22546588181697114</v>
      </c>
      <c r="AK27" s="156">
        <f>_xll.qlSabrInterpolatedSmileSectionBeta(AH27)</f>
        <v>0.7</v>
      </c>
      <c r="AL27" s="158">
        <f>_xll.qlSabrInterpolatedSmileSectionRho(AH27)</f>
        <v>3.4114166735139569E-2</v>
      </c>
      <c r="AM27" s="159">
        <f>_xll.qlSabrInterpolatedSmileSectionNu(AH27)</f>
        <v>0.20214680261591877</v>
      </c>
      <c r="AN27" s="105" t="s">
        <v>74</v>
      </c>
      <c r="AU27" s="297">
        <f>T27</f>
        <v>16.126803032310995</v>
      </c>
      <c r="AV27" s="266" t="str">
        <f>_xll.qlHestonModelHelper(,$B27,"TARGET",$C$38,Q27,C27/100,I_ValuationDate!$E$5,I_ValuationDate!$E$6,"RelativePriceError")</f>
        <v>obj_00600#0003</v>
      </c>
      <c r="AW27" s="267" t="str">
        <f>_xll.qlHestonModelHelper(,$B27,"TARGET",$C$38,R27,D27/100,I_ValuationDate!$E$5,I_ValuationDate!$E$6,"RelativePriceError")</f>
        <v>obj_0058c#0003</v>
      </c>
      <c r="AX27" s="267" t="str">
        <f>_xll.qlHestonModelHelper(,$B27,"TARGET",$C$38,S27,E27/100,I_ValuationDate!$E$5,I_ValuationDate!$E$6,"RelativePriceError")</f>
        <v>obj_005ad#0003</v>
      </c>
      <c r="AY27" s="267" t="str">
        <f>_xll.qlHestonModelHelper(,$B27,"TARGET",$C$38,T27,F27/100,I_ValuationDate!$E$5,I_ValuationDate!$E$6,"RelativePriceError")</f>
        <v>obj_002d1#0003</v>
      </c>
      <c r="AZ27" s="267" t="str">
        <f>_xll.qlHestonModelHelper(,$B27,"TARGET",$C$38,U27,G27/100,I_ValuationDate!$E$5,I_ValuationDate!$E$6,"RelativePriceError")</f>
        <v>obj_005bf#0003</v>
      </c>
      <c r="BA27" s="267" t="str">
        <f>_xll.qlHestonModelHelper(,$B27,"TARGET",$C$38,V27,H27/100,I_ValuationDate!$E$5,I_ValuationDate!$E$6,"RelativePriceError")</f>
        <v>obj_003b1#0003</v>
      </c>
      <c r="BB27" s="267" t="str">
        <f>_xll.qlHestonModelHelper(,$B27,"TARGET",$C$38,W27,I27/100,I_ValuationDate!$E$5,I_ValuationDate!$E$6,"RelativePriceError")</f>
        <v>obj_00613#0003</v>
      </c>
      <c r="BC27" s="267" t="str">
        <f>_xll.qlHestonModelHelper(,$B27,"TARGET",$C$38,X27,J27/100,I_ValuationDate!$E$5,I_ValuationDate!$E$6,"RelativePriceError")</f>
        <v>obj_004ea#0003</v>
      </c>
      <c r="BD27" s="267" t="str">
        <f>_xll.qlHestonModelHelper(,$B27,"TARGET",$C$38,Y27,K27/100,I_ValuationDate!$E$5,I_ValuationDate!$E$6,"RelativePriceError")</f>
        <v>obj_0050a#0003</v>
      </c>
      <c r="BE27" s="267" t="str">
        <f>_xll.qlHestonModelHelper(,$B27,"TARGET",$C$38,Z27,L27/100,I_ValuationDate!$E$5,I_ValuationDate!$E$6,"RelativePriceError")</f>
        <v>obj_003ec#0003</v>
      </c>
      <c r="BF27" s="268" t="str">
        <f>_xll.qlHestonModelHelper(,$B27,"TARGET",$C$38,AA27,M27/100,I_ValuationDate!$E$5,I_ValuationDate!$E$6,"RelativePriceError")</f>
        <v>obj_0055f#0003</v>
      </c>
    </row>
    <row r="28" spans="2:58">
      <c r="B28" s="105" t="s">
        <v>75</v>
      </c>
      <c r="C28" s="98">
        <v>11.138999999999999</v>
      </c>
      <c r="D28" s="99">
        <v>10.694000000000001</v>
      </c>
      <c r="E28" s="99">
        <v>10.369</v>
      </c>
      <c r="F28" s="99">
        <v>9.9359999999999999</v>
      </c>
      <c r="G28" s="99">
        <v>9.7149999999999999</v>
      </c>
      <c r="H28" s="99">
        <v>9.5879999999999992</v>
      </c>
      <c r="I28" s="99">
        <v>9.7050000000000001</v>
      </c>
      <c r="J28" s="99">
        <v>9.8979999999999997</v>
      </c>
      <c r="K28" s="99">
        <v>10.239000000000001</v>
      </c>
      <c r="L28" s="99">
        <v>10.457000000000001</v>
      </c>
      <c r="M28" s="100">
        <v>10.731999999999999</v>
      </c>
      <c r="O28" s="114">
        <f>_xll.qlCalendarAdvance("NullCalendar",$C$3,B28)</f>
        <v>48497</v>
      </c>
      <c r="P28" s="117">
        <f>(O28-$C$3)/365</f>
        <v>15.010958904109589</v>
      </c>
      <c r="Q28" s="125">
        <f>_xll.qlBlackDeltaCalculatorStrikeFromDelta(_xll.qlBlackDeltaCalculator(,Q$6,"Spot",$C$38,1,1,C28%*SQRT($P28)),Q$7)</f>
        <v>10.254296907053615</v>
      </c>
      <c r="R28" s="126">
        <f>_xll.qlBlackDeltaCalculatorStrikeFromDelta(_xll.qlBlackDeltaCalculator(,R$6,"Spot",$C$38,1,1,D28%*SQRT($P28)),R$7)</f>
        <v>12.173847874446645</v>
      </c>
      <c r="S28" s="126">
        <f>_xll.qlBlackDeltaCalculatorStrikeFromDelta(_xll.qlBlackDeltaCalculator(,S$6,"Spot",$C$38,1,1,E28%*SQRT($P28)),S$7)</f>
        <v>13.58222674331941</v>
      </c>
      <c r="T28" s="126">
        <f>_xll.qlBlackDeltaCalculatorStrikeFromDelta(_xll.qlBlackDeltaCalculator(,T$6,"Spot",$C$38,1,1,F28%*SQRT($P28)),T$7)</f>
        <v>15.782227349794589</v>
      </c>
      <c r="U28" s="126">
        <f>_xll.qlBlackDeltaCalculatorStrikeFromDelta(_xll.qlBlackDeltaCalculator(,U$6,"Spot",$C$38,1,1,G28%*SQRT($P28)),U$7)</f>
        <v>17.641301970439297</v>
      </c>
      <c r="V28" s="127">
        <f>_xll.qlBlackDeltaCalculatorAtmStrike(_xll.qlBlackDeltaCalculator(,V$6,"Spot",$C$38,1,1,H28%*SQRT($P28)),"AtmFwd")</f>
        <v>19</v>
      </c>
      <c r="W28" s="126">
        <f>_xll.qlBlackDeltaCalculatorStrikeFromDelta(_xll.qlBlackDeltaCalculator(,W$6,"Spot",$C$38,1,1,I28%*SQRT($P28)),W$7)</f>
        <v>23.570957191730912</v>
      </c>
      <c r="X28" s="126">
        <f>_xll.qlBlackDeltaCalculatorStrikeFromDelta(_xll.qlBlackDeltaCalculator(,X$6,"Spot",$C$38,1,1,J28%*SQRT($P28)),X$7)</f>
        <v>26.486339875115274</v>
      </c>
      <c r="Y28" s="126">
        <f>_xll.qlBlackDeltaCalculatorStrikeFromDelta(_xll.qlBlackDeltaCalculator(,Y$6,"Spot",$C$38,1,1,K28%*SQRT($P28)),Y$7)</f>
        <v>31.008984185059631</v>
      </c>
      <c r="Z28" s="126">
        <f>_xll.qlBlackDeltaCalculatorStrikeFromDelta(_xll.qlBlackDeltaCalculator(,Z$6,"Spot",$C$38,1,1,L28%*SQRT($P28)),Z$7)</f>
        <v>34.664834175519758</v>
      </c>
      <c r="AA28" s="128">
        <f>_xll.qlBlackDeltaCalculatorStrikeFromDelta(_xll.qlBlackDeltaCalculator(,AA$6,"Spot",$C$38,1,1,M28%*SQRT($P28)),AA$7)</f>
        <v>41.050980442839787</v>
      </c>
      <c r="AC28" s="140">
        <f>$C$38</f>
        <v>19</v>
      </c>
      <c r="AD28" s="144">
        <v>9.380961496144237E-2</v>
      </c>
      <c r="AE28" s="145">
        <v>0.7</v>
      </c>
      <c r="AF28" s="145">
        <v>0.11636043339906402</v>
      </c>
      <c r="AG28" s="146">
        <v>0.14559481447674599</v>
      </c>
      <c r="AH28" s="155" t="str">
        <f t="array" ref="AH28">_xll.qlSabrInterpolatedSmileSection(,O28,AC28,Q28:AA28,FALSE,H28%,C28:M28%,AD28,AE28,AG28,AF28,AD$6,AE$6,AG$6,AF$6,TRUE,,,"Actual/365 (Fixed)",0,FALSE)</f>
        <v>obj_00637#0003</v>
      </c>
      <c r="AI28" s="156">
        <f>_xll.qlSabrInterpolatedSmileSectionMaxError(AH28)</f>
        <v>1.482035057937689E-3</v>
      </c>
      <c r="AJ28" s="157">
        <f>_xll.qlSabrInterpolatedSmileSectionAlpha(AH28)</f>
        <v>0.22692035562702004</v>
      </c>
      <c r="AK28" s="156">
        <f>_xll.qlSabrInterpolatedSmileSectionBeta(AH28)</f>
        <v>0.7</v>
      </c>
      <c r="AL28" s="158">
        <f>_xll.qlSabrInterpolatedSmileSectionRho(AH28)</f>
        <v>0.11636029146369986</v>
      </c>
      <c r="AM28" s="159">
        <f>_xll.qlSabrInterpolatedSmileSectionNu(AH28)</f>
        <v>0.14559478584444849</v>
      </c>
      <c r="AN28" s="105" t="s">
        <v>75</v>
      </c>
      <c r="AU28" s="297">
        <f>T28</f>
        <v>15.782227349794589</v>
      </c>
      <c r="AV28" s="266" t="str">
        <f>_xll.qlHestonModelHelper(,$B28,"TARGET",$C$38,Q28,C28/100,I_ValuationDate!$E$5,I_ValuationDate!$E$6,"RelativePriceError")</f>
        <v>obj_00464#0003</v>
      </c>
      <c r="AW28" s="267" t="str">
        <f>_xll.qlHestonModelHelper(,$B28,"TARGET",$C$38,R28,D28/100,I_ValuationDate!$E$5,I_ValuationDate!$E$6,"RelativePriceError")</f>
        <v>obj_0045c#0003</v>
      </c>
      <c r="AX28" s="267" t="str">
        <f>_xll.qlHestonModelHelper(,$B28,"TARGET",$C$38,S28,E28/100,I_ValuationDate!$E$5,I_ValuationDate!$E$6,"RelativePriceError")</f>
        <v>obj_004b2#0003</v>
      </c>
      <c r="AY28" s="267" t="str">
        <f>_xll.qlHestonModelHelper(,$B28,"TARGET",$C$38,T28,F28/100,I_ValuationDate!$E$5,I_ValuationDate!$E$6,"RelativePriceError")</f>
        <v>obj_0038d#0003</v>
      </c>
      <c r="AZ28" s="267" t="str">
        <f>_xll.qlHestonModelHelper(,$B28,"TARGET",$C$38,U28,G28/100,I_ValuationDate!$E$5,I_ValuationDate!$E$6,"RelativePriceError")</f>
        <v>obj_0042a#0003</v>
      </c>
      <c r="BA28" s="267" t="str">
        <f>_xll.qlHestonModelHelper(,$B28,"TARGET",$C$38,V28,H28/100,I_ValuationDate!$E$5,I_ValuationDate!$E$6,"RelativePriceError")</f>
        <v>obj_0051f#0003</v>
      </c>
      <c r="BB28" s="267" t="str">
        <f>_xll.qlHestonModelHelper(,$B28,"TARGET",$C$38,W28,I28/100,I_ValuationDate!$E$5,I_ValuationDate!$E$6,"RelativePriceError")</f>
        <v>obj_004ce#0003</v>
      </c>
      <c r="BC28" s="267" t="str">
        <f>_xll.qlHestonModelHelper(,$B28,"TARGET",$C$38,X28,J28/100,I_ValuationDate!$E$5,I_ValuationDate!$E$6,"RelativePriceError")</f>
        <v>obj_00548#0003</v>
      </c>
      <c r="BD28" s="267" t="str">
        <f>_xll.qlHestonModelHelper(,$B28,"TARGET",$C$38,Y28,K28/100,I_ValuationDate!$E$5,I_ValuationDate!$E$6,"RelativePriceError")</f>
        <v>obj_005de#0003</v>
      </c>
      <c r="BE28" s="267" t="str">
        <f>_xll.qlHestonModelHelper(,$B28,"TARGET",$C$38,Z28,L28/100,I_ValuationDate!$E$5,I_ValuationDate!$E$6,"RelativePriceError")</f>
        <v>obj_0053f#0003</v>
      </c>
      <c r="BF28" s="268" t="str">
        <f>_xll.qlHestonModelHelper(,$B28,"TARGET",$C$38,AA28,M28/100,I_ValuationDate!$E$5,I_ValuationDate!$E$6,"RelativePriceError")</f>
        <v>obj_00508#0003</v>
      </c>
    </row>
    <row r="29" spans="2:58">
      <c r="B29" s="105" t="s">
        <v>28</v>
      </c>
      <c r="C29" s="98">
        <v>10.772</v>
      </c>
      <c r="D29" s="99">
        <v>10.449</v>
      </c>
      <c r="E29" s="99">
        <v>10.205</v>
      </c>
      <c r="F29" s="99">
        <v>9.8620000000000001</v>
      </c>
      <c r="G29" s="99">
        <v>9.68</v>
      </c>
      <c r="H29" s="99">
        <v>9.6</v>
      </c>
      <c r="I29" s="99">
        <v>9.7200000000000006</v>
      </c>
      <c r="J29" s="99">
        <v>9.9039999999999999</v>
      </c>
      <c r="K29" s="99">
        <v>10.16</v>
      </c>
      <c r="L29" s="99">
        <v>10.308999999999999</v>
      </c>
      <c r="M29" s="100">
        <v>10.494</v>
      </c>
      <c r="O29" s="114">
        <f>_xll.qlCalendarAdvance("NullCalendar",$C$3,B29)</f>
        <v>50323</v>
      </c>
      <c r="P29" s="117">
        <f>(O29-$C$3)/365</f>
        <v>20.013698630136986</v>
      </c>
      <c r="Q29" s="125">
        <f>_xll.qlBlackDeltaCalculatorStrikeFromDelta(_xll.qlBlackDeltaCalculator(,Q$6,"Spot",$C$38,1,1,C29%*SQRT($P29)),Q$7)</f>
        <v>9.6590357710826495</v>
      </c>
      <c r="R29" s="126">
        <f>_xll.qlBlackDeltaCalculatorStrikeFromDelta(_xll.qlBlackDeltaCalculator(,R$6,"Spot",$C$38,1,1,D29%*SQRT($P29)),R$7)</f>
        <v>11.642120626240278</v>
      </c>
      <c r="S29" s="126">
        <f>_xll.qlBlackDeltaCalculatorStrikeFromDelta(_xll.qlBlackDeltaCalculator(,S$6,"Spot",$C$38,1,1,E29%*SQRT($P29)),S$7)</f>
        <v>13.137639753752577</v>
      </c>
      <c r="T29" s="126">
        <f>_xll.qlBlackDeltaCalculatorStrikeFromDelta(_xll.qlBlackDeltaCalculator(,T$6,"Spot",$C$38,1,1,F29%*SQRT($P29)),T$7)</f>
        <v>15.551925223246464</v>
      </c>
      <c r="U29" s="126">
        <f>_xll.qlBlackDeltaCalculatorStrikeFromDelta(_xll.qlBlackDeltaCalculator(,U$6,"Spot",$C$38,1,1,G29%*SQRT($P29)),U$7)</f>
        <v>17.660705611416109</v>
      </c>
      <c r="V29" s="127">
        <f>_xll.qlBlackDeltaCalculatorAtmStrike(_xll.qlBlackDeltaCalculator(,V$6,"Spot",$C$38,1,1,H29%*SQRT($P29)),"AtmFwd")</f>
        <v>19</v>
      </c>
      <c r="W29" s="126">
        <f>_xll.qlBlackDeltaCalculatorStrikeFromDelta(_xll.qlBlackDeltaCalculator(,W$6,"Spot",$C$38,1,1,I29%*SQRT($P29)),W$7)</f>
        <v>24.693375710036833</v>
      </c>
      <c r="X29" s="126">
        <f>_xll.qlBlackDeltaCalculatorStrikeFromDelta(_xll.qlBlackDeltaCalculator(,X$6,"Spot",$C$38,1,1,J29%*SQRT($P29)),X$7)</f>
        <v>28.259873611941622</v>
      </c>
      <c r="Y29" s="126">
        <f>_xll.qlBlackDeltaCalculatorStrikeFromDelta(_xll.qlBlackDeltaCalculator(,Y$6,"Spot",$C$38,1,1,K29%*SQRT($P29)),Y$7)</f>
        <v>33.744577774620033</v>
      </c>
      <c r="Z29" s="126">
        <f>_xll.qlBlackDeltaCalculatorStrikeFromDelta(_xll.qlBlackDeltaCalculator(,Z$6,"Spot",$C$38,1,1,L29%*SQRT($P29)),Z$7)</f>
        <v>38.161474059302655</v>
      </c>
      <c r="AA29" s="128">
        <f>_xll.qlBlackDeltaCalculatorStrikeFromDelta(_xll.qlBlackDeltaCalculator(,AA$6,"Spot",$C$38,1,1,M29%*SQRT($P29)),AA$7)</f>
        <v>45.91731819468859</v>
      </c>
      <c r="AC29" s="140">
        <f>$C$38</f>
        <v>19</v>
      </c>
      <c r="AD29" s="144">
        <v>9.4100366121516343E-2</v>
      </c>
      <c r="AE29" s="145">
        <v>0.7</v>
      </c>
      <c r="AF29" s="145">
        <v>0.18786695086949567</v>
      </c>
      <c r="AG29" s="146">
        <v>0.1134983558956654</v>
      </c>
      <c r="AH29" s="155" t="str">
        <f t="array" ref="AH29">_xll.qlSabrInterpolatedSmileSection(,O29,AC29,Q29:AA29,FALSE,H29%,C29:M29%,AD29,AE29,AG29,AF29,AD$6,AE$6,AG$6,AF$6,TRUE,,,"Actual/365 (Fixed)",0,FALSE)</f>
        <v>obj_00643#0003</v>
      </c>
      <c r="AI29" s="156">
        <f>_xll.qlSabrInterpolatedSmileSectionMaxError(AH29)</f>
        <v>1.4303109765225891E-3</v>
      </c>
      <c r="AJ29" s="157">
        <f>_xll.qlSabrInterpolatedSmileSectionAlpha(AH29)</f>
        <v>0.2276236447097274</v>
      </c>
      <c r="AK29" s="156">
        <f>_xll.qlSabrInterpolatedSmileSectionBeta(AH29)</f>
        <v>0.7</v>
      </c>
      <c r="AL29" s="158">
        <f>_xll.qlSabrInterpolatedSmileSectionRho(AH29)</f>
        <v>0.18786657014598312</v>
      </c>
      <c r="AM29" s="159">
        <f>_xll.qlSabrInterpolatedSmileSectionNu(AH29)</f>
        <v>0.11349841910102935</v>
      </c>
      <c r="AN29" s="105" t="s">
        <v>28</v>
      </c>
      <c r="AU29" s="297">
        <f>T29</f>
        <v>15.551925223246464</v>
      </c>
      <c r="AV29" s="266" t="str">
        <f>_xll.qlHestonModelHelper(,$B29,"TARGET",$C$38,Q29,C29/100,I_ValuationDate!$E$5,I_ValuationDate!$E$6,"RelativePriceError")</f>
        <v>obj_003d5#0003</v>
      </c>
      <c r="AW29" s="267" t="str">
        <f>_xll.qlHestonModelHelper(,$B29,"TARGET",$C$38,R29,D29/100,I_ValuationDate!$E$5,I_ValuationDate!$E$6,"RelativePriceError")</f>
        <v>obj_004c4#0003</v>
      </c>
      <c r="AX29" s="267" t="str">
        <f>_xll.qlHestonModelHelper(,$B29,"TARGET",$C$38,S29,E29/100,I_ValuationDate!$E$5,I_ValuationDate!$E$6,"RelativePriceError")</f>
        <v>obj_0039f#0003</v>
      </c>
      <c r="AY29" s="267" t="str">
        <f>_xll.qlHestonModelHelper(,$B29,"TARGET",$C$38,T29,F29/100,I_ValuationDate!$E$5,I_ValuationDate!$E$6,"RelativePriceError")</f>
        <v>obj_00393#0003</v>
      </c>
      <c r="AZ29" s="267" t="str">
        <f>_xll.qlHestonModelHelper(,$B29,"TARGET",$C$38,U29,G29/100,I_ValuationDate!$E$5,I_ValuationDate!$E$6,"RelativePriceError")</f>
        <v>obj_00545#0003</v>
      </c>
      <c r="BA29" s="267" t="str">
        <f>_xll.qlHestonModelHelper(,$B29,"TARGET",$C$38,V29,H29/100,I_ValuationDate!$E$5,I_ValuationDate!$E$6,"RelativePriceError")</f>
        <v>obj_003b6#0003</v>
      </c>
      <c r="BB29" s="267" t="str">
        <f>_xll.qlHestonModelHelper(,$B29,"TARGET",$C$38,W29,I29/100,I_ValuationDate!$E$5,I_ValuationDate!$E$6,"RelativePriceError")</f>
        <v>obj_00496#0003</v>
      </c>
      <c r="BC29" s="267" t="str">
        <f>_xll.qlHestonModelHelper(,$B29,"TARGET",$C$38,X29,J29/100,I_ValuationDate!$E$5,I_ValuationDate!$E$6,"RelativePriceError")</f>
        <v>obj_003ac#0003</v>
      </c>
      <c r="BD29" s="267" t="str">
        <f>_xll.qlHestonModelHelper(,$B29,"TARGET",$C$38,Y29,K29/100,I_ValuationDate!$E$5,I_ValuationDate!$E$6,"RelativePriceError")</f>
        <v>obj_00528#0003</v>
      </c>
      <c r="BE29" s="267" t="str">
        <f>_xll.qlHestonModelHelper(,$B29,"TARGET",$C$38,Z29,L29/100,I_ValuationDate!$E$5,I_ValuationDate!$E$6,"RelativePriceError")</f>
        <v>obj_00592#0003</v>
      </c>
      <c r="BF29" s="268" t="str">
        <f>_xll.qlHestonModelHelper(,$B29,"TARGET",$C$38,AA29,M29/100,I_ValuationDate!$E$5,I_ValuationDate!$E$6,"RelativePriceError")</f>
        <v>obj_003bf#0003</v>
      </c>
    </row>
    <row r="30" spans="2:58">
      <c r="B30" s="106" t="s">
        <v>76</v>
      </c>
      <c r="C30" s="101">
        <v>10.506</v>
      </c>
      <c r="D30" s="102">
        <v>10.254</v>
      </c>
      <c r="E30" s="102">
        <v>10.07</v>
      </c>
      <c r="F30" s="102">
        <v>9.8030000000000008</v>
      </c>
      <c r="G30" s="102">
        <v>9.6579999999999995</v>
      </c>
      <c r="H30" s="102">
        <v>9.6120000000000001</v>
      </c>
      <c r="I30" s="102">
        <v>9.7240000000000002</v>
      </c>
      <c r="J30" s="102">
        <v>9.8719999999999999</v>
      </c>
      <c r="K30" s="102">
        <v>10.06</v>
      </c>
      <c r="L30" s="102">
        <v>10.170999999999999</v>
      </c>
      <c r="M30" s="103">
        <v>10.316000000000001</v>
      </c>
      <c r="O30" s="115">
        <f>_xll.qlCalendarAdvance("NullCalendar",$C$3,B30)</f>
        <v>52149</v>
      </c>
      <c r="P30" s="118">
        <f>(O30-$C$3)/365</f>
        <v>25.016438356164382</v>
      </c>
      <c r="Q30" s="129">
        <f>_xll.qlBlackDeltaCalculatorStrikeFromDelta(_xll.qlBlackDeltaCalculator(,Q$6,"Spot",$C$38,1,1,C30%*SQRT($P30)),Q$7)</f>
        <v>9.1905346599055804</v>
      </c>
      <c r="R30" s="130">
        <f>_xll.qlBlackDeltaCalculatorStrikeFromDelta(_xll.qlBlackDeltaCalculator(,R$6,"Spot",$C$38,1,1,D30%*SQRT($P30)),R$7)</f>
        <v>11.231120890817595</v>
      </c>
      <c r="S30" s="130">
        <f>_xll.qlBlackDeltaCalculatorStrikeFromDelta(_xll.qlBlackDeltaCalculator(,S$6,"Spot",$C$38,1,1,E30%*SQRT($P30)),S$7)</f>
        <v>12.797664603624238</v>
      </c>
      <c r="T30" s="130">
        <f>_xll.qlBlackDeltaCalculatorStrikeFromDelta(_xll.qlBlackDeltaCalculator(,T$6,"Spot",$C$38,1,1,F30%*SQRT($P30)),T$7)</f>
        <v>15.393289254284271</v>
      </c>
      <c r="U30" s="130">
        <f>_xll.qlBlackDeltaCalculatorStrikeFromDelta(_xll.qlBlackDeltaCalculator(,U$6,"Spot",$C$38,1,1,G30%*SQRT($P30)),U$7)</f>
        <v>17.725059565427628</v>
      </c>
      <c r="V30" s="131">
        <f>_xll.qlBlackDeltaCalculatorAtmStrike(_xll.qlBlackDeltaCalculator(,V$6,"Spot",$C$38,1,1,H30%*SQRT($P30)),"AtmFwd")</f>
        <v>19</v>
      </c>
      <c r="W30" s="130">
        <f>_xll.qlBlackDeltaCalculatorStrikeFromDelta(_xll.qlBlackDeltaCalculator(,W$6,"Spot",$C$38,1,1,I30%*SQRT($P30)),W$7)</f>
        <v>25.793339748219811</v>
      </c>
      <c r="X30" s="130">
        <f>_xll.qlBlackDeltaCalculatorStrikeFromDelta(_xll.qlBlackDeltaCalculator(,X$6,"Spot",$C$38,1,1,J30%*SQRT($P30)),X$7)</f>
        <v>29.945442384887727</v>
      </c>
      <c r="Y30" s="130">
        <f>_xll.qlBlackDeltaCalculatorStrikeFromDelta(_xll.qlBlackDeltaCalculator(,Y$6,"Spot",$C$38,1,1,K30%*SQRT($P30)),Y$7)</f>
        <v>36.325647060578483</v>
      </c>
      <c r="Z30" s="130">
        <f>_xll.qlBlackDeltaCalculatorStrikeFromDelta(_xll.qlBlackDeltaCalculator(,Z$6,"Spot",$C$38,1,1,L30%*SQRT($P30)),Z$7)</f>
        <v>41.503710725931036</v>
      </c>
      <c r="AA30" s="132">
        <f>_xll.qlBlackDeltaCalculatorStrikeFromDelta(_xll.qlBlackDeltaCalculator(,AA$6,"Spot",$C$38,1,1,M30%*SQRT($P30)),AA$7)</f>
        <v>50.716213515118788</v>
      </c>
      <c r="AC30" s="141">
        <f>$C$38</f>
        <v>19</v>
      </c>
      <c r="AD30" s="147">
        <v>9.4229293741096759E-2</v>
      </c>
      <c r="AE30" s="148">
        <v>0.7</v>
      </c>
      <c r="AF30" s="148">
        <v>0.26049269075169851</v>
      </c>
      <c r="AG30" s="22">
        <v>9.1500637729160089E-2</v>
      </c>
      <c r="AH30" s="160" t="str">
        <f t="array" ref="AH30">_xll.qlSabrInterpolatedSmileSection(,O30,AC30,Q30:AA30,FALSE,H30%,C30:M30%,AD30,AE30,AG30,AF30,AD$6,AE$6,AG$6,AF$6,TRUE,,,"Actual/365 (Fixed)",0,FALSE)</f>
        <v>obj_00632#0003</v>
      </c>
      <c r="AI30" s="161">
        <f>_xll.qlSabrInterpolatedSmileSectionMaxError(AH30)</f>
        <v>1.1468202186996346E-3</v>
      </c>
      <c r="AJ30" s="162">
        <f>_xll.qlSabrInterpolatedSmileSectionAlpha(AH30)</f>
        <v>0.22793554925373635</v>
      </c>
      <c r="AK30" s="161">
        <f>_xll.qlSabrInterpolatedSmileSectionBeta(AH30)</f>
        <v>0.7</v>
      </c>
      <c r="AL30" s="163">
        <f>_xll.qlSabrInterpolatedSmileSectionRho(AH30)</f>
        <v>0.26049357805098827</v>
      </c>
      <c r="AM30" s="164">
        <f>_xll.qlSabrInterpolatedSmileSectionNu(AH30)</f>
        <v>9.1500499801184701E-2</v>
      </c>
      <c r="AN30" s="106" t="s">
        <v>76</v>
      </c>
      <c r="AU30" s="298">
        <f>T30</f>
        <v>15.393289254284271</v>
      </c>
      <c r="AV30" s="269" t="str">
        <f>_xll.qlHestonModelHelper(,$B30,"TARGET",$C$38,Q30,C30/100,I_ValuationDate!$E$5,I_ValuationDate!$E$6,"RelativePriceError")</f>
        <v>obj_004c8#0003</v>
      </c>
      <c r="AW30" s="270" t="str">
        <f>_xll.qlHestonModelHelper(,$B30,"TARGET",$C$38,R30,D30/100,I_ValuationDate!$E$5,I_ValuationDate!$E$6,"RelativePriceError")</f>
        <v>obj_00495#0003</v>
      </c>
      <c r="AX30" s="270" t="str">
        <f>_xll.qlHestonModelHelper(,$B30,"TARGET",$C$38,S30,E30/100,I_ValuationDate!$E$5,I_ValuationDate!$E$6,"RelativePriceError")</f>
        <v>obj_0059c#0003</v>
      </c>
      <c r="AY30" s="270" t="str">
        <f>_xll.qlHestonModelHelper(,$B30,"TARGET",$C$38,T30,F30/100,I_ValuationDate!$E$5,I_ValuationDate!$E$6,"RelativePriceError")</f>
        <v>obj_00398#0003</v>
      </c>
      <c r="AZ30" s="270" t="str">
        <f>_xll.qlHestonModelHelper(,$B30,"TARGET",$C$38,U30,G30/100,I_ValuationDate!$E$5,I_ValuationDate!$E$6,"RelativePriceError")</f>
        <v>obj_00582#0003</v>
      </c>
      <c r="BA30" s="270" t="str">
        <f>_xll.qlHestonModelHelper(,$B30,"TARGET",$C$38,V30,H30/100,I_ValuationDate!$E$5,I_ValuationDate!$E$6,"RelativePriceError")</f>
        <v>obj_0048c#0003</v>
      </c>
      <c r="BB30" s="270" t="str">
        <f>_xll.qlHestonModelHelper(,$B30,"TARGET",$C$38,W30,I30/100,I_ValuationDate!$E$5,I_ValuationDate!$E$6,"RelativePriceError")</f>
        <v>obj_00514#0003</v>
      </c>
      <c r="BC30" s="270" t="str">
        <f>_xll.qlHestonModelHelper(,$B30,"TARGET",$C$38,X30,J30/100,I_ValuationDate!$E$5,I_ValuationDate!$E$6,"RelativePriceError")</f>
        <v>obj_00527#0003</v>
      </c>
      <c r="BD30" s="270" t="str">
        <f>_xll.qlHestonModelHelper(,$B30,"TARGET",$C$38,Y30,K30/100,I_ValuationDate!$E$5,I_ValuationDate!$E$6,"RelativePriceError")</f>
        <v>obj_005fd#0003</v>
      </c>
      <c r="BE30" s="270" t="str">
        <f>_xll.qlHestonModelHelper(,$B30,"TARGET",$C$38,Z30,L30/100,I_ValuationDate!$E$5,I_ValuationDate!$E$6,"RelativePriceError")</f>
        <v>obj_003da#0003</v>
      </c>
      <c r="BF30" s="271" t="str">
        <f>_xll.qlHestonModelHelper(,$B30,"TARGET",$C$38,AA30,M30/100,I_ValuationDate!$E$5,I_ValuationDate!$E$6,"RelativePriceError")</f>
        <v>obj_00473#0003</v>
      </c>
    </row>
    <row r="32" spans="2:58">
      <c r="B32" s="108" t="s">
        <v>92</v>
      </c>
      <c r="C32" s="149" t="str">
        <f>_xll.qlSmiledSurface(,AH8:AH21,C3,"NullCalendar","Following","Act/365 (Fixed)")</f>
        <v>obj_0066b#0003</v>
      </c>
    </row>
    <row r="35" spans="1:16">
      <c r="A35" s="108" t="s">
        <v>150</v>
      </c>
    </row>
    <row r="36" spans="1:16">
      <c r="A36" s="108"/>
    </row>
    <row r="37" spans="1:16" ht="14.4">
      <c r="B37" s="239" t="s">
        <v>151</v>
      </c>
      <c r="C37" s="240" t="str">
        <f>_xll.qlHestonProcess(,I_ValuationDate!E5,I_ValuationDate!E6,C38,C39,C40,C41,C42,C43)</f>
        <v>obj_0002b#0004</v>
      </c>
    </row>
    <row r="38" spans="1:16" ht="14.4">
      <c r="B38" s="241" t="s">
        <v>152</v>
      </c>
      <c r="C38" s="364">
        <f>I_ValuationDate!C10</f>
        <v>19</v>
      </c>
    </row>
    <row r="39" spans="1:16" ht="14.4">
      <c r="B39" s="242" t="s">
        <v>153</v>
      </c>
      <c r="C39" s="243">
        <v>0.15</v>
      </c>
    </row>
    <row r="40" spans="1:16" ht="14.4">
      <c r="B40" s="242" t="s">
        <v>115</v>
      </c>
      <c r="C40" s="243">
        <v>1.5</v>
      </c>
    </row>
    <row r="41" spans="1:16" ht="14.4">
      <c r="B41" s="242" t="s">
        <v>154</v>
      </c>
      <c r="C41" s="243">
        <v>0.15</v>
      </c>
    </row>
    <row r="42" spans="1:16" ht="14.4">
      <c r="B42" s="242" t="s">
        <v>155</v>
      </c>
      <c r="C42" s="243">
        <v>0.01</v>
      </c>
    </row>
    <row r="43" spans="1:16" ht="14.4">
      <c r="B43" s="244" t="s">
        <v>156</v>
      </c>
      <c r="C43" s="245">
        <v>0</v>
      </c>
    </row>
    <row r="44" spans="1:16">
      <c r="B44" s="246"/>
      <c r="C44" s="246"/>
    </row>
    <row r="45" spans="1:16" ht="14.4">
      <c r="B45" s="239" t="s">
        <v>157</v>
      </c>
      <c r="C45" s="240" t="str">
        <f>_xll.qlHestonModel(,C37)</f>
        <v>obj_0002c#0004</v>
      </c>
    </row>
    <row r="48" spans="1:16">
      <c r="A48" s="272"/>
      <c r="B48" s="272"/>
      <c r="C48" s="272"/>
      <c r="D48" s="272"/>
      <c r="E48" s="272"/>
      <c r="F48" s="272"/>
      <c r="G48" s="272"/>
      <c r="H48" s="272"/>
      <c r="I48" s="272"/>
      <c r="J48" s="272"/>
      <c r="K48" s="272"/>
      <c r="L48" s="272"/>
      <c r="M48" s="272"/>
      <c r="N48" s="272"/>
      <c r="O48" s="272"/>
      <c r="P48" s="272"/>
    </row>
    <row r="49" spans="1:16" ht="14.4">
      <c r="A49" s="272"/>
      <c r="B49" s="273" t="s">
        <v>162</v>
      </c>
      <c r="C49" s="274" t="str">
        <f>_xll.qlEndCriteria(,C50,C51,C52,C53,C54)</f>
        <v>obj_0000f#0003</v>
      </c>
      <c r="D49" s="272"/>
      <c r="E49" s="273" t="s">
        <v>163</v>
      </c>
      <c r="F49" s="274" t="str">
        <f>_xll.qlEndCriteria(,F50,F51,F52,F53,F54)</f>
        <v>obj_00021#0003</v>
      </c>
      <c r="G49" s="272"/>
      <c r="H49" s="273" t="s">
        <v>164</v>
      </c>
      <c r="I49" s="274" t="str">
        <f>_xll.qlArmijoLineSearch()</f>
        <v>obj_00024#0003</v>
      </c>
      <c r="J49" s="272"/>
      <c r="K49" s="273" t="s">
        <v>165</v>
      </c>
      <c r="L49" s="274" t="str">
        <f>_xll.qlConjugateGradient(,L50)</f>
        <v>obj_00028#0003</v>
      </c>
      <c r="M49" s="272"/>
      <c r="N49" s="272"/>
      <c r="O49" s="272"/>
      <c r="P49" s="272"/>
    </row>
    <row r="50" spans="1:16" ht="14.4">
      <c r="A50" s="272"/>
      <c r="B50" s="275" t="s">
        <v>166</v>
      </c>
      <c r="C50" s="276">
        <v>10000</v>
      </c>
      <c r="D50" s="272"/>
      <c r="E50" s="275" t="s">
        <v>166</v>
      </c>
      <c r="F50" s="276">
        <v>200000</v>
      </c>
      <c r="G50" s="272"/>
      <c r="H50" s="275" t="s">
        <v>167</v>
      </c>
      <c r="I50" s="276"/>
      <c r="J50" s="272"/>
      <c r="K50" s="273" t="s">
        <v>164</v>
      </c>
      <c r="L50" s="277" t="str">
        <f>I49</f>
        <v>obj_00024#0003</v>
      </c>
      <c r="M50" s="272"/>
      <c r="N50" s="272"/>
      <c r="O50" s="272"/>
      <c r="P50" s="272"/>
    </row>
    <row r="51" spans="1:16" ht="14.4">
      <c r="A51" s="272"/>
      <c r="B51" s="278" t="s">
        <v>168</v>
      </c>
      <c r="C51" s="279">
        <v>5000</v>
      </c>
      <c r="D51" s="272"/>
      <c r="E51" s="278" t="s">
        <v>168</v>
      </c>
      <c r="F51" s="279">
        <v>10000</v>
      </c>
      <c r="G51" s="272"/>
      <c r="H51" s="278" t="s">
        <v>169</v>
      </c>
      <c r="I51" s="279"/>
      <c r="J51" s="272"/>
      <c r="K51" s="272"/>
      <c r="L51" s="272"/>
      <c r="M51" s="272"/>
      <c r="N51" s="272"/>
      <c r="O51" s="272"/>
      <c r="P51" s="272"/>
    </row>
    <row r="52" spans="1:16" ht="14.4">
      <c r="A52" s="272"/>
      <c r="B52" s="275" t="s">
        <v>170</v>
      </c>
      <c r="C52" s="276">
        <v>1E-8</v>
      </c>
      <c r="D52" s="272"/>
      <c r="E52" s="275" t="s">
        <v>170</v>
      </c>
      <c r="F52" s="276">
        <v>1E-8</v>
      </c>
      <c r="G52" s="272"/>
      <c r="H52" s="280" t="s">
        <v>171</v>
      </c>
      <c r="I52" s="281"/>
      <c r="J52" s="272"/>
      <c r="K52" s="273" t="s">
        <v>172</v>
      </c>
      <c r="L52" s="274" t="str">
        <f>_xll.qlLevenbergMarquardt()</f>
        <v>obj_00012#0003</v>
      </c>
      <c r="M52" s="272"/>
      <c r="N52" s="272"/>
      <c r="O52" s="275" t="s">
        <v>193</v>
      </c>
    </row>
    <row r="53" spans="1:16" ht="14.4">
      <c r="A53" s="272"/>
      <c r="B53" s="278" t="s">
        <v>173</v>
      </c>
      <c r="C53" s="279">
        <v>1E-8</v>
      </c>
      <c r="D53" s="272"/>
      <c r="E53" s="278" t="s">
        <v>173</v>
      </c>
      <c r="F53" s="279">
        <v>1E-8</v>
      </c>
      <c r="G53" s="272"/>
      <c r="H53" s="272"/>
      <c r="I53" s="272"/>
      <c r="J53" s="272"/>
      <c r="K53" s="272"/>
      <c r="L53" s="272"/>
      <c r="M53" s="272"/>
      <c r="N53" s="272"/>
      <c r="O53" s="279" t="str">
        <f>BA12</f>
        <v>obj_00604#0003</v>
      </c>
    </row>
    <row r="54" spans="1:16" ht="14.4">
      <c r="A54" s="272"/>
      <c r="B54" s="275" t="s">
        <v>174</v>
      </c>
      <c r="C54" s="276">
        <v>1E-8</v>
      </c>
      <c r="D54" s="272"/>
      <c r="E54" s="275" t="s">
        <v>174</v>
      </c>
      <c r="F54" s="276">
        <v>1E-8</v>
      </c>
      <c r="G54" s="272"/>
      <c r="H54" s="275" t="s">
        <v>175</v>
      </c>
      <c r="I54" s="282" t="str">
        <f>_xll.qlSimulatedAnnealing(,I55,I56,I57,I58)</f>
        <v>obj_0001d#0003</v>
      </c>
      <c r="J54" s="272"/>
      <c r="K54" s="272"/>
      <c r="L54" s="272"/>
      <c r="M54" s="272"/>
      <c r="N54" s="272"/>
      <c r="O54" s="279" t="str">
        <f>BA19</f>
        <v>obj_004ff#0003</v>
      </c>
    </row>
    <row r="55" spans="1:16" ht="14.4">
      <c r="A55" s="272"/>
      <c r="B55" s="272"/>
      <c r="C55" s="272"/>
      <c r="D55" s="272"/>
      <c r="E55" s="272"/>
      <c r="F55" s="272"/>
      <c r="G55" s="272"/>
      <c r="H55" s="283" t="s">
        <v>176</v>
      </c>
      <c r="I55" s="284">
        <v>1</v>
      </c>
      <c r="J55" s="272"/>
      <c r="K55" s="272"/>
      <c r="L55" s="272"/>
      <c r="M55" s="272"/>
      <c r="N55" s="272"/>
      <c r="O55" s="279" t="str">
        <f>AW19</f>
        <v>obj_003ed#0003</v>
      </c>
    </row>
    <row r="56" spans="1:16" ht="14.4">
      <c r="A56" s="272"/>
      <c r="B56" s="272"/>
      <c r="C56" s="272"/>
      <c r="D56" s="272"/>
      <c r="E56" s="272"/>
      <c r="F56" s="272"/>
      <c r="G56" s="272"/>
      <c r="H56" s="285" t="s">
        <v>177</v>
      </c>
      <c r="I56" s="286">
        <v>2</v>
      </c>
      <c r="J56" s="272"/>
      <c r="K56" s="272"/>
      <c r="L56" s="272"/>
      <c r="M56" s="272"/>
      <c r="N56" s="272"/>
      <c r="O56" s="279" t="str">
        <f>BE19</f>
        <v>obj_0049a#0003</v>
      </c>
    </row>
    <row r="57" spans="1:16" ht="14.4">
      <c r="A57" s="272"/>
      <c r="B57" s="272"/>
      <c r="C57" s="272"/>
      <c r="D57" s="272"/>
      <c r="E57" s="272"/>
      <c r="F57" s="272"/>
      <c r="G57" s="272"/>
      <c r="H57" s="285" t="s">
        <v>167</v>
      </c>
      <c r="I57" s="286">
        <v>0.2</v>
      </c>
      <c r="J57" s="272"/>
      <c r="K57" s="272"/>
      <c r="L57" s="272"/>
      <c r="M57" s="272"/>
      <c r="N57" s="272"/>
      <c r="O57" s="281" t="str">
        <f>BA27</f>
        <v>obj_003b1#0003</v>
      </c>
    </row>
    <row r="58" spans="1:16" ht="14.4">
      <c r="A58" s="272"/>
      <c r="B58" s="272"/>
      <c r="C58" s="272"/>
      <c r="D58" s="272"/>
      <c r="E58" s="272"/>
      <c r="F58" s="272"/>
      <c r="G58" s="272"/>
      <c r="H58" s="287" t="s">
        <v>178</v>
      </c>
      <c r="I58" s="288">
        <v>100</v>
      </c>
      <c r="J58" s="272"/>
      <c r="K58" s="272"/>
      <c r="L58" s="272"/>
      <c r="M58" s="272"/>
      <c r="N58" s="272"/>
      <c r="O58" s="272"/>
      <c r="P58" s="272"/>
    </row>
    <row r="59" spans="1:16" ht="14.4">
      <c r="A59" s="272"/>
      <c r="B59" s="275" t="s">
        <v>179</v>
      </c>
      <c r="C59" s="289" t="b">
        <v>1</v>
      </c>
      <c r="D59" s="272"/>
      <c r="E59" s="272"/>
      <c r="F59" s="272"/>
      <c r="G59" s="272"/>
      <c r="H59" s="272"/>
      <c r="I59" s="272"/>
      <c r="J59" s="272"/>
      <c r="K59" s="272"/>
      <c r="L59" s="272"/>
      <c r="M59" s="272"/>
      <c r="N59" s="272"/>
      <c r="O59" s="272"/>
      <c r="P59" s="272"/>
    </row>
    <row r="60" spans="1:16" ht="14.4">
      <c r="A60" s="272"/>
      <c r="B60" s="283" t="s">
        <v>180</v>
      </c>
      <c r="C60" s="276" t="str">
        <f>C45</f>
        <v>obj_0002c#0004</v>
      </c>
      <c r="D60" s="272"/>
      <c r="E60" s="272"/>
      <c r="F60" s="272"/>
      <c r="G60" s="272"/>
      <c r="H60" s="272"/>
      <c r="I60" s="272"/>
      <c r="J60" s="272"/>
      <c r="K60" s="272"/>
      <c r="L60" s="272"/>
      <c r="M60" s="272"/>
      <c r="N60" s="272"/>
      <c r="O60" s="272"/>
      <c r="P60" s="272"/>
    </row>
    <row r="61" spans="1:16" ht="14.4">
      <c r="A61" s="272"/>
      <c r="B61" s="285" t="s">
        <v>181</v>
      </c>
      <c r="C61" s="279" t="s">
        <v>182</v>
      </c>
      <c r="D61" s="272"/>
      <c r="E61" s="272"/>
      <c r="F61" s="272"/>
      <c r="G61" s="272"/>
      <c r="H61" s="272"/>
      <c r="I61" s="272"/>
      <c r="J61" s="272"/>
      <c r="K61" s="272"/>
      <c r="L61" s="272"/>
      <c r="M61" s="272"/>
      <c r="N61" s="272"/>
      <c r="O61" s="272"/>
      <c r="P61" s="272"/>
    </row>
    <row r="62" spans="1:16" ht="14.4">
      <c r="A62" s="272"/>
      <c r="B62" s="285" t="s">
        <v>183</v>
      </c>
      <c r="C62" s="279" t="str">
        <f>I54</f>
        <v>obj_0001d#0003</v>
      </c>
      <c r="D62" s="272"/>
      <c r="E62" s="272"/>
      <c r="F62" s="272"/>
      <c r="G62" s="272"/>
      <c r="H62" s="272"/>
      <c r="I62" s="272"/>
      <c r="J62" s="272"/>
      <c r="K62" s="272"/>
      <c r="L62" s="272"/>
      <c r="M62" s="272"/>
      <c r="N62" s="272"/>
      <c r="O62" s="272"/>
      <c r="P62" s="272"/>
    </row>
    <row r="63" spans="1:16" ht="14.4">
      <c r="A63" s="272"/>
      <c r="B63" s="285" t="s">
        <v>184</v>
      </c>
      <c r="C63" s="279" t="str">
        <f>C49</f>
        <v>obj_0000f#0003</v>
      </c>
      <c r="D63" s="272"/>
      <c r="E63" s="272"/>
      <c r="F63" s="272"/>
      <c r="G63" s="272"/>
      <c r="H63" s="272"/>
      <c r="I63" s="272"/>
      <c r="J63" s="272"/>
      <c r="K63" s="272"/>
      <c r="L63" s="272"/>
      <c r="M63" s="272"/>
      <c r="N63" s="272"/>
      <c r="O63" s="272"/>
      <c r="P63" s="272"/>
    </row>
    <row r="64" spans="1:16" ht="14.4">
      <c r="A64" s="272"/>
      <c r="B64" s="285" t="s">
        <v>185</v>
      </c>
      <c r="C64" s="279" t="s">
        <v>182</v>
      </c>
      <c r="D64" s="272"/>
      <c r="E64" s="272"/>
      <c r="F64" s="272"/>
      <c r="G64" s="272"/>
      <c r="H64" s="272"/>
      <c r="I64" s="272"/>
      <c r="J64" s="272"/>
      <c r="K64" s="272"/>
      <c r="L64" s="272"/>
      <c r="M64" s="272"/>
      <c r="N64" s="272"/>
      <c r="O64" s="272"/>
      <c r="P64" s="272"/>
    </row>
    <row r="65" spans="1:16" ht="14.4">
      <c r="A65" s="272"/>
      <c r="B65" s="285" t="s">
        <v>186</v>
      </c>
      <c r="C65" s="279">
        <v>1E-4</v>
      </c>
      <c r="D65" s="272"/>
      <c r="E65" s="272"/>
      <c r="F65" s="272"/>
      <c r="G65" s="272"/>
      <c r="H65" s="272"/>
      <c r="I65" s="272"/>
      <c r="J65" s="272"/>
      <c r="K65" s="272"/>
      <c r="L65" s="272"/>
      <c r="M65" s="272"/>
      <c r="N65" s="272"/>
      <c r="O65" s="272"/>
      <c r="P65" s="272"/>
    </row>
    <row r="66" spans="1:16" ht="14.4">
      <c r="A66" s="272"/>
      <c r="B66" s="287" t="s">
        <v>187</v>
      </c>
      <c r="C66" s="281">
        <v>10000</v>
      </c>
      <c r="D66" s="272"/>
      <c r="E66" s="272"/>
      <c r="F66" s="272"/>
      <c r="G66" s="272"/>
      <c r="H66" s="272"/>
      <c r="I66" s="272"/>
      <c r="J66" s="272"/>
      <c r="K66" s="272"/>
      <c r="L66" s="272"/>
      <c r="M66" s="272"/>
      <c r="N66" s="272"/>
      <c r="O66" s="272"/>
      <c r="P66" s="272"/>
    </row>
    <row r="67" spans="1:16" ht="14.4">
      <c r="A67" s="272"/>
      <c r="B67" s="275" t="s">
        <v>81</v>
      </c>
      <c r="C67" s="289" t="b">
        <f>IF(C59,_xll.qlHestonModelCalibrate(C60,O53:O57,C62,C63,,C71:C75,C65,C66),FALSE)</f>
        <v>1</v>
      </c>
      <c r="D67" s="272"/>
      <c r="E67" s="272"/>
      <c r="F67" s="272"/>
      <c r="G67" s="272"/>
      <c r="H67" s="272"/>
      <c r="I67" s="272"/>
      <c r="J67" s="272"/>
      <c r="K67" s="272"/>
      <c r="L67" s="272"/>
      <c r="M67" s="272"/>
      <c r="N67" s="272"/>
      <c r="O67" s="272"/>
      <c r="P67" s="272"/>
    </row>
    <row r="68" spans="1:16">
      <c r="A68" s="272"/>
      <c r="B68" s="272"/>
      <c r="C68" s="272"/>
      <c r="D68" s="272"/>
      <c r="E68" s="272"/>
      <c r="F68" s="272"/>
      <c r="G68" s="272"/>
      <c r="H68" s="272"/>
      <c r="I68" s="272"/>
      <c r="J68" s="272"/>
      <c r="K68" s="272"/>
      <c r="L68" s="272"/>
      <c r="M68" s="272"/>
      <c r="N68" s="272"/>
      <c r="O68" s="272"/>
      <c r="P68" s="272"/>
    </row>
    <row r="69" spans="1:16">
      <c r="A69" s="272"/>
      <c r="B69" s="272"/>
      <c r="C69" s="272"/>
      <c r="D69" s="272"/>
      <c r="E69" s="272"/>
      <c r="F69" s="272"/>
      <c r="G69" s="272"/>
      <c r="H69" s="272"/>
      <c r="I69" s="272"/>
      <c r="J69" s="272"/>
      <c r="K69" s="272"/>
      <c r="L69" s="272"/>
      <c r="M69" s="272"/>
      <c r="N69" s="272"/>
      <c r="O69" s="272"/>
      <c r="P69" s="272"/>
    </row>
    <row r="70" spans="1:16" ht="14.4">
      <c r="A70" s="272"/>
      <c r="B70" s="272"/>
      <c r="C70" s="275" t="s">
        <v>188</v>
      </c>
      <c r="D70" s="275" t="s">
        <v>189</v>
      </c>
      <c r="E70" s="275" t="s">
        <v>190</v>
      </c>
      <c r="F70" s="272"/>
      <c r="G70" s="272"/>
      <c r="H70" s="272"/>
      <c r="I70" s="272"/>
      <c r="J70" s="272"/>
      <c r="K70" s="272"/>
      <c r="L70" s="272"/>
      <c r="M70" s="272"/>
      <c r="N70" s="272"/>
      <c r="O70" s="272"/>
      <c r="P70" s="272"/>
    </row>
    <row r="71" spans="1:16" ht="14.4">
      <c r="A71" s="272"/>
      <c r="B71" s="283" t="s">
        <v>154</v>
      </c>
      <c r="C71" s="276" t="b">
        <v>0</v>
      </c>
      <c r="D71" s="290">
        <f>C41</f>
        <v>0.15</v>
      </c>
      <c r="E71" s="353">
        <f>_xll.qlHestonModelTheta(C60)</f>
        <v>0.15</v>
      </c>
      <c r="F71" s="272"/>
      <c r="G71" s="272"/>
      <c r="H71" s="272"/>
      <c r="I71" s="272"/>
      <c r="J71" s="272"/>
      <c r="K71" s="272"/>
      <c r="L71" s="272"/>
      <c r="M71" s="272"/>
      <c r="N71" s="272"/>
      <c r="O71" s="272"/>
      <c r="P71" s="272"/>
    </row>
    <row r="72" spans="1:16" ht="14.4">
      <c r="A72" s="272"/>
      <c r="B72" s="285" t="s">
        <v>191</v>
      </c>
      <c r="C72" s="279" t="b">
        <v>0</v>
      </c>
      <c r="D72" s="292">
        <f>C40</f>
        <v>1.5</v>
      </c>
      <c r="E72" s="352">
        <f>_xll.qlHestonModelKappa(C60)</f>
        <v>1.5</v>
      </c>
      <c r="F72" s="272"/>
      <c r="G72" s="272"/>
      <c r="H72" s="272"/>
      <c r="I72" s="272"/>
      <c r="J72" s="272"/>
      <c r="K72" s="272"/>
      <c r="L72" s="272"/>
      <c r="M72" s="272"/>
      <c r="N72" s="272"/>
      <c r="O72" s="272"/>
      <c r="P72" s="272"/>
    </row>
    <row r="73" spans="1:16" ht="14.4">
      <c r="A73" s="272"/>
      <c r="B73" s="285" t="s">
        <v>155</v>
      </c>
      <c r="C73" s="279" t="b">
        <v>0</v>
      </c>
      <c r="D73" s="292">
        <f>C42</f>
        <v>0.01</v>
      </c>
      <c r="E73" s="352">
        <f>_xll.qlHestonModelSigma(C60)</f>
        <v>0.01</v>
      </c>
      <c r="F73" s="272"/>
      <c r="G73" s="272"/>
      <c r="H73" s="272"/>
      <c r="I73" s="272"/>
      <c r="J73" s="272"/>
      <c r="K73" s="272"/>
      <c r="L73" s="272"/>
      <c r="M73" s="272"/>
      <c r="N73" s="272"/>
      <c r="O73" s="272"/>
      <c r="P73" s="272"/>
    </row>
    <row r="74" spans="1:16" ht="14.4">
      <c r="A74" s="272"/>
      <c r="B74" s="285" t="s">
        <v>192</v>
      </c>
      <c r="C74" s="279" t="b">
        <v>1</v>
      </c>
      <c r="D74" s="292">
        <f>C43</f>
        <v>0</v>
      </c>
      <c r="E74" s="352">
        <f>_xll.qlHestonModelRho(C60)</f>
        <v>0</v>
      </c>
      <c r="F74" s="272" t="s">
        <v>222</v>
      </c>
      <c r="G74" s="272"/>
      <c r="H74" s="272"/>
      <c r="I74" s="272"/>
      <c r="J74" s="272"/>
      <c r="K74" s="272"/>
      <c r="L74" s="272"/>
      <c r="M74" s="272"/>
      <c r="N74" s="272"/>
      <c r="O74" s="272"/>
      <c r="P74" s="272"/>
    </row>
    <row r="75" spans="1:16" ht="14.4">
      <c r="A75" s="272"/>
      <c r="B75" s="287" t="s">
        <v>153</v>
      </c>
      <c r="C75" s="281" t="b">
        <v>0</v>
      </c>
      <c r="D75" s="294">
        <f>C39</f>
        <v>0.15</v>
      </c>
      <c r="E75" s="368">
        <f>_xll.qlHestonModelV0(C60)</f>
        <v>0.15</v>
      </c>
      <c r="F75" s="272"/>
      <c r="G75" s="272"/>
      <c r="H75" s="272"/>
      <c r="I75" s="272"/>
      <c r="J75" s="272"/>
      <c r="K75" s="272"/>
      <c r="L75" s="272"/>
      <c r="M75" s="272"/>
      <c r="N75" s="272"/>
      <c r="O75" s="272"/>
      <c r="P75" s="272"/>
    </row>
    <row r="78" spans="1:16">
      <c r="A78" s="108" t="s">
        <v>194</v>
      </c>
    </row>
    <row r="80" spans="1:16" ht="14.4">
      <c r="B80" s="283" t="s">
        <v>195</v>
      </c>
      <c r="C80" s="284" t="str">
        <f>_xll.qlLocalVolTermStructure(,C32,I_ValuationDate!E5,I_ValuationDate!E6,C38,0.001)</f>
        <v>obj_0066c#0004</v>
      </c>
    </row>
    <row r="81" spans="2:4" ht="14.4">
      <c r="B81" s="285" t="s">
        <v>196</v>
      </c>
      <c r="C81" s="286" t="str">
        <f>C60</f>
        <v>obj_0002c#0004</v>
      </c>
    </row>
    <row r="82" spans="2:4" ht="14.4">
      <c r="B82" s="285" t="s">
        <v>197</v>
      </c>
      <c r="C82" s="299">
        <f>O24</f>
        <v>44844</v>
      </c>
    </row>
    <row r="83" spans="2:4" ht="14.4">
      <c r="B83" s="285" t="s">
        <v>198</v>
      </c>
      <c r="C83" s="300">
        <v>100</v>
      </c>
    </row>
    <row r="84" spans="2:4" ht="14.4">
      <c r="B84" s="285" t="s">
        <v>199</v>
      </c>
      <c r="C84" s="300">
        <v>100</v>
      </c>
    </row>
    <row r="85" spans="2:4" ht="14.4">
      <c r="B85" s="285" t="s">
        <v>200</v>
      </c>
      <c r="C85" s="300">
        <v>20000</v>
      </c>
    </row>
    <row r="86" spans="2:4" ht="14.4">
      <c r="B86" s="285" t="s">
        <v>201</v>
      </c>
      <c r="C86" s="300" t="b">
        <f>C67</f>
        <v>1</v>
      </c>
    </row>
    <row r="87" spans="2:4" ht="14.4">
      <c r="B87" s="287" t="s">
        <v>201</v>
      </c>
      <c r="C87" s="301"/>
    </row>
    <row r="88" spans="2:4" ht="14.4">
      <c r="B88" s="275" t="s">
        <v>202</v>
      </c>
      <c r="C88" s="289" t="str">
        <f>_xll.qlHestonSLVMCModel(,C80,C81,C82,C83,C84,C85,,,C86:C86)</f>
        <v>obj_0066d#0005</v>
      </c>
    </row>
    <row r="89" spans="2:4">
      <c r="B89" s="272"/>
      <c r="C89" s="272"/>
    </row>
    <row r="90" spans="2:4" ht="14.4">
      <c r="B90" s="273" t="s">
        <v>203</v>
      </c>
      <c r="C90" s="274" t="str">
        <f>_xll.qlHestonSLVMCModelLeverageFunction(,C88,,C86)</f>
        <v>obj_0066e#0005</v>
      </c>
      <c r="D90" t="str">
        <f>_xll.ohRangeRetrieveError(C90)</f>
        <v/>
      </c>
    </row>
    <row r="93" spans="2:4">
      <c r="B93" s="302" t="s">
        <v>204</v>
      </c>
      <c r="C93" s="303" t="str">
        <f>_xll.qlHestonProcess(,I_ValuationDate!E5,I_ValuationDate!E6,C38,E75,E72,E71,E73,E74)</f>
        <v>obj_0061e#0003</v>
      </c>
    </row>
    <row r="94" spans="2:4">
      <c r="B94" s="304" t="s">
        <v>205</v>
      </c>
      <c r="C94" s="305" t="str">
        <f>C90</f>
        <v>obj_0066e#0005</v>
      </c>
    </row>
    <row r="95" spans="2:4" ht="14.4">
      <c r="B95" s="273" t="s">
        <v>206</v>
      </c>
      <c r="C95" s="306" t="str">
        <f>_xll.qlHestonSLVProcess(,C93,C94)</f>
        <v>obj_0066f#0004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3:BF99"/>
  <sheetViews>
    <sheetView showGridLines="0" topLeftCell="A41" zoomScale="70" zoomScaleNormal="70" workbookViewId="0">
      <selection activeCell="M42" sqref="M42"/>
    </sheetView>
  </sheetViews>
  <sheetFormatPr defaultRowHeight="13.8"/>
  <cols>
    <col min="2" max="2" width="22.77734375" bestFit="1" customWidth="1"/>
    <col min="3" max="3" width="14.6640625" bestFit="1" customWidth="1"/>
    <col min="4" max="4" width="14.109375" bestFit="1" customWidth="1"/>
    <col min="5" max="5" width="14.5546875" bestFit="1" customWidth="1"/>
    <col min="6" max="6" width="14.33203125" bestFit="1" customWidth="1"/>
    <col min="7" max="13" width="7.109375" customWidth="1"/>
    <col min="15" max="15" width="24.109375" bestFit="1" customWidth="1"/>
    <col min="34" max="34" width="12" bestFit="1" customWidth="1"/>
  </cols>
  <sheetData>
    <row r="3" spans="2:58">
      <c r="B3" s="108" t="s">
        <v>0</v>
      </c>
      <c r="C3" s="358">
        <f>_xll.qlSettingsEvaluationDate()</f>
        <v>43018</v>
      </c>
      <c r="D3" s="358"/>
      <c r="V3" s="92"/>
    </row>
    <row r="6" spans="2:58">
      <c r="B6" s="133" t="s">
        <v>91</v>
      </c>
      <c r="C6" s="94" t="s">
        <v>44</v>
      </c>
      <c r="D6" s="19" t="s">
        <v>45</v>
      </c>
      <c r="E6" s="19" t="s">
        <v>46</v>
      </c>
      <c r="F6" s="19" t="s">
        <v>47</v>
      </c>
      <c r="G6" s="19" t="s">
        <v>48</v>
      </c>
      <c r="H6" s="19" t="s">
        <v>43</v>
      </c>
      <c r="I6" s="19" t="s">
        <v>49</v>
      </c>
      <c r="J6" s="19" t="s">
        <v>50</v>
      </c>
      <c r="K6" s="19" t="s">
        <v>51</v>
      </c>
      <c r="L6" s="19" t="s">
        <v>52</v>
      </c>
      <c r="M6" s="40" t="s">
        <v>53</v>
      </c>
      <c r="O6" s="109" t="s">
        <v>31</v>
      </c>
      <c r="P6" s="110"/>
      <c r="Q6" s="109" t="s">
        <v>77</v>
      </c>
      <c r="R6" s="119" t="s">
        <v>77</v>
      </c>
      <c r="S6" s="119" t="s">
        <v>77</v>
      </c>
      <c r="T6" s="119" t="s">
        <v>77</v>
      </c>
      <c r="U6" s="119" t="s">
        <v>77</v>
      </c>
      <c r="V6" s="119" t="s">
        <v>78</v>
      </c>
      <c r="W6" s="119" t="s">
        <v>78</v>
      </c>
      <c r="X6" s="119" t="s">
        <v>78</v>
      </c>
      <c r="Y6" s="119" t="s">
        <v>78</v>
      </c>
      <c r="Z6" s="119" t="s">
        <v>78</v>
      </c>
      <c r="AA6" s="110" t="s">
        <v>78</v>
      </c>
      <c r="AC6" s="137" t="s">
        <v>80</v>
      </c>
      <c r="AD6" s="134" t="b">
        <v>0</v>
      </c>
      <c r="AE6" s="135" t="b">
        <v>1</v>
      </c>
      <c r="AF6" s="135" t="b">
        <v>0</v>
      </c>
      <c r="AG6" s="136" t="b">
        <v>0</v>
      </c>
      <c r="AH6" s="4" t="s">
        <v>81</v>
      </c>
      <c r="AI6" s="19"/>
      <c r="AJ6" s="19"/>
      <c r="AK6" s="19"/>
      <c r="AL6" s="19"/>
      <c r="AM6" s="40"/>
      <c r="AN6" s="133" t="s">
        <v>91</v>
      </c>
      <c r="AU6" s="255" t="s">
        <v>161</v>
      </c>
      <c r="AV6" s="256" t="s">
        <v>77</v>
      </c>
      <c r="AW6" s="257" t="s">
        <v>77</v>
      </c>
      <c r="AX6" s="257" t="s">
        <v>77</v>
      </c>
      <c r="AY6" s="257" t="s">
        <v>77</v>
      </c>
      <c r="AZ6" s="257" t="s">
        <v>77</v>
      </c>
      <c r="BA6" s="257" t="s">
        <v>78</v>
      </c>
      <c r="BB6" s="257" t="s">
        <v>78</v>
      </c>
      <c r="BC6" s="257" t="s">
        <v>78</v>
      </c>
      <c r="BD6" s="257" t="s">
        <v>78</v>
      </c>
      <c r="BE6" s="257" t="s">
        <v>78</v>
      </c>
      <c r="BF6" s="258" t="s">
        <v>78</v>
      </c>
    </row>
    <row r="7" spans="2:58">
      <c r="B7" s="107"/>
      <c r="C7" s="41" t="s">
        <v>54</v>
      </c>
      <c r="D7" s="21" t="s">
        <v>54</v>
      </c>
      <c r="E7" s="21" t="s">
        <v>54</v>
      </c>
      <c r="F7" s="21" t="s">
        <v>54</v>
      </c>
      <c r="G7" s="21" t="s">
        <v>54</v>
      </c>
      <c r="H7" s="21" t="s">
        <v>54</v>
      </c>
      <c r="I7" s="21" t="s">
        <v>54</v>
      </c>
      <c r="J7" s="21" t="s">
        <v>54</v>
      </c>
      <c r="K7" s="21" t="s">
        <v>54</v>
      </c>
      <c r="L7" s="21" t="s">
        <v>54</v>
      </c>
      <c r="M7" s="42" t="s">
        <v>54</v>
      </c>
      <c r="O7" s="111" t="s">
        <v>3</v>
      </c>
      <c r="P7" s="112" t="s">
        <v>79</v>
      </c>
      <c r="Q7" s="111">
        <v>-0.05</v>
      </c>
      <c r="R7" s="120">
        <v>-0.1</v>
      </c>
      <c r="S7" s="120">
        <v>-0.15</v>
      </c>
      <c r="T7" s="120">
        <v>-0.25</v>
      </c>
      <c r="U7" s="120">
        <v>-0.35</v>
      </c>
      <c r="V7" s="120" t="s">
        <v>43</v>
      </c>
      <c r="W7" s="120">
        <v>0.35</v>
      </c>
      <c r="X7" s="120">
        <v>0.25</v>
      </c>
      <c r="Y7" s="120">
        <v>0.15</v>
      </c>
      <c r="Z7" s="120">
        <v>0.1</v>
      </c>
      <c r="AA7" s="112">
        <v>0.05</v>
      </c>
      <c r="AC7" s="137" t="s">
        <v>82</v>
      </c>
      <c r="AD7" s="49" t="s">
        <v>83</v>
      </c>
      <c r="AE7" s="50" t="s">
        <v>84</v>
      </c>
      <c r="AF7" s="50" t="s">
        <v>85</v>
      </c>
      <c r="AG7" s="138" t="s">
        <v>86</v>
      </c>
      <c r="AH7" s="111" t="s">
        <v>87</v>
      </c>
      <c r="AI7" s="120" t="s">
        <v>88</v>
      </c>
      <c r="AJ7" s="120" t="s">
        <v>83</v>
      </c>
      <c r="AK7" s="120" t="s">
        <v>84</v>
      </c>
      <c r="AL7" s="120" t="s">
        <v>85</v>
      </c>
      <c r="AM7" s="112" t="s">
        <v>86</v>
      </c>
      <c r="AN7" s="107"/>
      <c r="AU7" s="259"/>
      <c r="AV7" s="260">
        <v>-0.05</v>
      </c>
      <c r="AW7" s="261">
        <v>-0.1</v>
      </c>
      <c r="AX7" s="261">
        <v>-0.15</v>
      </c>
      <c r="AY7" s="261">
        <v>-0.25</v>
      </c>
      <c r="AZ7" s="261">
        <v>-0.35</v>
      </c>
      <c r="BA7" s="261" t="s">
        <v>43</v>
      </c>
      <c r="BB7" s="261">
        <v>0.35</v>
      </c>
      <c r="BC7" s="261">
        <v>0.25</v>
      </c>
      <c r="BD7" s="261">
        <v>0.15</v>
      </c>
      <c r="BE7" s="261">
        <v>0.1</v>
      </c>
      <c r="BF7" s="262">
        <v>0.05</v>
      </c>
    </row>
    <row r="8" spans="2:58">
      <c r="B8" s="104" t="s">
        <v>55</v>
      </c>
      <c r="C8" s="95">
        <v>10.956</v>
      </c>
      <c r="D8" s="96">
        <v>10.685</v>
      </c>
      <c r="E8" s="96">
        <v>10.44</v>
      </c>
      <c r="F8" s="96">
        <v>10.26</v>
      </c>
      <c r="G8" s="96">
        <v>10.182</v>
      </c>
      <c r="H8" s="96">
        <v>10.205</v>
      </c>
      <c r="I8" s="96">
        <v>10.327</v>
      </c>
      <c r="J8" s="96">
        <v>10.5</v>
      </c>
      <c r="K8" s="96">
        <v>10.78</v>
      </c>
      <c r="L8" s="96">
        <v>11.105</v>
      </c>
      <c r="M8" s="97">
        <v>11.468999999999999</v>
      </c>
      <c r="O8" s="113">
        <f>_xll.qlCalendarAdvance("NullCalendar",$C$3,B8)</f>
        <v>43019</v>
      </c>
      <c r="P8" s="116">
        <f>(O8-$C$3)/365</f>
        <v>2.7397260273972603E-3</v>
      </c>
      <c r="Q8" s="121">
        <f>_xll.qlBlackDeltaCalculatorStrikeFromDelta(_xll.qlBlackDeltaCalculator(,Q$6,"Spot",$C$38,1,1,C8%*SQRT($P8)),Q$7)</f>
        <v>17.83130409780744</v>
      </c>
      <c r="R8" s="122">
        <f>_xll.qlBlackDeltaCalculatorStrikeFromDelta(_xll.qlBlackDeltaCalculator(,R$6,"Spot",$C$38,1,1,D8%*SQRT($P8)),R$7)</f>
        <v>17.871726798554871</v>
      </c>
      <c r="S8" s="122">
        <f>_xll.qlBlackDeltaCalculatorStrikeFromDelta(_xll.qlBlackDeltaCalculator(,S$6,"Spot",$C$38,1,1,E8%*SQRT($P8)),S$7)</f>
        <v>17.898609904136858</v>
      </c>
      <c r="T8" s="122">
        <f>_xll.qlBlackDeltaCalculatorStrikeFromDelta(_xll.qlBlackDeltaCalculator(,T$6,"Spot",$C$38,1,1,F8%*SQRT($P8)),T$7)</f>
        <v>17.935176390957466</v>
      </c>
      <c r="U8" s="122">
        <f>_xll.qlBlackDeltaCalculatorStrikeFromDelta(_xll.qlBlackDeltaCalculator(,U$6,"Spot",$C$38,1,1,G8%*SQRT($P8)),U$7)</f>
        <v>17.963328843842405</v>
      </c>
      <c r="V8" s="123">
        <f>_xll.qlBlackDeltaCalculatorAtmStrike(_xll.qlBlackDeltaCalculator(,V$6,"Spot",$C$38,1,1,H8%*SQRT($P8)),"AtmFwd")</f>
        <v>18</v>
      </c>
      <c r="W8" s="122">
        <f>_xll.qlBlackDeltaCalculatorStrikeFromDelta(_xll.qlBlackDeltaCalculator(,W$6,"Spot",$C$38,1,1,I8%*SQRT($P8)),W$7)</f>
        <v>18.037793179745417</v>
      </c>
      <c r="X8" s="122">
        <f>_xll.qlBlackDeltaCalculatorStrikeFromDelta(_xll.qlBlackDeltaCalculator(,X$6,"Spot",$C$38,1,1,J8%*SQRT($P8)),X$7)</f>
        <v>18.067122017479075</v>
      </c>
      <c r="Y8" s="122">
        <f>_xll.qlBlackDeltaCalculatorStrikeFromDelta(_xll.qlBlackDeltaCalculator(,Y$6,"Spot",$C$38,1,1,K8%*SQRT($P8)),Y$7)</f>
        <v>18.105862167771843</v>
      </c>
      <c r="Z8" s="122">
        <f>_xll.qlBlackDeltaCalculatorStrikeFromDelta(_xll.qlBlackDeltaCalculator(,Z$6,"Spot",$C$38,1,1,L8%*SQRT($P8)),Z$7)</f>
        <v>18.134892171687774</v>
      </c>
      <c r="AA8" s="124">
        <f>_xll.qlBlackDeltaCalculatorStrikeFromDelta(_xll.qlBlackDeltaCalculator(,AA$6,"Spot",$C$38,1,1,M8%*SQRT($P8)),AA$7)</f>
        <v>18.178945397665732</v>
      </c>
      <c r="AC8" s="139">
        <f>$C$38</f>
        <v>18</v>
      </c>
      <c r="AD8" s="142">
        <v>7.2584415373479858E-2</v>
      </c>
      <c r="AE8" s="143">
        <v>0.7</v>
      </c>
      <c r="AF8" s="143">
        <v>0.19296159463819762</v>
      </c>
      <c r="AG8" s="20">
        <v>8.6031562540046327</v>
      </c>
      <c r="AH8" s="155" t="str">
        <f t="array" ref="AH8">_xll.qlSabrInterpolatedSmileSection(,O8,AC8,Q8:AA8,FALSE,H8%,C8:M8%,AD8,AE8,AG8,AF8,AD$6,AE$6,AG$6,AF$6,TRUE,,,"Actual/365 (Fixed)",0,FALSE)</f>
        <v>obj_00651#0003</v>
      </c>
      <c r="AI8" s="151">
        <f>_xll.qlSabrInterpolatedSmileSectionMaxError(AH8)</f>
        <v>6.1586318107985372E-4</v>
      </c>
      <c r="AJ8" s="152">
        <f>_xll.qlSabrInterpolatedSmileSectionAlpha(AH8)</f>
        <v>0.23859316850949</v>
      </c>
      <c r="AK8" s="151">
        <f>_xll.qlSabrInterpolatedSmileSectionBeta(AH8)</f>
        <v>0.7</v>
      </c>
      <c r="AL8" s="153">
        <f>_xll.qlSabrInterpolatedSmileSectionRho(AH8)</f>
        <v>6.9587705590090379E-2</v>
      </c>
      <c r="AM8" s="154">
        <f>_xll.qlSabrInterpolatedSmileSectionNu(AH8)</f>
        <v>8.880296828707765</v>
      </c>
      <c r="AN8" s="104" t="s">
        <v>55</v>
      </c>
      <c r="AU8" s="296">
        <f>T8</f>
        <v>17.935176390957466</v>
      </c>
      <c r="AV8" s="263" t="str">
        <f>_xll.qlHestonModelHelper(,$B8,"TARGET",$C$38,Q8,C8/100,I_ValuationDate!$E$5,I_ValuationDate!$E$6,"RelativePriceError")</f>
        <v>obj_00512#0003</v>
      </c>
      <c r="AW8" s="264" t="str">
        <f>_xll.qlHestonModelHelper(,$B8,"TARGET",$C$38,R8,D8/100,I_ValuationDate!$E$5,I_ValuationDate!$E$6,"RelativePriceError")</f>
        <v>obj_005c3#0003</v>
      </c>
      <c r="AX8" s="264" t="str">
        <f>_xll.qlHestonModelHelper(,$B8,"TARGET",$C$38,S8,E8/100,I_ValuationDate!$E$5,I_ValuationDate!$E$6,"RelativePriceError")</f>
        <v>obj_003e3#0003</v>
      </c>
      <c r="AY8" s="264" t="str">
        <f>_xll.qlHestonModelHelper(,$B8,"TARGET",$C$38,T8,F8/100,I_ValuationDate!$E$5,I_ValuationDate!$E$6,"RelativePriceError")</f>
        <v>obj_001d2#0003</v>
      </c>
      <c r="AZ8" s="264" t="str">
        <f>_xll.qlHestonModelHelper(,$B8,"TARGET",$C$38,U8,G8/100,I_ValuationDate!$E$5,I_ValuationDate!$E$6,"RelativePriceError")</f>
        <v>obj_00615#0003</v>
      </c>
      <c r="BA8" s="264" t="str">
        <f>_xll.qlHestonModelHelper(,$B8,"TARGET",$C$38,V8,H8/100,I_ValuationDate!$E$5,I_ValuationDate!$E$6,"RelativePriceError")</f>
        <v>obj_004f1#0003</v>
      </c>
      <c r="BB8" s="264" t="str">
        <f>_xll.qlHestonModelHelper(,$B8,"TARGET",$C$38,W8,I8/100,I_ValuationDate!$E$5,I_ValuationDate!$E$6,"RelativePriceError")</f>
        <v>obj_00474#0003</v>
      </c>
      <c r="BC8" s="264" t="str">
        <f>_xll.qlHestonModelHelper(,$B8,"TARGET",$C$38,X8,J8/100,I_ValuationDate!$E$5,I_ValuationDate!$E$6,"RelativePriceError")</f>
        <v>obj_00525#0003</v>
      </c>
      <c r="BD8" s="264" t="str">
        <f>_xll.qlHestonModelHelper(,$B8,"TARGET",$C$38,Y8,K8/100,I_ValuationDate!$E$5,I_ValuationDate!$E$6,"RelativePriceError")</f>
        <v>obj_003d3#0003</v>
      </c>
      <c r="BE8" s="264" t="str">
        <f>_xll.qlHestonModelHelper(,$B8,"TARGET",$C$38,Z8,L8/100,I_ValuationDate!$E$5,I_ValuationDate!$E$6,"RelativePriceError")</f>
        <v>obj_004f3#0003</v>
      </c>
      <c r="BF8" s="265" t="str">
        <f>_xll.qlHestonModelHelper(,$B8,"TARGET",$C$38,AA8,M8/100,I_ValuationDate!$E$5,I_ValuationDate!$E$6,"RelativePriceError")</f>
        <v>obj_004fb#0003</v>
      </c>
    </row>
    <row r="9" spans="2:58">
      <c r="B9" s="105" t="s">
        <v>56</v>
      </c>
      <c r="C9" s="98">
        <v>9.0909999999999993</v>
      </c>
      <c r="D9" s="99">
        <v>8.8699999999999992</v>
      </c>
      <c r="E9" s="99">
        <v>8.7100000000000009</v>
      </c>
      <c r="F9" s="99">
        <v>8.5749999999999993</v>
      </c>
      <c r="G9" s="99">
        <v>8.4849999999999994</v>
      </c>
      <c r="H9" s="99">
        <v>8.4629999999999992</v>
      </c>
      <c r="I9" s="99">
        <v>8.5649999999999995</v>
      </c>
      <c r="J9" s="99">
        <v>8.7149999999999999</v>
      </c>
      <c r="K9" s="99">
        <v>8.9</v>
      </c>
      <c r="L9" s="99">
        <v>9.1449999999999996</v>
      </c>
      <c r="M9" s="100">
        <v>9.4250000000000007</v>
      </c>
      <c r="O9" s="114">
        <f>_xll.qlCalendarAdvance("NullCalendar",$C$3,B9)</f>
        <v>43025</v>
      </c>
      <c r="P9" s="117">
        <f>(O9-$C$3)/365</f>
        <v>1.9178082191780823E-2</v>
      </c>
      <c r="Q9" s="125">
        <f>_xll.qlBlackDeltaCalculatorStrikeFromDelta(_xll.qlBlackDeltaCalculator(,Q$6,"Spot",$C$38,1,1,C9%*SQRT($P9)),Q$7)</f>
        <v>17.632483392514878</v>
      </c>
      <c r="R9" s="126">
        <f>_xll.qlBlackDeltaCalculatorStrikeFromDelta(_xll.qlBlackDeltaCalculator(,R$6,"Spot",$C$38,1,1,D9%*SQRT($P9)),R$7)</f>
        <v>17.720197931512249</v>
      </c>
      <c r="S9" s="126">
        <f>_xll.qlBlackDeltaCalculatorStrikeFromDelta(_xll.qlBlackDeltaCalculator(,S$6,"Spot",$C$38,1,1,E9%*SQRT($P9)),S$7)</f>
        <v>17.777666951471073</v>
      </c>
      <c r="T9" s="126">
        <f>_xll.qlBlackDeltaCalculatorStrikeFromDelta(_xll.qlBlackDeltaCalculator(,T$6,"Spot",$C$38,1,1,F9%*SQRT($P9)),T$7)</f>
        <v>17.857661713688294</v>
      </c>
      <c r="U9" s="126">
        <f>_xll.qlBlackDeltaCalculatorStrikeFromDelta(_xll.qlBlackDeltaCalculator(,U$6,"Spot",$C$38,1,1,G9%*SQRT($P9)),U$7)</f>
        <v>17.919922920244922</v>
      </c>
      <c r="V9" s="127">
        <f>_xll.qlBlackDeltaCalculatorAtmStrike(_xll.qlBlackDeltaCalculator(,V$6,"Spot",$C$38,1,1,H9%*SQRT($P9)),"AtmFwd")</f>
        <v>18</v>
      </c>
      <c r="W9" s="126">
        <f>_xll.qlBlackDeltaCalculatorStrikeFromDelta(_xll.qlBlackDeltaCalculator(,W$6,"Spot",$C$38,1,1,I9%*SQRT($P9)),W$7)</f>
        <v>18.083727114441402</v>
      </c>
      <c r="X9" s="126">
        <f>_xll.qlBlackDeltaCalculatorStrikeFromDelta(_xll.qlBlackDeltaCalculator(,X$6,"Spot",$C$38,1,1,J9%*SQRT($P9)),X$7)</f>
        <v>18.148446778649554</v>
      </c>
      <c r="Y9" s="126">
        <f>_xll.qlBlackDeltaCalculatorStrikeFromDelta(_xll.qlBlackDeltaCalculator(,Y$6,"Spot",$C$38,1,1,K9%*SQRT($P9)),Y$7)</f>
        <v>18.232795460515373</v>
      </c>
      <c r="Z9" s="126">
        <f>_xll.qlBlackDeltaCalculatorStrikeFromDelta(_xll.qlBlackDeltaCalculator(,Z$6,"Spot",$C$38,1,1,L9%*SQRT($P9)),Z$7)</f>
        <v>18.295993407327554</v>
      </c>
      <c r="AA9" s="128">
        <f>_xll.qlBlackDeltaCalculatorStrikeFromDelta(_xll.qlBlackDeltaCalculator(,AA$6,"Spot",$C$38,1,1,M9%*SQRT($P9)),AA$7)</f>
        <v>18.392186131332632</v>
      </c>
      <c r="AC9" s="140">
        <f>$C$38</f>
        <v>18</v>
      </c>
      <c r="AD9" s="144">
        <v>6.5991427497833252E-2</v>
      </c>
      <c r="AE9" s="145">
        <v>0.7</v>
      </c>
      <c r="AF9" s="145">
        <v>0.21663960044818401</v>
      </c>
      <c r="AG9" s="146">
        <v>3.3392516749698067</v>
      </c>
      <c r="AH9" s="155" t="str">
        <f t="array" ref="AH9">_xll.qlSabrInterpolatedSmileSection(,O9,AC9,Q9:AA9,FALSE,H9%,C9:M9%,AD9,AE9,AG9,AF9,AD$6,AE$6,AG$6,AF$6,TRUE,,,"Actual/365 (Fixed)",0,FALSE)</f>
        <v>obj_00624#0003</v>
      </c>
      <c r="AI9" s="156">
        <f>_xll.qlSabrInterpolatedSmileSectionMaxError(AH9)</f>
        <v>3.9468684885687888E-4</v>
      </c>
      <c r="AJ9" s="157">
        <f>_xll.qlSabrInterpolatedSmileSectionAlpha(AH9)</f>
        <v>0.1986882602853961</v>
      </c>
      <c r="AK9" s="156">
        <f>_xll.qlSabrInterpolatedSmileSectionBeta(AH9)</f>
        <v>0.7</v>
      </c>
      <c r="AL9" s="158">
        <f>_xll.qlSabrInterpolatedSmileSectionRho(AH9)</f>
        <v>5.7462076605038673E-2</v>
      </c>
      <c r="AM9" s="159">
        <f>_xll.qlSabrInterpolatedSmileSectionNu(AH9)</f>
        <v>3.2350618444786146</v>
      </c>
      <c r="AN9" s="105" t="s">
        <v>56</v>
      </c>
      <c r="AU9" s="297">
        <f>T9</f>
        <v>17.857661713688294</v>
      </c>
      <c r="AV9" s="266" t="str">
        <f>_xll.qlHestonModelHelper(,$B9,"TARGET",$C$38,Q9,C9/100,I_ValuationDate!$E$5,I_ValuationDate!$E$6,"RelativePriceError")</f>
        <v>obj_00576#0003</v>
      </c>
      <c r="AW9" s="267" t="str">
        <f>_xll.qlHestonModelHelper(,$B9,"TARGET",$C$38,R9,D9/100,I_ValuationDate!$E$5,I_ValuationDate!$E$6,"RelativePriceError")</f>
        <v>obj_004a4#0003</v>
      </c>
      <c r="AX9" s="267" t="str">
        <f>_xll.qlHestonModelHelper(,$B9,"TARGET",$C$38,S9,E9/100,I_ValuationDate!$E$5,I_ValuationDate!$E$6,"RelativePriceError")</f>
        <v>obj_00422#0003</v>
      </c>
      <c r="AY9" s="267" t="str">
        <f>_xll.qlHestonModelHelper(,$B9,"TARGET",$C$38,T9,F9/100,I_ValuationDate!$E$5,I_ValuationDate!$E$6,"RelativePriceError")</f>
        <v>obj_0031b#0003</v>
      </c>
      <c r="AZ9" s="267" t="str">
        <f>_xll.qlHestonModelHelper(,$B9,"TARGET",$C$38,U9,G9/100,I_ValuationDate!$E$5,I_ValuationDate!$E$6,"RelativePriceError")</f>
        <v>obj_0054c#0003</v>
      </c>
      <c r="BA9" s="267" t="str">
        <f>_xll.qlHestonModelHelper(,$B9,"TARGET",$C$38,V9,H9/100,I_ValuationDate!$E$5,I_ValuationDate!$E$6,"RelativePriceError")</f>
        <v>obj_005f8#0003</v>
      </c>
      <c r="BB9" s="267" t="str">
        <f>_xll.qlHestonModelHelper(,$B9,"TARGET",$C$38,W9,I9/100,I_ValuationDate!$E$5,I_ValuationDate!$E$6,"RelativePriceError")</f>
        <v>obj_005ac#0003</v>
      </c>
      <c r="BC9" s="267" t="str">
        <f>_xll.qlHestonModelHelper(,$B9,"TARGET",$C$38,X9,J9/100,I_ValuationDate!$E$5,I_ValuationDate!$E$6,"RelativePriceError")</f>
        <v>obj_00578#0003</v>
      </c>
      <c r="BD9" s="267" t="str">
        <f>_xll.qlHestonModelHelper(,$B9,"TARGET",$C$38,Y9,K9/100,I_ValuationDate!$E$5,I_ValuationDate!$E$6,"RelativePriceError")</f>
        <v>obj_0058a#0003</v>
      </c>
      <c r="BE9" s="267" t="str">
        <f>_xll.qlHestonModelHelper(,$B9,"TARGET",$C$38,Z9,L9/100,I_ValuationDate!$E$5,I_ValuationDate!$E$6,"RelativePriceError")</f>
        <v>obj_004ad#0003</v>
      </c>
      <c r="BF9" s="268" t="str">
        <f>_xll.qlHestonModelHelper(,$B9,"TARGET",$C$38,AA9,M9/100,I_ValuationDate!$E$5,I_ValuationDate!$E$6,"RelativePriceError")</f>
        <v>obj_0047e#0003</v>
      </c>
    </row>
    <row r="10" spans="2:58">
      <c r="B10" s="105" t="s">
        <v>57</v>
      </c>
      <c r="C10" s="98">
        <v>10.086</v>
      </c>
      <c r="D10" s="99">
        <v>9.8360000000000003</v>
      </c>
      <c r="E10" s="99">
        <v>9.65</v>
      </c>
      <c r="F10" s="99">
        <v>9.4789999999999992</v>
      </c>
      <c r="G10" s="99">
        <v>9.3640000000000008</v>
      </c>
      <c r="H10" s="99">
        <v>9.3149999999999995</v>
      </c>
      <c r="I10" s="99">
        <v>9.391</v>
      </c>
      <c r="J10" s="99">
        <v>9.5210000000000008</v>
      </c>
      <c r="K10" s="99">
        <v>9.69</v>
      </c>
      <c r="L10" s="99">
        <v>9.9090000000000007</v>
      </c>
      <c r="M10" s="100">
        <v>10.170999999999999</v>
      </c>
      <c r="O10" s="114">
        <f>_xll.qlCalendarAdvance("NullCalendar",$C$3,B10)</f>
        <v>43032</v>
      </c>
      <c r="P10" s="117">
        <f>(O10-$C$3)/365</f>
        <v>3.8356164383561646E-2</v>
      </c>
      <c r="Q10" s="125">
        <f>_xll.qlBlackDeltaCalculatorStrikeFromDelta(_xll.qlBlackDeltaCalculator(,Q$6,"Spot",$C$38,1,1,C10%*SQRT($P10)),Q$7)</f>
        <v>17.427959721217018</v>
      </c>
      <c r="R10" s="126">
        <f>_xll.qlBlackDeltaCalculatorStrikeFromDelta(_xll.qlBlackDeltaCalculator(,R$6,"Spot",$C$38,1,1,D10%*SQRT($P10)),R$7)</f>
        <v>17.56432892400958</v>
      </c>
      <c r="S10" s="126">
        <f>_xll.qlBlackDeltaCalculatorStrikeFromDelta(_xll.qlBlackDeltaCalculator(,S$6,"Spot",$C$38,1,1,E10%*SQRT($P10)),S$7)</f>
        <v>17.654002362025601</v>
      </c>
      <c r="T10" s="126">
        <f>_xll.qlBlackDeltaCalculatorStrikeFromDelta(_xll.qlBlackDeltaCalculator(,T$6,"Spot",$C$38,1,1,F10%*SQRT($P10)),T$7)</f>
        <v>17.779082067814485</v>
      </c>
      <c r="U10" s="126">
        <f>_xll.qlBlackDeltaCalculatorStrikeFromDelta(_xll.qlBlackDeltaCalculator(,U$6,"Spot",$C$38,1,1,G10%*SQRT($P10)),U$7)</f>
        <v>17.876258175884534</v>
      </c>
      <c r="V10" s="127">
        <f>_xll.qlBlackDeltaCalculatorAtmStrike(_xll.qlBlackDeltaCalculator(,V$6,"Spot",$C$38,1,1,H10%*SQRT($P10)),"AtmFwd")</f>
        <v>18</v>
      </c>
      <c r="W10" s="126">
        <f>_xll.qlBlackDeltaCalculatorStrikeFromDelta(_xll.qlBlackDeltaCalculator(,W$6,"Spot",$C$38,1,1,I10%*SQRT($P10)),W$7)</f>
        <v>18.131082175312322</v>
      </c>
      <c r="X10" s="126">
        <f>_xll.qlBlackDeltaCalculatorStrikeFromDelta(_xll.qlBlackDeltaCalculator(,X$6,"Spot",$C$38,1,1,J10%*SQRT($P10)),X$7)</f>
        <v>18.230983943294486</v>
      </c>
      <c r="Y10" s="126">
        <f>_xll.qlBlackDeltaCalculatorStrikeFromDelta(_xll.qlBlackDeltaCalculator(,Y$6,"Spot",$C$38,1,1,K10%*SQRT($P10)),Y$7)</f>
        <v>18.360853192253202</v>
      </c>
      <c r="Z10" s="126">
        <f>_xll.qlBlackDeltaCalculatorStrikeFromDelta(_xll.qlBlackDeltaCalculator(,Z$6,"Spot",$C$38,1,1,L10%*SQRT($P10)),Z$7)</f>
        <v>18.456756435627295</v>
      </c>
      <c r="AA10" s="128">
        <f>_xll.qlBlackDeltaCalculatorStrikeFromDelta(_xll.qlBlackDeltaCalculator(,AA$6,"Spot",$C$38,1,1,M10%*SQRT($P10)),AA$7)</f>
        <v>18.603226385312553</v>
      </c>
      <c r="AC10" s="140">
        <f>$C$38</f>
        <v>18</v>
      </c>
      <c r="AD10" s="144">
        <v>7.7832109384568943E-2</v>
      </c>
      <c r="AE10" s="145">
        <v>0.7</v>
      </c>
      <c r="AF10" s="145">
        <v>0.22444692024285942</v>
      </c>
      <c r="AG10" s="146">
        <v>2.22722244952103</v>
      </c>
      <c r="AH10" s="155" t="str">
        <f t="array" ref="AH10">_xll.qlSabrInterpolatedSmileSection(,O10,AC10,Q10:AA10,FALSE,H10%,C10:M10%,AD10,AE10,AG10,AF10,AD$6,AE$6,AG$6,AF$6,TRUE,,,"Actual/365 (Fixed)",0,FALSE)</f>
        <v>obj_00626#0003</v>
      </c>
      <c r="AI10" s="156">
        <f>_xll.qlSabrInterpolatedSmileSectionMaxError(AH10)</f>
        <v>4.2538605262640306E-4</v>
      </c>
      <c r="AJ10" s="157">
        <f>_xll.qlSabrInterpolatedSmileSectionAlpha(AH10)</f>
        <v>0.21886272358445896</v>
      </c>
      <c r="AK10" s="156">
        <f>_xll.qlSabrInterpolatedSmileSectionBeta(AH10)</f>
        <v>0.7</v>
      </c>
      <c r="AL10" s="158">
        <f>_xll.qlSabrInterpolatedSmileSectionRho(AH10)</f>
        <v>2.3080897571699559E-2</v>
      </c>
      <c r="AM10" s="159">
        <f>_xll.qlSabrInterpolatedSmileSectionNu(AH10)</f>
        <v>2.2129148475517684</v>
      </c>
      <c r="AN10" s="105" t="s">
        <v>57</v>
      </c>
      <c r="AU10" s="297">
        <f>T10</f>
        <v>17.779082067814485</v>
      </c>
      <c r="AV10" s="266" t="str">
        <f>_xll.qlHestonModelHelper(,$B10,"TARGET",$C$38,Q10,C10/100,I_ValuationDate!$E$5,I_ValuationDate!$E$6,"RelativePriceError")</f>
        <v>obj_005d9#0003</v>
      </c>
      <c r="AW10" s="267" t="str">
        <f>_xll.qlHestonModelHelper(,$B10,"TARGET",$C$38,R10,D10/100,I_ValuationDate!$E$5,I_ValuationDate!$E$6,"RelativePriceError")</f>
        <v>obj_0058b#0003</v>
      </c>
      <c r="AX10" s="267" t="str">
        <f>_xll.qlHestonModelHelper(,$B10,"TARGET",$C$38,S10,E10/100,I_ValuationDate!$E$5,I_ValuationDate!$E$6,"RelativePriceError")</f>
        <v>obj_005ef#0003</v>
      </c>
      <c r="AY10" s="267" t="str">
        <f>_xll.qlHestonModelHelper(,$B10,"TARGET",$C$38,T10,F10/100,I_ValuationDate!$E$5,I_ValuationDate!$E$6,"RelativePriceError")</f>
        <v>obj_00388#0003</v>
      </c>
      <c r="AZ10" s="267" t="str">
        <f>_xll.qlHestonModelHelper(,$B10,"TARGET",$C$38,U10,G10/100,I_ValuationDate!$E$5,I_ValuationDate!$E$6,"RelativePriceError")</f>
        <v>obj_004a9#0003</v>
      </c>
      <c r="BA10" s="267" t="str">
        <f>_xll.qlHestonModelHelper(,$B10,"TARGET",$C$38,V10,H10/100,I_ValuationDate!$E$5,I_ValuationDate!$E$6,"RelativePriceError")</f>
        <v>obj_00570#0003</v>
      </c>
      <c r="BB10" s="267" t="str">
        <f>_xll.qlHestonModelHelper(,$B10,"TARGET",$C$38,W10,I10/100,I_ValuationDate!$E$5,I_ValuationDate!$E$6,"RelativePriceError")</f>
        <v>obj_003b9#0003</v>
      </c>
      <c r="BC10" s="267" t="str">
        <f>_xll.qlHestonModelHelper(,$B10,"TARGET",$C$38,X10,J10/100,I_ValuationDate!$E$5,I_ValuationDate!$E$6,"RelativePriceError")</f>
        <v>obj_004b3#0003</v>
      </c>
      <c r="BD10" s="267" t="str">
        <f>_xll.qlHestonModelHelper(,$B10,"TARGET",$C$38,Y10,K10/100,I_ValuationDate!$E$5,I_ValuationDate!$E$6,"RelativePriceError")</f>
        <v>obj_003e9#0003</v>
      </c>
      <c r="BE10" s="267" t="str">
        <f>_xll.qlHestonModelHelper(,$B10,"TARGET",$C$38,Z10,L10/100,I_ValuationDate!$E$5,I_ValuationDate!$E$6,"RelativePriceError")</f>
        <v>obj_004e2#0003</v>
      </c>
      <c r="BF10" s="268" t="str">
        <f>_xll.qlHestonModelHelper(,$B10,"TARGET",$C$38,AA10,M10/100,I_ValuationDate!$E$5,I_ValuationDate!$E$6,"RelativePriceError")</f>
        <v>obj_005c8#0003</v>
      </c>
    </row>
    <row r="11" spans="2:58">
      <c r="B11" s="105" t="s">
        <v>58</v>
      </c>
      <c r="C11" s="98">
        <v>9.6460000000000008</v>
      </c>
      <c r="D11" s="99">
        <v>9.3670000000000009</v>
      </c>
      <c r="E11" s="99">
        <v>9.15</v>
      </c>
      <c r="F11" s="99">
        <v>8.9830000000000005</v>
      </c>
      <c r="G11" s="99">
        <v>8.8699999999999992</v>
      </c>
      <c r="H11" s="99">
        <v>8.82</v>
      </c>
      <c r="I11" s="99">
        <v>8.83</v>
      </c>
      <c r="J11" s="99">
        <v>8.93</v>
      </c>
      <c r="K11" s="99">
        <v>9.09</v>
      </c>
      <c r="L11" s="99">
        <v>9.2919999999999998</v>
      </c>
      <c r="M11" s="100">
        <v>9.5489999999999995</v>
      </c>
      <c r="O11" s="114">
        <f>_xll.qlCalendarAdvance("NullCalendar",$C$3,B11)</f>
        <v>43039</v>
      </c>
      <c r="P11" s="117">
        <f>(O11-$C$3)/365</f>
        <v>5.7534246575342465E-2</v>
      </c>
      <c r="Q11" s="125">
        <f>_xll.qlBlackDeltaCalculatorStrikeFromDelta(_xll.qlBlackDeltaCalculator(,Q$6,"Spot",$C$38,1,1,C11%*SQRT($P11)),Q$7)</f>
        <v>17.332479064301957</v>
      </c>
      <c r="R11" s="126">
        <f>_xll.qlBlackDeltaCalculatorStrikeFromDelta(_xll.qlBlackDeltaCalculator(,R$6,"Spot",$C$38,1,1,D11%*SQRT($P11)),R$7)</f>
        <v>17.49351616027193</v>
      </c>
      <c r="S11" s="126">
        <f>_xll.qlBlackDeltaCalculatorStrikeFromDelta(_xll.qlBlackDeltaCalculator(,S$6,"Spot",$C$38,1,1,E11%*SQRT($P11)),S$7)</f>
        <v>17.599412500024894</v>
      </c>
      <c r="T11" s="126">
        <f>_xll.qlBlackDeltaCalculatorStrikeFromDelta(_xll.qlBlackDeltaCalculator(,T$6,"Spot",$C$38,1,1,F11%*SQRT($P11)),T$7)</f>
        <v>17.74441351828677</v>
      </c>
      <c r="U11" s="126">
        <f>_xll.qlBlackDeltaCalculatorStrikeFromDelta(_xll.qlBlackDeltaCalculator(,U$6,"Spot",$C$38,1,1,G11%*SQRT($P11)),U$7)</f>
        <v>17.857080028966639</v>
      </c>
      <c r="V11" s="127">
        <f>_xll.qlBlackDeltaCalculatorAtmStrike(_xll.qlBlackDeltaCalculator(,V$6,"Spot",$C$38,1,1,H11%*SQRT($P11)),"AtmFwd")</f>
        <v>18</v>
      </c>
      <c r="W11" s="126">
        <f>_xll.qlBlackDeltaCalculatorStrikeFromDelta(_xll.qlBlackDeltaCalculator(,W$6,"Spot",$C$38,1,1,I11%*SQRT($P11)),W$7)</f>
        <v>18.151570777631143</v>
      </c>
      <c r="X11" s="126">
        <f>_xll.qlBlackDeltaCalculatorStrikeFromDelta(_xll.qlBlackDeltaCalculator(,X$6,"Spot",$C$38,1,1,J11%*SQRT($P11)),X$7)</f>
        <v>18.266130854155026</v>
      </c>
      <c r="Y11" s="126">
        <f>_xll.qlBlackDeltaCalculatorStrikeFromDelta(_xll.qlBlackDeltaCalculator(,Y$6,"Spot",$C$38,1,1,K11%*SQRT($P11)),Y$7)</f>
        <v>18.415770255029141</v>
      </c>
      <c r="Z11" s="126">
        <f>_xll.qlBlackDeltaCalculatorStrikeFromDelta(_xll.qlBlackDeltaCalculator(,Z$6,"Spot",$C$38,1,1,L11%*SQRT($P11)),Z$7)</f>
        <v>18.526153654077863</v>
      </c>
      <c r="AA11" s="128">
        <f>_xll.qlBlackDeltaCalculatorStrikeFromDelta(_xll.qlBlackDeltaCalculator(,AA$6,"Spot",$C$38,1,1,M11%*SQRT($P11)),AA$7)</f>
        <v>18.695982132830768</v>
      </c>
      <c r="AC11" s="140">
        <f>$C$38</f>
        <v>18</v>
      </c>
      <c r="AD11" s="144">
        <v>7.4314957473345475E-2</v>
      </c>
      <c r="AE11" s="145">
        <v>0.7</v>
      </c>
      <c r="AF11" s="145">
        <v>0.23375987515216165</v>
      </c>
      <c r="AG11" s="146">
        <v>1.8500106427823144</v>
      </c>
      <c r="AH11" s="155" t="str">
        <f t="array" ref="AH11">_xll.qlSabrInterpolatedSmileSection(,O11,AC11,Q11:AA11,FALSE,H11%,C11:M11%,AD11,AE11,AG11,AF11,AD$6,AE$6,AG$6,AF$6,TRUE,,,"Actual/365 (Fixed)",0,FALSE)</f>
        <v>obj_00656#0003</v>
      </c>
      <c r="AI11" s="156">
        <f>_xll.qlSabrInterpolatedSmileSectionMaxError(AH11)</f>
        <v>3.0205439147026891E-4</v>
      </c>
      <c r="AJ11" s="157">
        <f>_xll.qlSabrInterpolatedSmileSectionAlpha(AH11)</f>
        <v>0.20653455433082585</v>
      </c>
      <c r="AK11" s="156">
        <f>_xll.qlSabrInterpolatedSmileSectionBeta(AH11)</f>
        <v>0.7</v>
      </c>
      <c r="AL11" s="158">
        <f>_xll.qlSabrInterpolatedSmileSectionRho(AH11)</f>
        <v>-4.0113914981432684E-3</v>
      </c>
      <c r="AM11" s="159">
        <f>_xll.qlSabrInterpolatedSmileSectionNu(AH11)</f>
        <v>1.8236659987768735</v>
      </c>
      <c r="AN11" s="105" t="s">
        <v>58</v>
      </c>
      <c r="AU11" s="297">
        <f>T11</f>
        <v>17.74441351828677</v>
      </c>
      <c r="AV11" s="266" t="str">
        <f>_xll.qlHestonModelHelper(,$B11,"TARGET",$C$38,Q11,C11/100,I_ValuationDate!$E$5,I_ValuationDate!$E$6,"RelativePriceError")</f>
        <v>obj_00533#0003</v>
      </c>
      <c r="AW11" s="267" t="str">
        <f>_xll.qlHestonModelHelper(,$B11,"TARGET",$C$38,R11,D11/100,I_ValuationDate!$E$5,I_ValuationDate!$E$6,"RelativePriceError")</f>
        <v>obj_0054d#0003</v>
      </c>
      <c r="AX11" s="267" t="str">
        <f>_xll.qlHestonModelHelper(,$B11,"TARGET",$C$38,S11,E11/100,I_ValuationDate!$E$5,I_ValuationDate!$E$6,"RelativePriceError")</f>
        <v>obj_004bb#0003</v>
      </c>
      <c r="AY11" s="267" t="str">
        <f>_xll.qlHestonModelHelper(,$B11,"TARGET",$C$38,T11,F11/100,I_ValuationDate!$E$5,I_ValuationDate!$E$6,"RelativePriceError")</f>
        <v>obj_00258#0003</v>
      </c>
      <c r="AZ11" s="267" t="str">
        <f>_xll.qlHestonModelHelper(,$B11,"TARGET",$C$38,U11,G11/100,I_ValuationDate!$E$5,I_ValuationDate!$E$6,"RelativePriceError")</f>
        <v>obj_00458#0003</v>
      </c>
      <c r="BA11" s="267" t="str">
        <f>_xll.qlHestonModelHelper(,$B11,"TARGET",$C$38,V11,H11/100,I_ValuationDate!$E$5,I_ValuationDate!$E$6,"RelativePriceError")</f>
        <v>obj_003e4#0003</v>
      </c>
      <c r="BB11" s="267" t="str">
        <f>_xll.qlHestonModelHelper(,$B11,"TARGET",$C$38,W11,I11/100,I_ValuationDate!$E$5,I_ValuationDate!$E$6,"RelativePriceError")</f>
        <v>obj_003ff#0003</v>
      </c>
      <c r="BC11" s="267" t="str">
        <f>_xll.qlHestonModelHelper(,$B11,"TARGET",$C$38,X11,J11/100,I_ValuationDate!$E$5,I_ValuationDate!$E$6,"RelativePriceError")</f>
        <v>obj_004d1#0003</v>
      </c>
      <c r="BD11" s="267" t="str">
        <f>_xll.qlHestonModelHelper(,$B11,"TARGET",$C$38,Y11,K11/100,I_ValuationDate!$E$5,I_ValuationDate!$E$6,"RelativePriceError")</f>
        <v>obj_0045e#0003</v>
      </c>
      <c r="BE11" s="267" t="str">
        <f>_xll.qlHestonModelHelper(,$B11,"TARGET",$C$38,Z11,L11/100,I_ValuationDate!$E$5,I_ValuationDate!$E$6,"RelativePriceError")</f>
        <v>obj_004fd#0003</v>
      </c>
      <c r="BF11" s="268" t="str">
        <f>_xll.qlHestonModelHelper(,$B11,"TARGET",$C$38,AA11,M11/100,I_ValuationDate!$E$5,I_ValuationDate!$E$6,"RelativePriceError")</f>
        <v>obj_00564#0003</v>
      </c>
    </row>
    <row r="12" spans="2:58">
      <c r="B12" s="105" t="s">
        <v>59</v>
      </c>
      <c r="C12" s="98">
        <v>8.6389999999999993</v>
      </c>
      <c r="D12" s="99">
        <v>8.3279999999999994</v>
      </c>
      <c r="E12" s="99">
        <v>8.08</v>
      </c>
      <c r="F12" s="99">
        <v>7.883</v>
      </c>
      <c r="G12" s="99">
        <v>7.72</v>
      </c>
      <c r="H12" s="99">
        <v>7.63</v>
      </c>
      <c r="I12" s="99">
        <v>7.6449999999999996</v>
      </c>
      <c r="J12" s="99">
        <v>7.7</v>
      </c>
      <c r="K12" s="99">
        <v>7.83</v>
      </c>
      <c r="L12" s="99">
        <v>8.0500000000000007</v>
      </c>
      <c r="M12" s="100">
        <v>8.3689999999999998</v>
      </c>
      <c r="O12" s="114">
        <f>_xll.qlCalendarAdvance("NullCalendar",$C$3,B12)</f>
        <v>43049</v>
      </c>
      <c r="P12" s="117">
        <f>(O12-$C$3)/365</f>
        <v>8.4931506849315067E-2</v>
      </c>
      <c r="Q12" s="125">
        <f>_xll.qlBlackDeltaCalculatorStrikeFromDelta(_xll.qlBlackDeltaCalculator(,Q$6,"Spot",$C$38,1,1,C12%*SQRT($P12)),Q$7)</f>
        <v>17.275283677246751</v>
      </c>
      <c r="R12" s="126">
        <f>_xll.qlBlackDeltaCalculatorStrikeFromDelta(_xll.qlBlackDeltaCalculator(,R$6,"Spot",$C$38,1,1,D12%*SQRT($P12)),R$7)</f>
        <v>17.453891661614865</v>
      </c>
      <c r="S12" s="126">
        <f>_xll.qlBlackDeltaCalculatorStrikeFromDelta(_xll.qlBlackDeltaCalculator(,S$6,"Spot",$C$38,1,1,E12%*SQRT($P12)),S$7)</f>
        <v>17.570889583595974</v>
      </c>
      <c r="T12" s="126">
        <f>_xll.qlBlackDeltaCalculatorStrikeFromDelta(_xll.qlBlackDeltaCalculator(,T$6,"Spot",$C$38,1,1,F12%*SQRT($P12)),T$7)</f>
        <v>17.727911184233115</v>
      </c>
      <c r="U12" s="126">
        <f>_xll.qlBlackDeltaCalculatorStrikeFromDelta(_xll.qlBlackDeltaCalculator(,U$6,"Spot",$C$38,1,1,G12%*SQRT($P12)),U$7)</f>
        <v>17.849147560898867</v>
      </c>
      <c r="V12" s="127">
        <f>_xll.qlBlackDeltaCalculatorAtmStrike(_xll.qlBlackDeltaCalculator(,V$6,"Spot",$C$38,1,1,H12%*SQRT($P12)),"AtmFwd")</f>
        <v>18</v>
      </c>
      <c r="W12" s="126">
        <f>_xll.qlBlackDeltaCalculatorStrikeFromDelta(_xll.qlBlackDeltaCalculator(,W$6,"Spot",$C$38,1,1,I12%*SQRT($P12)),W$7)</f>
        <v>18.159699550406643</v>
      </c>
      <c r="X12" s="126">
        <f>_xll.qlBlackDeltaCalculatorStrikeFromDelta(_xll.qlBlackDeltaCalculator(,X$6,"Spot",$C$38,1,1,J12%*SQRT($P12)),X$7)</f>
        <v>18.27911528825809</v>
      </c>
      <c r="Y12" s="126">
        <f>_xll.qlBlackDeltaCalculatorStrikeFromDelta(_xll.qlBlackDeltaCalculator(,Y$6,"Spot",$C$38,1,1,K12%*SQRT($P12)),Y$7)</f>
        <v>18.43557940475403</v>
      </c>
      <c r="Z12" s="126">
        <f>_xll.qlBlackDeltaCalculatorStrikeFromDelta(_xll.qlBlackDeltaCalculator(,Z$6,"Spot",$C$38,1,1,L12%*SQRT($P12)),Z$7)</f>
        <v>18.554499209539934</v>
      </c>
      <c r="AA12" s="128">
        <f>_xll.qlBlackDeltaCalculatorStrikeFromDelta(_xll.qlBlackDeltaCalculator(,AA$6,"Spot",$C$38,1,1,M12%*SQRT($P12)),AA$7)</f>
        <v>18.742371493874959</v>
      </c>
      <c r="AC12" s="140">
        <f>$C$38</f>
        <v>18</v>
      </c>
      <c r="AD12" s="144">
        <v>6.4987701435258338E-2</v>
      </c>
      <c r="AE12" s="145">
        <v>0.7</v>
      </c>
      <c r="AF12" s="145">
        <v>0.23622746263824057</v>
      </c>
      <c r="AG12" s="146">
        <v>1.666236479944659</v>
      </c>
      <c r="AH12" s="155" t="str">
        <f t="array" ref="AH12">_xll.qlSabrInterpolatedSmileSection(,O12,AC12,Q12:AA12,FALSE,H12%,C12:M12%,AD12,AE12,AG12,AF12,AD$6,AE$6,AG$6,AF$6,TRUE,,,"Actual/365 (Fixed)",0,FALSE)</f>
        <v>obj_0062b#0003</v>
      </c>
      <c r="AI12" s="156">
        <f>_xll.qlSabrInterpolatedSmileSectionMaxError(AH12)</f>
        <v>5.2724489512910588E-4</v>
      </c>
      <c r="AJ12" s="157">
        <f>_xll.qlSabrInterpolatedSmileSectionAlpha(AH12)</f>
        <v>0.17825098864818323</v>
      </c>
      <c r="AK12" s="156">
        <f>_xll.qlSabrInterpolatedSmileSectionBeta(AH12)</f>
        <v>0.7</v>
      </c>
      <c r="AL12" s="158">
        <f>_xll.qlSabrInterpolatedSmileSectionRho(AH12)</f>
        <v>-4.4945317173656879E-2</v>
      </c>
      <c r="AM12" s="159">
        <f>_xll.qlSabrInterpolatedSmileSectionNu(AH12)</f>
        <v>1.6731295123136696</v>
      </c>
      <c r="AN12" s="105" t="s">
        <v>59</v>
      </c>
      <c r="AU12" s="297">
        <f>T12</f>
        <v>17.727911184233115</v>
      </c>
      <c r="AV12" s="266" t="str">
        <f>_xll.qlHestonModelHelper(,$B12,"TARGET",$C$38,Q12,C12/100,I_ValuationDate!$E$5,I_ValuationDate!$E$6,"RelativePriceError")</f>
        <v>obj_005ba#0003</v>
      </c>
      <c r="AW12" s="267" t="str">
        <f>_xll.qlHestonModelHelper(,$B12,"TARGET",$C$38,R12,D12/100,I_ValuationDate!$E$5,I_ValuationDate!$E$6,"RelativePriceError")</f>
        <v>obj_004f7#0003</v>
      </c>
      <c r="AX12" s="267" t="str">
        <f>_xll.qlHestonModelHelper(,$B12,"TARGET",$C$38,S12,E12/100,I_ValuationDate!$E$5,I_ValuationDate!$E$6,"RelativePriceError")</f>
        <v>obj_003a9#0003</v>
      </c>
      <c r="AY12" s="267" t="str">
        <f>_xll.qlHestonModelHelper(,$B12,"TARGET",$C$38,T12,F12/100,I_ValuationDate!$E$5,I_ValuationDate!$E$6,"RelativePriceError")</f>
        <v>obj_0025c#0003</v>
      </c>
      <c r="AZ12" s="267" t="str">
        <f>_xll.qlHestonModelHelper(,$B12,"TARGET",$C$38,U12,G12/100,I_ValuationDate!$E$5,I_ValuationDate!$E$6,"RelativePriceError")</f>
        <v>obj_00407#0003</v>
      </c>
      <c r="BA12" s="267" t="str">
        <f>_xll.qlHestonModelHelper(,$B12,"TARGET",$C$38,V12,H12/100,I_ValuationDate!$E$5,I_ValuationDate!$E$6,"RelativePriceError")</f>
        <v>obj_00552#0003</v>
      </c>
      <c r="BB12" s="267" t="str">
        <f>_xll.qlHestonModelHelper(,$B12,"TARGET",$C$38,W12,I12/100,I_ValuationDate!$E$5,I_ValuationDate!$E$6,"RelativePriceError")</f>
        <v>obj_0060a#0003</v>
      </c>
      <c r="BC12" s="267" t="str">
        <f>_xll.qlHestonModelHelper(,$B12,"TARGET",$C$38,X12,J12/100,I_ValuationDate!$E$5,I_ValuationDate!$E$6,"RelativePriceError")</f>
        <v>obj_005ae#0003</v>
      </c>
      <c r="BD12" s="267" t="str">
        <f>_xll.qlHestonModelHelper(,$B12,"TARGET",$C$38,Y12,K12/100,I_ValuationDate!$E$5,I_ValuationDate!$E$6,"RelativePriceError")</f>
        <v>obj_003dd#0003</v>
      </c>
      <c r="BE12" s="267" t="str">
        <f>_xll.qlHestonModelHelper(,$B12,"TARGET",$C$38,Z12,L12/100,I_ValuationDate!$E$5,I_ValuationDate!$E$6,"RelativePriceError")</f>
        <v>obj_00426#0003</v>
      </c>
      <c r="BF12" s="268" t="str">
        <f>_xll.qlHestonModelHelper(,$B12,"TARGET",$C$38,AA12,M12/100,I_ValuationDate!$E$5,I_ValuationDate!$E$6,"RelativePriceError")</f>
        <v>obj_003b3#0003</v>
      </c>
    </row>
    <row r="13" spans="2:58">
      <c r="B13" s="105" t="s">
        <v>60</v>
      </c>
      <c r="C13" s="98">
        <v>9.0289999999999999</v>
      </c>
      <c r="D13" s="99">
        <v>8.6120000000000001</v>
      </c>
      <c r="E13" s="99">
        <v>8.2899999999999991</v>
      </c>
      <c r="F13" s="99">
        <v>8.0039999999999996</v>
      </c>
      <c r="G13" s="99">
        <v>7.7789999999999999</v>
      </c>
      <c r="H13" s="99">
        <v>7.6120000000000001</v>
      </c>
      <c r="I13" s="99">
        <v>7.6210000000000004</v>
      </c>
      <c r="J13" s="99">
        <v>7.726</v>
      </c>
      <c r="K13" s="99">
        <v>7.88</v>
      </c>
      <c r="L13" s="99">
        <v>8.11</v>
      </c>
      <c r="M13" s="100">
        <v>8.4280000000000008</v>
      </c>
      <c r="O13" s="114">
        <f>_xll.qlCalendarAdvance("NullCalendar",$C$3,B13)</f>
        <v>43079</v>
      </c>
      <c r="P13" s="117">
        <f>(O13-$C$3)/365</f>
        <v>0.16712328767123288</v>
      </c>
      <c r="Q13" s="125">
        <f>_xll.qlBlackDeltaCalculatorStrikeFromDelta(_xll.qlBlackDeltaCalculator(,Q$6,"Spot",$C$38,1,1,C13%*SQRT($P13)),Q$7)</f>
        <v>16.951214085024898</v>
      </c>
      <c r="R13" s="126">
        <f>_xll.qlBlackDeltaCalculatorStrikeFromDelta(_xll.qlBlackDeltaCalculator(,R$6,"Spot",$C$38,1,1,D13%*SQRT($P13)),R$7)</f>
        <v>17.216575240253409</v>
      </c>
      <c r="S13" s="126">
        <f>_xll.qlBlackDeltaCalculatorStrikeFromDelta(_xll.qlBlackDeltaCalculator(,S$6,"Spot",$C$38,1,1,E13%*SQRT($P13)),S$7)</f>
        <v>17.388710662214809</v>
      </c>
      <c r="T13" s="126">
        <f>_xll.qlBlackDeltaCalculatorStrikeFromDelta(_xll.qlBlackDeltaCalculator(,T$6,"Spot",$C$38,1,1,F13%*SQRT($P13)),T$7)</f>
        <v>17.616521074864149</v>
      </c>
      <c r="U13" s="126">
        <f>_xll.qlBlackDeltaCalculatorStrikeFromDelta(_xll.qlBlackDeltaCalculator(,U$6,"Spot",$C$38,1,1,G13%*SQRT($P13)),U$7)</f>
        <v>17.789773953884833</v>
      </c>
      <c r="V13" s="127">
        <f>_xll.qlBlackDeltaCalculatorAtmStrike(_xll.qlBlackDeltaCalculator(,V$6,"Spot",$C$38,1,1,H13%*SQRT($P13)),"AtmFwd")</f>
        <v>18</v>
      </c>
      <c r="W13" s="126">
        <f>_xll.qlBlackDeltaCalculatorStrikeFromDelta(_xll.qlBlackDeltaCalculator(,W$6,"Spot",$C$38,1,1,I13%*SQRT($P13)),W$7)</f>
        <v>18.226230895160366</v>
      </c>
      <c r="X13" s="126">
        <f>_xll.qlBlackDeltaCalculatorStrikeFromDelta(_xll.qlBlackDeltaCalculator(,X$6,"Spot",$C$38,1,1,J13%*SQRT($P13)),X$7)</f>
        <v>18.396748329504472</v>
      </c>
      <c r="Y13" s="126">
        <f>_xll.qlBlackDeltaCalculatorStrikeFromDelta(_xll.qlBlackDeltaCalculator(,Y$6,"Spot",$C$38,1,1,K13%*SQRT($P13)),Y$7)</f>
        <v>18.620782541121013</v>
      </c>
      <c r="Z13" s="126">
        <f>_xll.qlBlackDeltaCalculatorStrikeFromDelta(_xll.qlBlackDeltaCalculator(,Z$6,"Spot",$C$38,1,1,L13%*SQRT($P13)),Z$7)</f>
        <v>18.791605500550212</v>
      </c>
      <c r="AA13" s="128">
        <f>_xll.qlBlackDeltaCalculatorStrikeFromDelta(_xll.qlBlackDeltaCalculator(,AA$6,"Spot",$C$38,1,1,M13%*SQRT($P13)),AA$7)</f>
        <v>19.060869795183258</v>
      </c>
      <c r="AC13" s="140">
        <f>$C$38</f>
        <v>18</v>
      </c>
      <c r="AD13" s="144">
        <v>6.648245675140757E-2</v>
      </c>
      <c r="AE13" s="145">
        <v>0.7</v>
      </c>
      <c r="AF13" s="145">
        <v>0.23413014857513628</v>
      </c>
      <c r="AG13" s="146">
        <v>1.2438278243420586</v>
      </c>
      <c r="AH13" s="155" t="str">
        <f t="array" ref="AH13">_xll.qlSabrInterpolatedSmileSection(,O13,AC13,Q13:AA13,FALSE,H13%,C13:M13%,AD13,AE13,AG13,AF13,AD$6,AE$6,AG$6,AF$6,TRUE,,,"Actual/365 (Fixed)",0,FALSE)</f>
        <v>obj_00628#0003</v>
      </c>
      <c r="AI13" s="156">
        <f>_xll.qlSabrInterpolatedSmileSectionMaxError(AH13)</f>
        <v>7.4467699196072157E-4</v>
      </c>
      <c r="AJ13" s="157">
        <f>_xll.qlSabrInterpolatedSmileSectionAlpha(AH13)</f>
        <v>0.17766316725625594</v>
      </c>
      <c r="AK13" s="156">
        <f>_xll.qlSabrInterpolatedSmileSectionBeta(AH13)</f>
        <v>0.7</v>
      </c>
      <c r="AL13" s="158">
        <f>_xll.qlSabrInterpolatedSmileSectionRho(AH13)</f>
        <v>-7.5167527716899898E-2</v>
      </c>
      <c r="AM13" s="159">
        <f>_xll.qlSabrInterpolatedSmileSectionNu(AH13)</f>
        <v>1.3428704760724526</v>
      </c>
      <c r="AN13" s="105" t="s">
        <v>60</v>
      </c>
      <c r="AU13" s="297">
        <f>T13</f>
        <v>17.616521074864149</v>
      </c>
      <c r="AV13" s="266" t="str">
        <f>_xll.qlHestonModelHelper(,$B13,"TARGET",$C$38,Q13,C13/100,I_ValuationDate!$E$5,I_ValuationDate!$E$6,"RelativePriceError")</f>
        <v>obj_003de#0003</v>
      </c>
      <c r="AW13" s="267" t="str">
        <f>_xll.qlHestonModelHelper(,$B13,"TARGET",$C$38,R13,D13/100,I_ValuationDate!$E$5,I_ValuationDate!$E$6,"RelativePriceError")</f>
        <v>obj_004a1#0003</v>
      </c>
      <c r="AX13" s="267" t="str">
        <f>_xll.qlHestonModelHelper(,$B13,"TARGET",$C$38,S13,E13/100,I_ValuationDate!$E$5,I_ValuationDate!$E$6,"RelativePriceError")</f>
        <v>obj_0039e#0003</v>
      </c>
      <c r="AY13" s="267" t="str">
        <f>_xll.qlHestonModelHelper(,$B13,"TARGET",$C$38,T13,F13/100,I_ValuationDate!$E$5,I_ValuationDate!$E$6,"RelativePriceError")</f>
        <v>obj_0025f#0003</v>
      </c>
      <c r="AZ13" s="267" t="str">
        <f>_xll.qlHestonModelHelper(,$B13,"TARGET",$C$38,U13,G13/100,I_ValuationDate!$E$5,I_ValuationDate!$E$6,"RelativePriceError")</f>
        <v>obj_00436#0003</v>
      </c>
      <c r="BA13" s="267" t="str">
        <f>_xll.qlHestonModelHelper(,$B13,"TARGET",$C$38,V13,H13/100,I_ValuationDate!$E$5,I_ValuationDate!$E$6,"RelativePriceError")</f>
        <v>obj_005f3#0003</v>
      </c>
      <c r="BB13" s="267" t="str">
        <f>_xll.qlHestonModelHelper(,$B13,"TARGET",$C$38,W13,I13/100,I_ValuationDate!$E$5,I_ValuationDate!$E$6,"RelativePriceError")</f>
        <v>obj_00417#0003</v>
      </c>
      <c r="BC13" s="267" t="str">
        <f>_xll.qlHestonModelHelper(,$B13,"TARGET",$C$38,X13,J13/100,I_ValuationDate!$E$5,I_ValuationDate!$E$6,"RelativePriceError")</f>
        <v>obj_0047a#0003</v>
      </c>
      <c r="BD13" s="267" t="str">
        <f>_xll.qlHestonModelHelper(,$B13,"TARGET",$C$38,Y13,K13/100,I_ValuationDate!$E$5,I_ValuationDate!$E$6,"RelativePriceError")</f>
        <v>obj_0049d#0003</v>
      </c>
      <c r="BE13" s="267" t="str">
        <f>_xll.qlHestonModelHelper(,$B13,"TARGET",$C$38,Z13,L13/100,I_ValuationDate!$E$5,I_ValuationDate!$E$6,"RelativePriceError")</f>
        <v>obj_00540#0003</v>
      </c>
      <c r="BF13" s="268" t="str">
        <f>_xll.qlHestonModelHelper(,$B13,"TARGET",$C$38,AA13,M13/100,I_ValuationDate!$E$5,I_ValuationDate!$E$6,"RelativePriceError")</f>
        <v>obj_0057a#0003</v>
      </c>
    </row>
    <row r="14" spans="2:58">
      <c r="B14" s="105" t="s">
        <v>61</v>
      </c>
      <c r="C14" s="98">
        <v>9.4860000000000007</v>
      </c>
      <c r="D14" s="99">
        <v>8.9740000000000002</v>
      </c>
      <c r="E14" s="99">
        <v>8.58</v>
      </c>
      <c r="F14" s="99">
        <v>8.2050000000000001</v>
      </c>
      <c r="G14" s="99">
        <v>7.9059999999999997</v>
      </c>
      <c r="H14" s="99">
        <v>7.7</v>
      </c>
      <c r="I14" s="99">
        <v>7.6580000000000004</v>
      </c>
      <c r="J14" s="99">
        <v>7.7649999999999997</v>
      </c>
      <c r="K14" s="99">
        <v>7.95</v>
      </c>
      <c r="L14" s="99">
        <v>8.2010000000000005</v>
      </c>
      <c r="M14" s="100">
        <v>8.5210000000000008</v>
      </c>
      <c r="O14" s="114">
        <f>_xll.qlCalendarAdvance("NullCalendar",$C$3,B14)</f>
        <v>43110</v>
      </c>
      <c r="P14" s="117">
        <f>(O14-$C$3)/365</f>
        <v>0.25205479452054796</v>
      </c>
      <c r="Q14" s="125">
        <f>_xll.qlBlackDeltaCalculatorStrikeFromDelta(_xll.qlBlackDeltaCalculator(,Q$6,"Spot",$C$38,1,1,C14%*SQRT($P14)),Q$7)</f>
        <v>16.662662579907831</v>
      </c>
      <c r="R14" s="126">
        <f>_xll.qlBlackDeltaCalculatorStrikeFromDelta(_xll.qlBlackDeltaCalculator(,R$6,"Spot",$C$38,1,1,D14%*SQRT($P14)),R$7)</f>
        <v>17.007384644071056</v>
      </c>
      <c r="S14" s="126">
        <f>_xll.qlBlackDeltaCalculatorStrikeFromDelta(_xll.qlBlackDeltaCalculator(,S$6,"Spot",$C$38,1,1,E14%*SQRT($P14)),S$7)</f>
        <v>17.230036743459817</v>
      </c>
      <c r="T14" s="126">
        <f>_xll.qlBlackDeltaCalculatorStrikeFromDelta(_xll.qlBlackDeltaCalculator(,T$6,"Spot",$C$38,1,1,F14%*SQRT($P14)),T$7)</f>
        <v>17.521623983947855</v>
      </c>
      <c r="U14" s="126">
        <f>_xll.qlBlackDeltaCalculatorStrikeFromDelta(_xll.qlBlackDeltaCalculator(,U$6,"Spot",$C$38,1,1,G14%*SQRT($P14)),U$7)</f>
        <v>17.740768640426076</v>
      </c>
      <c r="V14" s="127">
        <f>_xll.qlBlackDeltaCalculatorAtmStrike(_xll.qlBlackDeltaCalculator(,V$6,"Spot",$C$38,1,1,H14%*SQRT($P14)),"AtmFwd")</f>
        <v>18</v>
      </c>
      <c r="W14" s="126">
        <f>_xll.qlBlackDeltaCalculatorStrikeFromDelta(_xll.qlBlackDeltaCalculator(,W$6,"Spot",$C$38,1,1,I14%*SQRT($P14)),W$7)</f>
        <v>18.28215183278941</v>
      </c>
      <c r="X14" s="126">
        <f>_xll.qlBlackDeltaCalculatorStrikeFromDelta(_xll.qlBlackDeltaCalculator(,X$6,"Spot",$C$38,1,1,J14%*SQRT($P14)),X$7)</f>
        <v>18.493625503345843</v>
      </c>
      <c r="Y14" s="126">
        <f>_xll.qlBlackDeltaCalculatorStrikeFromDelta(_xll.qlBlackDeltaCalculator(,Y$6,"Spot",$C$38,1,1,K14%*SQRT($P14)),Y$7)</f>
        <v>18.7751741106777</v>
      </c>
      <c r="Z14" s="126">
        <f>_xll.qlBlackDeltaCalculatorStrikeFromDelta(_xll.qlBlackDeltaCalculator(,Z$6,"Spot",$C$38,1,1,L14%*SQRT($P14)),Z$7)</f>
        <v>18.991374677616577</v>
      </c>
      <c r="AA14" s="128">
        <f>_xll.qlBlackDeltaCalculatorStrikeFromDelta(_xll.qlBlackDeltaCalculator(,AA$6,"Spot",$C$38,1,1,M14%*SQRT($P14)),AA$7)</f>
        <v>19.329901659784561</v>
      </c>
      <c r="AC14" s="140">
        <f>$C$38</f>
        <v>18</v>
      </c>
      <c r="AD14" s="144">
        <v>6.6335096159272133E-2</v>
      </c>
      <c r="AE14" s="145">
        <v>0.7</v>
      </c>
      <c r="AF14" s="145">
        <v>0.22030508891792794</v>
      </c>
      <c r="AG14" s="146">
        <v>1.0756510289345638</v>
      </c>
      <c r="AH14" s="155" t="str">
        <f t="array" ref="AH14">_xll.qlSabrInterpolatedSmileSection(,O14,AC14,Q14:AA14,FALSE,H14%,C14:M14%,AD14,AE14,AG14,AF14,AD$6,AE$6,AG$6,AF$6,TRUE,,,"Actual/365 (Fixed)",0,FALSE)</f>
        <v>obj_00647#0003</v>
      </c>
      <c r="AI14" s="156">
        <f>_xll.qlSabrInterpolatedSmileSectionMaxError(AH14)</f>
        <v>1.0364498109539239E-3</v>
      </c>
      <c r="AJ14" s="157">
        <f>_xll.qlSabrInterpolatedSmileSectionAlpha(AH14)</f>
        <v>0.17897298402279918</v>
      </c>
      <c r="AK14" s="156">
        <f>_xll.qlSabrInterpolatedSmileSectionBeta(AH14)</f>
        <v>0.7</v>
      </c>
      <c r="AL14" s="158">
        <f>_xll.qlSabrInterpolatedSmileSectionRho(AH14)</f>
        <v>-0.11096313898734438</v>
      </c>
      <c r="AM14" s="159">
        <f>_xll.qlSabrInterpolatedSmileSectionNu(AH14)</f>
        <v>1.1811949123392183</v>
      </c>
      <c r="AN14" s="105" t="s">
        <v>61</v>
      </c>
      <c r="AU14" s="297">
        <f>T14</f>
        <v>17.521623983947855</v>
      </c>
      <c r="AV14" s="266" t="str">
        <f>_xll.qlHestonModelHelper(,$B14,"TARGET",$C$38,Q14,C14/100,I_ValuationDate!$E$5,I_ValuationDate!$E$6,"RelativePriceError")</f>
        <v>obj_0054e#0003</v>
      </c>
      <c r="AW14" s="267" t="str">
        <f>_xll.qlHestonModelHelper(,$B14,"TARGET",$C$38,R14,D14/100,I_ValuationDate!$E$5,I_ValuationDate!$E$6,"RelativePriceError")</f>
        <v>obj_0042f#0003</v>
      </c>
      <c r="AX14" s="267" t="str">
        <f>_xll.qlHestonModelHelper(,$B14,"TARGET",$C$38,S14,E14/100,I_ValuationDate!$E$5,I_ValuationDate!$E$6,"RelativePriceError")</f>
        <v>obj_00519#0003</v>
      </c>
      <c r="AY14" s="267" t="str">
        <f>_xll.qlHestonModelHelper(,$B14,"TARGET",$C$38,T14,F14/100,I_ValuationDate!$E$5,I_ValuationDate!$E$6,"RelativePriceError")</f>
        <v>obj_0016c#0003</v>
      </c>
      <c r="AZ14" s="267" t="str">
        <f>_xll.qlHestonModelHelper(,$B14,"TARGET",$C$38,U14,G14/100,I_ValuationDate!$E$5,I_ValuationDate!$E$6,"RelativePriceError")</f>
        <v>obj_004e3#0003</v>
      </c>
      <c r="BA14" s="267" t="str">
        <f>_xll.qlHestonModelHelper(,$B14,"TARGET",$C$38,V14,H14/100,I_ValuationDate!$E$5,I_ValuationDate!$E$6,"RelativePriceError")</f>
        <v>obj_00594#0003</v>
      </c>
      <c r="BB14" s="267" t="str">
        <f>_xll.qlHestonModelHelper(,$B14,"TARGET",$C$38,W14,I14/100,I_ValuationDate!$E$5,I_ValuationDate!$E$6,"RelativePriceError")</f>
        <v>obj_0040f#0003</v>
      </c>
      <c r="BC14" s="267" t="str">
        <f>_xll.qlHestonModelHelper(,$B14,"TARGET",$C$38,X14,J14/100,I_ValuationDate!$E$5,I_ValuationDate!$E$6,"RelativePriceError")</f>
        <v>obj_00505#0003</v>
      </c>
      <c r="BD14" s="267" t="str">
        <f>_xll.qlHestonModelHelper(,$B14,"TARGET",$C$38,Y14,K14/100,I_ValuationDate!$E$5,I_ValuationDate!$E$6,"RelativePriceError")</f>
        <v>obj_00550#0003</v>
      </c>
      <c r="BE14" s="267" t="str">
        <f>_xll.qlHestonModelHelper(,$B14,"TARGET",$C$38,Z14,L14/100,I_ValuationDate!$E$5,I_ValuationDate!$E$6,"RelativePriceError")</f>
        <v>obj_005f0#0003</v>
      </c>
      <c r="BF14" s="268" t="str">
        <f>_xll.qlHestonModelHelper(,$B14,"TARGET",$C$38,AA14,M14/100,I_ValuationDate!$E$5,I_ValuationDate!$E$6,"RelativePriceError")</f>
        <v>obj_00567#0003</v>
      </c>
    </row>
    <row r="15" spans="2:58">
      <c r="B15" s="105" t="s">
        <v>62</v>
      </c>
      <c r="C15" s="98">
        <v>9.9499999999999993</v>
      </c>
      <c r="D15" s="99">
        <v>9.34</v>
      </c>
      <c r="E15" s="99">
        <v>8.8000000000000007</v>
      </c>
      <c r="F15" s="99">
        <v>8.375</v>
      </c>
      <c r="G15" s="99">
        <v>8</v>
      </c>
      <c r="H15" s="99">
        <v>7.7930000000000001</v>
      </c>
      <c r="I15" s="99">
        <v>7.7409999999999997</v>
      </c>
      <c r="J15" s="99">
        <v>7.8250000000000002</v>
      </c>
      <c r="K15" s="99">
        <v>8.02</v>
      </c>
      <c r="L15" s="99">
        <v>8.2539999999999996</v>
      </c>
      <c r="M15" s="100">
        <v>8.5760000000000005</v>
      </c>
      <c r="O15" s="114">
        <f>_xll.qlCalendarAdvance("NullCalendar",$C$3,B15)</f>
        <v>43141</v>
      </c>
      <c r="P15" s="117">
        <f>(O15-$C$3)/365</f>
        <v>0.33698630136986302</v>
      </c>
      <c r="Q15" s="125">
        <f>_xll.qlBlackDeltaCalculatorStrikeFromDelta(_xll.qlBlackDeltaCalculator(,Q$6,"Spot",$C$38,1,1,C15%*SQRT($P15)),Q$7)</f>
        <v>16.395922813616306</v>
      </c>
      <c r="R15" s="126">
        <f>_xll.qlBlackDeltaCalculatorStrikeFromDelta(_xll.qlBlackDeltaCalculator(,R$6,"Spot",$C$38,1,1,D15%*SQRT($P15)),R$7)</f>
        <v>16.816439242993894</v>
      </c>
      <c r="S15" s="126">
        <f>_xll.qlBlackDeltaCalculatorStrikeFromDelta(_xll.qlBlackDeltaCalculator(,S$6,"Spot",$C$38,1,1,E15%*SQRT($P15)),S$7)</f>
        <v>17.094058212007322</v>
      </c>
      <c r="T15" s="126">
        <f>_xll.qlBlackDeltaCalculatorStrikeFromDelta(_xll.qlBlackDeltaCalculator(,T$6,"Spot",$C$38,1,1,F15%*SQRT($P15)),T$7)</f>
        <v>17.439917728760097</v>
      </c>
      <c r="U15" s="126">
        <f>_xll.qlBlackDeltaCalculatorStrikeFromDelta(_xll.qlBlackDeltaCalculator(,U$6,"Spot",$C$38,1,1,G15%*SQRT($P15)),U$7)</f>
        <v>17.699841255754805</v>
      </c>
      <c r="V15" s="127">
        <f>_xll.qlBlackDeltaCalculatorAtmStrike(_xll.qlBlackDeltaCalculator(,V$6,"Spot",$C$38,1,1,H15%*SQRT($P15)),"AtmFwd")</f>
        <v>18</v>
      </c>
      <c r="W15" s="126">
        <f>_xll.qlBlackDeltaCalculatorStrikeFromDelta(_xll.qlBlackDeltaCalculator(,W$6,"Spot",$C$38,1,1,I15%*SQRT($P15)),W$7)</f>
        <v>18.332886642154268</v>
      </c>
      <c r="X15" s="126">
        <f>_xll.qlBlackDeltaCalculatorStrikeFromDelta(_xll.qlBlackDeltaCalculator(,X$6,"Spot",$C$38,1,1,J15%*SQRT($P15)),X$7)</f>
        <v>18.579184363727382</v>
      </c>
      <c r="Y15" s="126">
        <f>_xll.qlBlackDeltaCalculatorStrikeFromDelta(_xll.qlBlackDeltaCalculator(,Y$6,"Spot",$C$38,1,1,K15%*SQRT($P15)),Y$7)</f>
        <v>18.910328275460376</v>
      </c>
      <c r="Z15" s="126">
        <f>_xll.qlBlackDeltaCalculatorStrikeFromDelta(_xll.qlBlackDeltaCalculator(,Z$6,"Spot",$C$38,1,1,L15%*SQRT($P15)),Z$7)</f>
        <v>19.161922218014542</v>
      </c>
      <c r="AA15" s="128">
        <f>_xll.qlBlackDeltaCalculatorStrikeFromDelta(_xll.qlBlackDeltaCalculator(,AA$6,"Spot",$C$38,1,1,M15%*SQRT($P15)),AA$7)</f>
        <v>19.560233248611016</v>
      </c>
      <c r="AC15" s="140">
        <f>$C$38</f>
        <v>18</v>
      </c>
      <c r="AD15" s="144">
        <v>6.8692845709085362E-2</v>
      </c>
      <c r="AE15" s="145">
        <v>0.7</v>
      </c>
      <c r="AF15" s="145">
        <v>0.1641956171987218</v>
      </c>
      <c r="AG15" s="146">
        <v>0.99276937706996249</v>
      </c>
      <c r="AH15" s="155" t="str">
        <f t="array" ref="AH15">_xll.qlSabrInterpolatedSmileSection(,O15,AC15,Q15:AA15,FALSE,H15%,C15:M15%,AD15,AE15,AG15,AF15,AD$6,AE$6,AG$6,AF$6,TRUE,,,"Actual/365 (Fixed)",0,FALSE)</f>
        <v>obj_00649#0003</v>
      </c>
      <c r="AI15" s="156">
        <f>_xll.qlSabrInterpolatedSmileSectionMaxError(AH15)</f>
        <v>8.2215251820116908E-4</v>
      </c>
      <c r="AJ15" s="157">
        <f>_xll.qlSabrInterpolatedSmileSectionAlpha(AH15)</f>
        <v>0.18052996819986336</v>
      </c>
      <c r="AK15" s="156">
        <f>_xll.qlSabrInterpolatedSmileSectionBeta(AH15)</f>
        <v>0.7</v>
      </c>
      <c r="AL15" s="158">
        <f>_xll.qlSabrInterpolatedSmileSectionRho(AH15)</f>
        <v>-0.13798838327203386</v>
      </c>
      <c r="AM15" s="159">
        <f>_xll.qlSabrInterpolatedSmileSectionNu(AH15)</f>
        <v>1.0763284359944505</v>
      </c>
      <c r="AN15" s="105" t="s">
        <v>62</v>
      </c>
      <c r="AU15" s="297">
        <f>T15</f>
        <v>17.439917728760097</v>
      </c>
      <c r="AV15" s="266" t="str">
        <f>_xll.qlHestonModelHelper(,$B15,"TARGET",$C$38,Q15,C15/100,I_ValuationDate!$E$5,I_ValuationDate!$E$6,"RelativePriceError")</f>
        <v>obj_003ab#0003</v>
      </c>
      <c r="AW15" s="267" t="str">
        <f>_xll.qlHestonModelHelper(,$B15,"TARGET",$C$38,R15,D15/100,I_ValuationDate!$E$5,I_ValuationDate!$E$6,"RelativePriceError")</f>
        <v>obj_004d5#0003</v>
      </c>
      <c r="AX15" s="267" t="str">
        <f>_xll.qlHestonModelHelper(,$B15,"TARGET",$C$38,S15,E15/100,I_ValuationDate!$E$5,I_ValuationDate!$E$6,"RelativePriceError")</f>
        <v>obj_003fc#0003</v>
      </c>
      <c r="AY15" s="267" t="str">
        <f>_xll.qlHestonModelHelper(,$B15,"TARGET",$C$38,T15,F15/100,I_ValuationDate!$E$5,I_ValuationDate!$E$6,"RelativePriceError")</f>
        <v>obj_001a1#0003</v>
      </c>
      <c r="AZ15" s="267" t="str">
        <f>_xll.qlHestonModelHelper(,$B15,"TARGET",$C$38,U15,G15/100,I_ValuationDate!$E$5,I_ValuationDate!$E$6,"RelativePriceError")</f>
        <v>obj_004c3#0003</v>
      </c>
      <c r="BA15" s="267" t="str">
        <f>_xll.qlHestonModelHelper(,$B15,"TARGET",$C$38,V15,H15/100,I_ValuationDate!$E$5,I_ValuationDate!$E$6,"RelativePriceError")</f>
        <v>obj_00415#0003</v>
      </c>
      <c r="BB15" s="267" t="str">
        <f>_xll.qlHestonModelHelper(,$B15,"TARGET",$C$38,W15,I15/100,I_ValuationDate!$E$5,I_ValuationDate!$E$6,"RelativePriceError")</f>
        <v>obj_0051d#0003</v>
      </c>
      <c r="BC15" s="267" t="str">
        <f>_xll.qlHestonModelHelper(,$B15,"TARGET",$C$38,X15,J15/100,I_ValuationDate!$E$5,I_ValuationDate!$E$6,"RelativePriceError")</f>
        <v>obj_00471#0003</v>
      </c>
      <c r="BD15" s="267" t="str">
        <f>_xll.qlHestonModelHelper(,$B15,"TARGET",$C$38,Y15,K15/100,I_ValuationDate!$E$5,I_ValuationDate!$E$6,"RelativePriceError")</f>
        <v>obj_00608#0003</v>
      </c>
      <c r="BE15" s="267" t="str">
        <f>_xll.qlHestonModelHelper(,$B15,"TARGET",$C$38,Z15,L15/100,I_ValuationDate!$E$5,I_ValuationDate!$E$6,"RelativePriceError")</f>
        <v>obj_00409#0003</v>
      </c>
      <c r="BF15" s="268" t="str">
        <f>_xll.qlHestonModelHelper(,$B15,"TARGET",$C$38,AA15,M15/100,I_ValuationDate!$E$5,I_ValuationDate!$E$6,"RelativePriceError")</f>
        <v>obj_00428#0003</v>
      </c>
    </row>
    <row r="16" spans="2:58">
      <c r="B16" s="105" t="s">
        <v>63</v>
      </c>
      <c r="C16" s="98">
        <v>10.5</v>
      </c>
      <c r="D16" s="99">
        <v>9.65</v>
      </c>
      <c r="E16" s="99">
        <v>9.02</v>
      </c>
      <c r="F16" s="99">
        <v>8.5</v>
      </c>
      <c r="G16" s="99">
        <v>8.11</v>
      </c>
      <c r="H16" s="99">
        <v>7.8890000000000002</v>
      </c>
      <c r="I16" s="99">
        <v>7.8150000000000004</v>
      </c>
      <c r="J16" s="99">
        <v>7.8920000000000003</v>
      </c>
      <c r="K16" s="99">
        <v>8.1</v>
      </c>
      <c r="L16" s="99">
        <v>8.3800000000000008</v>
      </c>
      <c r="M16" s="100">
        <v>8.6999999999999993</v>
      </c>
      <c r="O16" s="114">
        <f>_xll.qlCalendarAdvance("NullCalendar",$C$3,B16)</f>
        <v>43169</v>
      </c>
      <c r="P16" s="117">
        <f>(O16-$C$3)/365</f>
        <v>0.41369863013698632</v>
      </c>
      <c r="Q16" s="125">
        <f>_xll.qlBlackDeltaCalculatorStrikeFromDelta(_xll.qlBlackDeltaCalculator(,Q$6,"Spot",$C$38,1,1,C16%*SQRT($P16)),Q$7)</f>
        <v>16.144290517881938</v>
      </c>
      <c r="R16" s="126">
        <f>_xll.qlBlackDeltaCalculatorStrikeFromDelta(_xll.qlBlackDeltaCalculator(,R$6,"Spot",$C$38,1,1,D16%*SQRT($P16)),R$7)</f>
        <v>16.655730881536204</v>
      </c>
      <c r="S16" s="126">
        <f>_xll.qlBlackDeltaCalculatorStrikeFromDelta(_xll.qlBlackDeltaCalculator(,S$6,"Spot",$C$38,1,1,E16%*SQRT($P16)),S$7)</f>
        <v>16.978109916007725</v>
      </c>
      <c r="T16" s="126">
        <f>_xll.qlBlackDeltaCalculatorStrikeFromDelta(_xll.qlBlackDeltaCalculator(,T$6,"Spot",$C$38,1,1,F16%*SQRT($P16)),T$7)</f>
        <v>17.374278748775769</v>
      </c>
      <c r="U16" s="126">
        <f>_xll.qlBlackDeltaCalculatorStrikeFromDelta(_xll.qlBlackDeltaCalculator(,U$6,"Spot",$C$38,1,1,G16%*SQRT($P16)),U$7)</f>
        <v>17.665838780276854</v>
      </c>
      <c r="V16" s="127">
        <f>_xll.qlBlackDeltaCalculatorAtmStrike(_xll.qlBlackDeltaCalculator(,V$6,"Spot",$C$38,1,1,H16%*SQRT($P16)),"AtmFwd")</f>
        <v>18</v>
      </c>
      <c r="W16" s="126">
        <f>_xll.qlBlackDeltaCalculatorStrikeFromDelta(_xll.qlBlackDeltaCalculator(,W$6,"Spot",$C$38,1,1,I16%*SQRT($P16)),W$7)</f>
        <v>18.375227855170625</v>
      </c>
      <c r="X16" s="126">
        <f>_xll.qlBlackDeltaCalculatorStrikeFromDelta(_xll.qlBlackDeltaCalculator(,X$6,"Spot",$C$38,1,1,J16%*SQRT($P16)),X$7)</f>
        <v>18.650963045050382</v>
      </c>
      <c r="Y16" s="126">
        <f>_xll.qlBlackDeltaCalculatorStrikeFromDelta(_xll.qlBlackDeltaCalculator(,Y$6,"Spot",$C$38,1,1,K16%*SQRT($P16)),Y$7)</f>
        <v>19.024464385020146</v>
      </c>
      <c r="Z16" s="126">
        <f>_xll.qlBlackDeltaCalculatorStrikeFromDelta(_xll.qlBlackDeltaCalculator(,Z$6,"Spot",$C$38,1,1,L16%*SQRT($P16)),Z$7)</f>
        <v>19.315338937407805</v>
      </c>
      <c r="AA16" s="128">
        <f>_xll.qlBlackDeltaCalculatorStrikeFromDelta(_xll.qlBlackDeltaCalculator(,AA$6,"Spot",$C$38,1,1,M16%*SQRT($P16)),AA$7)</f>
        <v>19.766328927972744</v>
      </c>
      <c r="AC16" s="140">
        <f>$C$38</f>
        <v>18</v>
      </c>
      <c r="AD16" s="144">
        <v>6.9686634253308843E-2</v>
      </c>
      <c r="AE16" s="145">
        <v>0.7</v>
      </c>
      <c r="AF16" s="145">
        <v>0.1638816074898071</v>
      </c>
      <c r="AG16" s="146">
        <v>0.93955058254800128</v>
      </c>
      <c r="AH16" s="155" t="str">
        <f t="array" ref="AH16">_xll.qlSabrInterpolatedSmileSection(,O16,AC16,Q16:AA16,FALSE,H16%,C16:M16%,AD16,AE16,AG16,AF16,AD$6,AE$6,AG$6,AF$6,TRUE,,,"Actual/365 (Fixed)",0,FALSE)</f>
        <v>obj_0063c#0003</v>
      </c>
      <c r="AI16" s="156">
        <f>_xll.qlSabrInterpolatedSmileSectionMaxError(AH16)</f>
        <v>1.0992301028506096E-3</v>
      </c>
      <c r="AJ16" s="157">
        <f>_xll.qlSabrInterpolatedSmileSectionAlpha(AH16)</f>
        <v>0.18172376036740898</v>
      </c>
      <c r="AK16" s="156">
        <f>_xll.qlSabrInterpolatedSmileSectionBeta(AH16)</f>
        <v>0.7</v>
      </c>
      <c r="AL16" s="158">
        <f>_xll.qlSabrInterpolatedSmileSectionRho(AH16)</f>
        <v>-0.15379389633927204</v>
      </c>
      <c r="AM16" s="159">
        <f>_xll.qlSabrInterpolatedSmileSectionNu(AH16)</f>
        <v>1.0306613618829763</v>
      </c>
      <c r="AN16" s="105" t="s">
        <v>63</v>
      </c>
      <c r="AU16" s="297">
        <f>T16</f>
        <v>17.374278748775769</v>
      </c>
      <c r="AV16" s="266" t="str">
        <f>_xll.qlHestonModelHelper(,$B16,"TARGET",$C$38,Q16,C16/100,I_ValuationDate!$E$5,I_ValuationDate!$E$6,"RelativePriceError")</f>
        <v>obj_0049e#0003</v>
      </c>
      <c r="AW16" s="267" t="str">
        <f>_xll.qlHestonModelHelper(,$B16,"TARGET",$C$38,R16,D16/100,I_ValuationDate!$E$5,I_ValuationDate!$E$6,"RelativePriceError")</f>
        <v>obj_00616#0003</v>
      </c>
      <c r="AX16" s="267" t="str">
        <f>_xll.qlHestonModelHelper(,$B16,"TARGET",$C$38,S16,E16/100,I_ValuationDate!$E$5,I_ValuationDate!$E$6,"RelativePriceError")</f>
        <v>obj_00603#0003</v>
      </c>
      <c r="AY16" s="267" t="str">
        <f>_xll.qlHestonModelHelper(,$B16,"TARGET",$C$38,T16,F16/100,I_ValuationDate!$E$5,I_ValuationDate!$E$6,"RelativePriceError")</f>
        <v>obj_00332#0003</v>
      </c>
      <c r="AZ16" s="267" t="str">
        <f>_xll.qlHestonModelHelper(,$B16,"TARGET",$C$38,U16,G16/100,I_ValuationDate!$E$5,I_ValuationDate!$E$6,"RelativePriceError")</f>
        <v>obj_004b5#0003</v>
      </c>
      <c r="BA16" s="267" t="str">
        <f>_xll.qlHestonModelHelper(,$B16,"TARGET",$C$38,V16,H16/100,I_ValuationDate!$E$5,I_ValuationDate!$E$6,"RelativePriceError")</f>
        <v>obj_00468#0003</v>
      </c>
      <c r="BB16" s="267" t="str">
        <f>_xll.qlHestonModelHelper(,$B16,"TARGET",$C$38,W16,I16/100,I_ValuationDate!$E$5,I_ValuationDate!$E$6,"RelativePriceError")</f>
        <v>obj_005c1#0003</v>
      </c>
      <c r="BC16" s="267" t="str">
        <f>_xll.qlHestonModelHelper(,$B16,"TARGET",$C$38,X16,J16/100,I_ValuationDate!$E$5,I_ValuationDate!$E$6,"RelativePriceError")</f>
        <v>obj_005b3#0003</v>
      </c>
      <c r="BD16" s="267" t="str">
        <f>_xll.qlHestonModelHelper(,$B16,"TARGET",$C$38,Y16,K16/100,I_ValuationDate!$E$5,I_ValuationDate!$E$6,"RelativePriceError")</f>
        <v>obj_005d5#0003</v>
      </c>
      <c r="BE16" s="267" t="str">
        <f>_xll.qlHestonModelHelper(,$B16,"TARGET",$C$38,Z16,L16/100,I_ValuationDate!$E$5,I_ValuationDate!$E$6,"RelativePriceError")</f>
        <v>obj_00484#0003</v>
      </c>
      <c r="BF16" s="268" t="str">
        <f>_xll.qlHestonModelHelper(,$B16,"TARGET",$C$38,AA16,M16/100,I_ValuationDate!$E$5,I_ValuationDate!$E$6,"RelativePriceError")</f>
        <v>obj_00565#0003</v>
      </c>
    </row>
    <row r="17" spans="2:58">
      <c r="B17" s="105" t="s">
        <v>64</v>
      </c>
      <c r="C17" s="98">
        <v>10.7</v>
      </c>
      <c r="D17" s="99">
        <v>9.85</v>
      </c>
      <c r="E17" s="99">
        <v>9.18</v>
      </c>
      <c r="F17" s="99">
        <v>8.6</v>
      </c>
      <c r="G17" s="99">
        <v>8.1999999999999993</v>
      </c>
      <c r="H17" s="99">
        <v>7.95</v>
      </c>
      <c r="I17" s="99">
        <v>7.86</v>
      </c>
      <c r="J17" s="99">
        <v>7.9249999999999998</v>
      </c>
      <c r="K17" s="99">
        <v>8.14</v>
      </c>
      <c r="L17" s="99">
        <v>8.4499999999999993</v>
      </c>
      <c r="M17" s="100">
        <v>8.7899999999999991</v>
      </c>
      <c r="O17" s="114">
        <f>_xll.qlCalendarAdvance("NullCalendar",$C$3,B17)</f>
        <v>43200</v>
      </c>
      <c r="P17" s="117">
        <f>(O17-$C$3)/365</f>
        <v>0.49863013698630138</v>
      </c>
      <c r="Q17" s="125">
        <f>_xll.qlBlackDeltaCalculatorStrikeFromDelta(_xll.qlBlackDeltaCalculator(,Q$6,"Spot",$C$38,1,1,C17%*SQRT($P17)),Q$7)</f>
        <v>15.941829447477115</v>
      </c>
      <c r="R17" s="126">
        <f>_xll.qlBlackDeltaCalculatorStrikeFromDelta(_xll.qlBlackDeltaCalculator(,R$6,"Spot",$C$38,1,1,D17%*SQRT($P17)),R$7)</f>
        <v>16.504827989607517</v>
      </c>
      <c r="S17" s="126">
        <f>_xll.qlBlackDeltaCalculatorStrikeFromDelta(_xll.qlBlackDeltaCalculator(,S$6,"Spot",$C$38,1,1,E17%*SQRT($P17)),S$7)</f>
        <v>16.86579553870796</v>
      </c>
      <c r="T17" s="126">
        <f>_xll.qlBlackDeltaCalculatorStrikeFromDelta(_xll.qlBlackDeltaCalculator(,T$6,"Spot",$C$38,1,1,F17%*SQRT($P17)),T$7)</f>
        <v>17.309498514923447</v>
      </c>
      <c r="U17" s="126">
        <f>_xll.qlBlackDeltaCalculatorStrikeFromDelta(_xll.qlBlackDeltaCalculator(,U$6,"Spot",$C$38,1,1,G17%*SQRT($P17)),U$7)</f>
        <v>17.632377385944558</v>
      </c>
      <c r="V17" s="127">
        <f>_xll.qlBlackDeltaCalculatorAtmStrike(_xll.qlBlackDeltaCalculator(,V$6,"Spot",$C$38,1,1,H17%*SQRT($P17)),"AtmFwd")</f>
        <v>18</v>
      </c>
      <c r="W17" s="126">
        <f>_xll.qlBlackDeltaCalculatorStrikeFromDelta(_xll.qlBlackDeltaCalculator(,W$6,"Spot",$C$38,1,1,I17%*SQRT($P17)),W$7)</f>
        <v>18.41744345273306</v>
      </c>
      <c r="X17" s="126">
        <f>_xll.qlBlackDeltaCalculatorStrikeFromDelta(_xll.qlBlackDeltaCalculator(,X$6,"Spot",$C$38,1,1,J17%*SQRT($P17)),X$7)</f>
        <v>18.721694482082253</v>
      </c>
      <c r="Y17" s="126">
        <f>_xll.qlBlackDeltaCalculatorStrikeFromDelta(_xll.qlBlackDeltaCalculator(,Y$6,"Spot",$C$38,1,1,K17%*SQRT($P17)),Y$7)</f>
        <v>19.136499433931988</v>
      </c>
      <c r="Z17" s="126">
        <f>_xll.qlBlackDeltaCalculatorStrikeFromDelta(_xll.qlBlackDeltaCalculator(,Z$6,"Spot",$C$38,1,1,L17%*SQRT($P17)),Z$7)</f>
        <v>19.465045898390304</v>
      </c>
      <c r="AA17" s="128">
        <f>_xll.qlBlackDeltaCalculatorStrikeFromDelta(_xll.qlBlackDeltaCalculator(,AA$6,"Spot",$C$38,1,1,M17%*SQRT($P17)),AA$7)</f>
        <v>19.973238140540406</v>
      </c>
      <c r="AC17" s="140">
        <f>$C$38</f>
        <v>18</v>
      </c>
      <c r="AD17" s="144">
        <v>7.0307764108871268E-2</v>
      </c>
      <c r="AE17" s="145">
        <v>0.7</v>
      </c>
      <c r="AF17" s="145">
        <v>0.17052618959716567</v>
      </c>
      <c r="AG17" s="146">
        <v>0.87671318905183571</v>
      </c>
      <c r="AH17" s="155" t="str">
        <f t="array" ref="AH17">_xll.qlSabrInterpolatedSmileSection(,O17,AC17,Q17:AA17,FALSE,H17%,C17:M17%,AD17,AE17,AG17,AF17,AD$6,AE$6,AG$6,AF$6,TRUE,,,"Actual/365 (Fixed)",0,FALSE)</f>
        <v>obj_00646#0003</v>
      </c>
      <c r="AI17" s="156">
        <f>_xll.qlSabrInterpolatedSmileSectionMaxError(AH17)</f>
        <v>9.7426223733587669E-4</v>
      </c>
      <c r="AJ17" s="157">
        <f>_xll.qlSabrInterpolatedSmileSectionAlpha(AH17)</f>
        <v>0.18293165369942169</v>
      </c>
      <c r="AK17" s="156">
        <f>_xll.qlSabrInterpolatedSmileSectionBeta(AH17)</f>
        <v>0.7</v>
      </c>
      <c r="AL17" s="158">
        <f>_xll.qlSabrInterpolatedSmileSectionRho(AH17)</f>
        <v>-0.16452615170281865</v>
      </c>
      <c r="AM17" s="159">
        <f>_xll.qlSabrInterpolatedSmileSectionNu(AH17)</f>
        <v>0.9591865428875187</v>
      </c>
      <c r="AN17" s="105" t="s">
        <v>64</v>
      </c>
      <c r="AU17" s="297">
        <f>T17</f>
        <v>17.309498514923447</v>
      </c>
      <c r="AV17" s="266" t="str">
        <f>_xll.qlHestonModelHelper(,$B17,"TARGET",$C$38,Q17,C17/100,I_ValuationDate!$E$5,I_ValuationDate!$E$6,"RelativePriceError")</f>
        <v>obj_003a6#0003</v>
      </c>
      <c r="AW17" s="267" t="str">
        <f>_xll.qlHestonModelHelper(,$B17,"TARGET",$C$38,R17,D17/100,I_ValuationDate!$E$5,I_ValuationDate!$E$6,"RelativePriceError")</f>
        <v>obj_003c1#0003</v>
      </c>
      <c r="AX17" s="267" t="str">
        <f>_xll.qlHestonModelHelper(,$B17,"TARGET",$C$38,S17,E17/100,I_ValuationDate!$E$5,I_ValuationDate!$E$6,"RelativePriceError")</f>
        <v>obj_00498#0003</v>
      </c>
      <c r="AY17" s="267" t="str">
        <f>_xll.qlHestonModelHelper(,$B17,"TARGET",$C$38,T17,F17/100,I_ValuationDate!$E$5,I_ValuationDate!$E$6,"RelativePriceError")</f>
        <v>obj_002ca#0003</v>
      </c>
      <c r="AZ17" s="267" t="str">
        <f>_xll.qlHestonModelHelper(,$B17,"TARGET",$C$38,U17,G17/100,I_ValuationDate!$E$5,I_ValuationDate!$E$6,"RelativePriceError")</f>
        <v>obj_005e9#0003</v>
      </c>
      <c r="BA17" s="267" t="str">
        <f>_xll.qlHestonModelHelper(,$B17,"TARGET",$C$38,V17,H17/100,I_ValuationDate!$E$5,I_ValuationDate!$E$6,"RelativePriceError")</f>
        <v>obj_00406#0003</v>
      </c>
      <c r="BB17" s="267" t="str">
        <f>_xll.qlHestonModelHelper(,$B17,"TARGET",$C$38,W17,I17/100,I_ValuationDate!$E$5,I_ValuationDate!$E$6,"RelativePriceError")</f>
        <v>obj_0060e#0003</v>
      </c>
      <c r="BC17" s="267" t="str">
        <f>_xll.qlHestonModelHelper(,$B17,"TARGET",$C$38,X17,J17/100,I_ValuationDate!$E$5,I_ValuationDate!$E$6,"RelativePriceError")</f>
        <v>obj_0048e#0003</v>
      </c>
      <c r="BD17" s="267" t="str">
        <f>_xll.qlHestonModelHelper(,$B17,"TARGET",$C$38,Y17,K17/100,I_ValuationDate!$E$5,I_ValuationDate!$E$6,"RelativePriceError")</f>
        <v>obj_0056c#0003</v>
      </c>
      <c r="BE17" s="267" t="str">
        <f>_xll.qlHestonModelHelper(,$B17,"TARGET",$C$38,Z17,L17/100,I_ValuationDate!$E$5,I_ValuationDate!$E$6,"RelativePriceError")</f>
        <v>obj_00459#0003</v>
      </c>
      <c r="BF17" s="268" t="str">
        <f>_xll.qlHestonModelHelper(,$B17,"TARGET",$C$38,AA17,M17/100,I_ValuationDate!$E$5,I_ValuationDate!$E$6,"RelativePriceError")</f>
        <v>obj_00451#0003</v>
      </c>
    </row>
    <row r="18" spans="2:58">
      <c r="B18" s="105" t="s">
        <v>65</v>
      </c>
      <c r="C18" s="98">
        <v>11.2</v>
      </c>
      <c r="D18" s="99">
        <v>10.3</v>
      </c>
      <c r="E18" s="99">
        <v>9.56</v>
      </c>
      <c r="F18" s="99">
        <v>8.9499999999999993</v>
      </c>
      <c r="G18" s="99">
        <v>8.48</v>
      </c>
      <c r="H18" s="99">
        <v>8.1449999999999996</v>
      </c>
      <c r="I18" s="99">
        <v>8.0090000000000003</v>
      </c>
      <c r="J18" s="99">
        <v>8.0619999999999994</v>
      </c>
      <c r="K18" s="99">
        <v>8.1999999999999993</v>
      </c>
      <c r="L18" s="99">
        <v>8.4700000000000006</v>
      </c>
      <c r="M18" s="100">
        <v>8.8689999999999998</v>
      </c>
      <c r="O18" s="114">
        <f>_xll.qlCalendarAdvance("NullCalendar",$C$3,B18)</f>
        <v>43291</v>
      </c>
      <c r="P18" s="117">
        <f>(O18-$C$3)/365</f>
        <v>0.74794520547945209</v>
      </c>
      <c r="Q18" s="125">
        <f>_xll.qlBlackDeltaCalculatorStrikeFromDelta(_xll.qlBlackDeltaCalculator(,Q$6,"Spot",$C$38,1,1,C18%*SQRT($P18)),Q$7)</f>
        <v>15.421139276758863</v>
      </c>
      <c r="R18" s="126">
        <f>_xll.qlBlackDeltaCalculatorStrikeFromDelta(_xll.qlBlackDeltaCalculator(,R$6,"Spot",$C$38,1,1,D18%*SQRT($P18)),R$7)</f>
        <v>16.121934677325658</v>
      </c>
      <c r="S18" s="126">
        <f>_xll.qlBlackDeltaCalculatorStrikeFromDelta(_xll.qlBlackDeltaCalculator(,S$6,"Spot",$C$38,1,1,E18%*SQRT($P18)),S$7)</f>
        <v>16.578369966343871</v>
      </c>
      <c r="T18" s="126">
        <f>_xll.qlBlackDeltaCalculatorStrikeFromDelta(_xll.qlBlackDeltaCalculator(,T$6,"Spot",$C$38,1,1,F18%*SQRT($P18)),T$7)</f>
        <v>17.135628360025375</v>
      </c>
      <c r="U18" s="126">
        <f>_xll.qlBlackDeltaCalculatorStrikeFromDelta(_xll.qlBlackDeltaCalculator(,U$6,"Spot",$C$38,1,1,G18%*SQRT($P18)),U$7)</f>
        <v>17.545583539652171</v>
      </c>
      <c r="V18" s="127">
        <f>_xll.qlBlackDeltaCalculatorAtmStrike(_xll.qlBlackDeltaCalculator(,V$6,"Spot",$C$38,1,1,H18%*SQRT($P18)),"AtmFwd")</f>
        <v>18</v>
      </c>
      <c r="W18" s="126">
        <f>_xll.qlBlackDeltaCalculatorStrikeFromDelta(_xll.qlBlackDeltaCalculator(,W$6,"Spot",$C$38,1,1,I18%*SQRT($P18)),W$7)</f>
        <v>18.53127328490158</v>
      </c>
      <c r="X18" s="126">
        <f>_xll.qlBlackDeltaCalculatorStrikeFromDelta(_xll.qlBlackDeltaCalculator(,X$6,"Spot",$C$38,1,1,J18%*SQRT($P18)),X$7)</f>
        <v>18.912631811519777</v>
      </c>
      <c r="Y18" s="126">
        <f>_xll.qlBlackDeltaCalculatorStrikeFromDelta(_xll.qlBlackDeltaCalculator(,Y$6,"Spot",$C$38,1,1,K18%*SQRT($P18)),Y$7)</f>
        <v>19.421618934478406</v>
      </c>
      <c r="Z18" s="126">
        <f>_xll.qlBlackDeltaCalculatorStrikeFromDelta(_xll.qlBlackDeltaCalculator(,Z$6,"Spot",$C$38,1,1,L18%*SQRT($P18)),Z$7)</f>
        <v>19.824739550581892</v>
      </c>
      <c r="AA18" s="128">
        <f>_xll.qlBlackDeltaCalculatorStrikeFromDelta(_xll.qlBlackDeltaCalculator(,AA$6,"Spot",$C$38,1,1,M18%*SQRT($P18)),AA$7)</f>
        <v>20.480593679228775</v>
      </c>
      <c r="AC18" s="140">
        <f>$C$38</f>
        <v>18</v>
      </c>
      <c r="AD18" s="144">
        <v>7.140257381739841E-2</v>
      </c>
      <c r="AE18" s="145">
        <v>0.7</v>
      </c>
      <c r="AF18" s="145">
        <v>0.15798164575417137</v>
      </c>
      <c r="AG18" s="146">
        <v>0.7629423965204154</v>
      </c>
      <c r="AH18" s="155" t="str">
        <f t="array" ref="AH18">_xll.qlSabrInterpolatedSmileSection(,O18,AC18,Q18:AA18,FALSE,H18%,C18:M18%,AD18,AE18,AG18,AF18,AD$6,AE$6,AG$6,AF$6,TRUE,,,"Actual/365 (Fixed)",0,FALSE)</f>
        <v>obj_0065c#0003</v>
      </c>
      <c r="AI18" s="156">
        <f>_xll.qlSabrInterpolatedSmileSectionMaxError(AH18)</f>
        <v>7.9546053716206266E-4</v>
      </c>
      <c r="AJ18" s="157">
        <f>_xll.qlSabrInterpolatedSmileSectionAlpha(AH18)</f>
        <v>0.18815417114528829</v>
      </c>
      <c r="AK18" s="156">
        <f>_xll.qlSabrInterpolatedSmileSectionBeta(AH18)</f>
        <v>0.7</v>
      </c>
      <c r="AL18" s="158">
        <f>_xll.qlSabrInterpolatedSmileSectionRho(AH18)</f>
        <v>-0.20678846636375892</v>
      </c>
      <c r="AM18" s="159">
        <f>_xll.qlSabrInterpolatedSmileSectionNu(AH18)</f>
        <v>0.78603262211119473</v>
      </c>
      <c r="AN18" s="105" t="s">
        <v>65</v>
      </c>
      <c r="AU18" s="297">
        <f>T18</f>
        <v>17.135628360025375</v>
      </c>
      <c r="AV18" s="266" t="str">
        <f>_xll.qlHestonModelHelper(,$B18,"TARGET",$C$38,Q18,C18/100,I_ValuationDate!$E$5,I_ValuationDate!$E$6,"RelativePriceError")</f>
        <v>obj_0060c#0003</v>
      </c>
      <c r="AW18" s="267" t="str">
        <f>_xll.qlHestonModelHelper(,$B18,"TARGET",$C$38,R18,D18/100,I_ValuationDate!$E$5,I_ValuationDate!$E$6,"RelativePriceError")</f>
        <v>obj_003a7#0003</v>
      </c>
      <c r="AX18" s="267" t="str">
        <f>_xll.qlHestonModelHelper(,$B18,"TARGET",$C$38,S18,E18/100,I_ValuationDate!$E$5,I_ValuationDate!$E$6,"RelativePriceError")</f>
        <v>obj_003f9#0003</v>
      </c>
      <c r="AY18" s="267" t="str">
        <f>_xll.qlHestonModelHelper(,$B18,"TARGET",$C$38,T18,F18/100,I_ValuationDate!$E$5,I_ValuationDate!$E$6,"RelativePriceError")</f>
        <v>obj_0031d#0003</v>
      </c>
      <c r="AZ18" s="267" t="str">
        <f>_xll.qlHestonModelHelper(,$B18,"TARGET",$C$38,U18,G18/100,I_ValuationDate!$E$5,I_ValuationDate!$E$6,"RelativePriceError")</f>
        <v>obj_00513#0003</v>
      </c>
      <c r="BA18" s="267" t="str">
        <f>_xll.qlHestonModelHelper(,$B18,"TARGET",$C$38,V18,H18/100,I_ValuationDate!$E$5,I_ValuationDate!$E$6,"RelativePriceError")</f>
        <v>obj_00479#0003</v>
      </c>
      <c r="BB18" s="267" t="str">
        <f>_xll.qlHestonModelHelper(,$B18,"TARGET",$C$38,W18,I18/100,I_ValuationDate!$E$5,I_ValuationDate!$E$6,"RelativePriceError")</f>
        <v>obj_00557#0003</v>
      </c>
      <c r="BC18" s="267" t="str">
        <f>_xll.qlHestonModelHelper(,$B18,"TARGET",$C$38,X18,J18/100,I_ValuationDate!$E$5,I_ValuationDate!$E$6,"RelativePriceError")</f>
        <v>obj_003a4#0003</v>
      </c>
      <c r="BD18" s="267" t="str">
        <f>_xll.qlHestonModelHelper(,$B18,"TARGET",$C$38,Y18,K18/100,I_ValuationDate!$E$5,I_ValuationDate!$E$6,"RelativePriceError")</f>
        <v>obj_003f3#0003</v>
      </c>
      <c r="BE18" s="267" t="str">
        <f>_xll.qlHestonModelHelper(,$B18,"TARGET",$C$38,Z18,L18/100,I_ValuationDate!$E$5,I_ValuationDate!$E$6,"RelativePriceError")</f>
        <v>obj_0046b#0003</v>
      </c>
      <c r="BF18" s="268" t="str">
        <f>_xll.qlHestonModelHelper(,$B18,"TARGET",$C$38,AA18,M18/100,I_ValuationDate!$E$5,I_ValuationDate!$E$6,"RelativePriceError")</f>
        <v>obj_00460#0003</v>
      </c>
    </row>
    <row r="19" spans="2:58">
      <c r="B19" s="105" t="s">
        <v>66</v>
      </c>
      <c r="C19" s="98">
        <v>11.9</v>
      </c>
      <c r="D19" s="99">
        <v>10.7</v>
      </c>
      <c r="E19" s="99">
        <v>9.6999999999999993</v>
      </c>
      <c r="F19" s="99">
        <v>8.9499999999999993</v>
      </c>
      <c r="G19" s="99">
        <v>8.4499999999999993</v>
      </c>
      <c r="H19" s="99">
        <v>8.1999999999999993</v>
      </c>
      <c r="I19" s="99">
        <v>8.1150000000000002</v>
      </c>
      <c r="J19" s="99">
        <v>8.1460000000000008</v>
      </c>
      <c r="K19" s="99">
        <v>8.25</v>
      </c>
      <c r="L19" s="99">
        <v>8.5</v>
      </c>
      <c r="M19" s="100">
        <v>8.9380000000000006</v>
      </c>
      <c r="O19" s="114">
        <f>_xll.qlCalendarAdvance("NullCalendar",$C$3,B19)</f>
        <v>43383</v>
      </c>
      <c r="P19" s="117">
        <f>(O19-$C$3)/365</f>
        <v>1</v>
      </c>
      <c r="Q19" s="125">
        <f>_xll.qlBlackDeltaCalculatorStrikeFromDelta(_xll.qlBlackDeltaCalculator(,Q$6,"Spot",$C$38,1,1,C19%*SQRT($P19)),Q$7)</f>
        <v>14.905267537838743</v>
      </c>
      <c r="R19" s="126">
        <f>_xll.qlBlackDeltaCalculatorStrikeFromDelta(_xll.qlBlackDeltaCalculator(,R$6,"Spot",$C$38,1,1,D19%*SQRT($P19)),R$7)</f>
        <v>15.783581284647989</v>
      </c>
      <c r="S19" s="126">
        <f>_xll.qlBlackDeltaCalculatorStrikeFromDelta(_xll.qlBlackDeltaCalculator(,S$6,"Spot",$C$38,1,1,E19%*SQRT($P19)),S$7)</f>
        <v>16.35513996688849</v>
      </c>
      <c r="T19" s="126">
        <f>_xll.qlBlackDeltaCalculatorStrikeFromDelta(_xll.qlBlackDeltaCalculator(,T$6,"Spot",$C$38,1,1,F19%*SQRT($P19)),T$7)</f>
        <v>17.013549402043765</v>
      </c>
      <c r="U19" s="126">
        <f>_xll.qlBlackDeltaCalculatorStrikeFromDelta(_xll.qlBlackDeltaCalculator(,U$6,"Spot",$C$38,1,1,G19%*SQRT($P19)),U$7)</f>
        <v>17.485680756424443</v>
      </c>
      <c r="V19" s="127">
        <f>_xll.qlBlackDeltaCalculatorAtmStrike(_xll.qlBlackDeltaCalculator(,V$6,"Spot",$C$38,1,1,H19%*SQRT($P19)),"AtmFwd")</f>
        <v>18</v>
      </c>
      <c r="W19" s="126">
        <f>_xll.qlBlackDeltaCalculatorStrikeFromDelta(_xll.qlBlackDeltaCalculator(,W$6,"Spot",$C$38,1,1,I19%*SQRT($P19)),W$7)</f>
        <v>18.632980859050406</v>
      </c>
      <c r="X19" s="126">
        <f>_xll.qlBlackDeltaCalculatorStrikeFromDelta(_xll.qlBlackDeltaCalculator(,X$6,"Spot",$C$38,1,1,J19%*SQRT($P19)),X$7)</f>
        <v>19.079864393755496</v>
      </c>
      <c r="Y19" s="126">
        <f>_xll.qlBlackDeltaCalculatorStrikeFromDelta(_xll.qlBlackDeltaCalculator(,Y$6,"Spot",$C$38,1,1,K19%*SQRT($P19)),Y$7)</f>
        <v>19.673659063053901</v>
      </c>
      <c r="Z19" s="126">
        <f>_xll.qlBlackDeltaCalculatorStrikeFromDelta(_xll.qlBlackDeltaCalculator(,Z$6,"Spot",$C$38,1,1,L19%*SQRT($P19)),Z$7)</f>
        <v>20.144194663412939</v>
      </c>
      <c r="AA19" s="128">
        <f>_xll.qlBlackDeltaCalculatorStrikeFromDelta(_xll.qlBlackDeltaCalculator(,AA$6,"Spot",$C$38,1,1,M19%*SQRT($P19)),AA$7)</f>
        <v>20.934178686644206</v>
      </c>
      <c r="AC19" s="140">
        <f>$C$38</f>
        <v>18</v>
      </c>
      <c r="AD19" s="144">
        <v>7.2078139589299359E-2</v>
      </c>
      <c r="AE19" s="145">
        <v>0.7</v>
      </c>
      <c r="AF19" s="145">
        <v>0.14891457993989682</v>
      </c>
      <c r="AG19" s="146">
        <v>0.69201049958741367</v>
      </c>
      <c r="AH19" s="155" t="str">
        <f t="array" ref="AH19">_xll.qlSabrInterpolatedSmileSection(,O19,AC19,Q19:AA19,FALSE,H19%,C19:M19%,AD19,AE19,AG19,AF19,AD$6,AE$6,AG$6,AF$6,TRUE,,,"Actual/365 (Fixed)",0,FALSE)</f>
        <v>obj_0062a#0003</v>
      </c>
      <c r="AI19" s="156">
        <f>_xll.qlSabrInterpolatedSmileSectionMaxError(AH19)</f>
        <v>1.5806076643359174E-3</v>
      </c>
      <c r="AJ19" s="157">
        <f>_xll.qlSabrInterpolatedSmileSectionAlpha(AH19)</f>
        <v>0.18789840589323739</v>
      </c>
      <c r="AK19" s="156">
        <f>_xll.qlSabrInterpolatedSmileSectionBeta(AH19)</f>
        <v>0.7</v>
      </c>
      <c r="AL19" s="158">
        <f>_xll.qlSabrInterpolatedSmileSectionRho(AH19)</f>
        <v>-0.21121802893222616</v>
      </c>
      <c r="AM19" s="159">
        <f>_xll.qlSabrInterpolatedSmileSectionNu(AH19)</f>
        <v>0.72554222493057263</v>
      </c>
      <c r="AN19" s="105" t="s">
        <v>66</v>
      </c>
      <c r="AU19" s="297">
        <f>T19</f>
        <v>17.013549402043765</v>
      </c>
      <c r="AV19" s="266" t="str">
        <f>_xll.qlHestonModelHelper(,$B19,"TARGET",$C$38,Q19,C19/100,I_ValuationDate!$E$5,I_ValuationDate!$E$6,"RelativePriceError")</f>
        <v>obj_00566#0003</v>
      </c>
      <c r="AW19" s="267" t="str">
        <f>_xll.qlHestonModelHelper(,$B19,"TARGET",$C$38,R19,D19/100,I_ValuationDate!$E$5,I_ValuationDate!$E$6,"RelativePriceError")</f>
        <v>obj_0059f#0003</v>
      </c>
      <c r="AX19" s="267" t="str">
        <f>_xll.qlHestonModelHelper(,$B19,"TARGET",$C$38,S19,E19/100,I_ValuationDate!$E$5,I_ValuationDate!$E$6,"RelativePriceError")</f>
        <v>obj_00538#0003</v>
      </c>
      <c r="AY19" s="267" t="str">
        <f>_xll.qlHestonModelHelper(,$B19,"TARGET",$C$38,T19,F19/100,I_ValuationDate!$E$5,I_ValuationDate!$E$6,"RelativePriceError")</f>
        <v>obj_00391#0003</v>
      </c>
      <c r="AZ19" s="267" t="str">
        <f>_xll.qlHestonModelHelper(,$B19,"TARGET",$C$38,U19,G19/100,I_ValuationDate!$E$5,I_ValuationDate!$E$6,"RelativePriceError")</f>
        <v>obj_0047c#0003</v>
      </c>
      <c r="BA19" s="267" t="str">
        <f>_xll.qlHestonModelHelper(,$B19,"TARGET",$C$38,V19,H19/100,I_ValuationDate!$E$5,I_ValuationDate!$E$6,"RelativePriceError")</f>
        <v>obj_00574#0003</v>
      </c>
      <c r="BB19" s="267" t="str">
        <f>_xll.qlHestonModelHelper(,$B19,"TARGET",$C$38,W19,I19/100,I_ValuationDate!$E$5,I_ValuationDate!$E$6,"RelativePriceError")</f>
        <v>obj_004fa#0003</v>
      </c>
      <c r="BC19" s="267" t="str">
        <f>_xll.qlHestonModelHelper(,$B19,"TARGET",$C$38,X19,J19/100,I_ValuationDate!$E$5,I_ValuationDate!$E$6,"RelativePriceError")</f>
        <v>obj_005cd#0003</v>
      </c>
      <c r="BD19" s="267" t="str">
        <f>_xll.qlHestonModelHelper(,$B19,"TARGET",$C$38,Y19,K19/100,I_ValuationDate!$E$5,I_ValuationDate!$E$6,"RelativePriceError")</f>
        <v>obj_005e0#0003</v>
      </c>
      <c r="BE19" s="267" t="str">
        <f>_xll.qlHestonModelHelper(,$B19,"TARGET",$C$38,Z19,L19/100,I_ValuationDate!$E$5,I_ValuationDate!$E$6,"RelativePriceError")</f>
        <v>obj_00446#0003</v>
      </c>
      <c r="BF19" s="268" t="str">
        <f>_xll.qlHestonModelHelper(,$B19,"TARGET",$C$38,AA19,M19/100,I_ValuationDate!$E$5,I_ValuationDate!$E$6,"RelativePriceError")</f>
        <v>obj_005d6#0003</v>
      </c>
    </row>
    <row r="20" spans="2:58">
      <c r="B20" s="105" t="s">
        <v>67</v>
      </c>
      <c r="C20" s="98">
        <v>11.965</v>
      </c>
      <c r="D20" s="99">
        <v>11.084</v>
      </c>
      <c r="E20" s="99">
        <v>10.494999999999999</v>
      </c>
      <c r="F20" s="99">
        <v>9.66</v>
      </c>
      <c r="G20" s="99">
        <v>9.109</v>
      </c>
      <c r="H20" s="99">
        <v>8.625</v>
      </c>
      <c r="I20" s="99">
        <v>8.4160000000000004</v>
      </c>
      <c r="J20" s="99">
        <v>8.4250000000000007</v>
      </c>
      <c r="K20" s="99">
        <v>8.6050000000000004</v>
      </c>
      <c r="L20" s="99">
        <v>8.8010000000000002</v>
      </c>
      <c r="M20" s="100">
        <v>9.1080000000000005</v>
      </c>
      <c r="O20" s="114">
        <f>_xll.qlCalendarAdvance("NullCalendar",$C$3,B20)</f>
        <v>43565</v>
      </c>
      <c r="P20" s="117">
        <f>(O20-$C$3)/365</f>
        <v>1.4986301369863013</v>
      </c>
      <c r="Q20" s="125">
        <f>_xll.qlBlackDeltaCalculatorStrikeFromDelta(_xll.qlBlackDeltaCalculator(,Q$6,"Spot",$C$38,1,1,C20%*SQRT($P20)),Q$7)</f>
        <v>14.298735281565262</v>
      </c>
      <c r="R20" s="126">
        <f>_xll.qlBlackDeltaCalculatorStrikeFromDelta(_xll.qlBlackDeltaCalculator(,R$6,"Spot",$C$38,1,1,D20%*SQRT($P20)),R$7)</f>
        <v>15.266873952673137</v>
      </c>
      <c r="S20" s="126">
        <f>_xll.qlBlackDeltaCalculatorStrikeFromDelta(_xll.qlBlackDeltaCalculator(,S$6,"Spot",$C$38,1,1,E20%*SQRT($P20)),S$7)</f>
        <v>15.886440132201521</v>
      </c>
      <c r="T20" s="126">
        <f>_xll.qlBlackDeltaCalculatorStrikeFromDelta(_xll.qlBlackDeltaCalculator(,T$6,"Spot",$C$38,1,1,F20%*SQRT($P20)),T$7)</f>
        <v>16.736657290940993</v>
      </c>
      <c r="U20" s="126">
        <f>_xll.qlBlackDeltaCalculatorStrikeFromDelta(_xll.qlBlackDeltaCalculator(,U$6,"Spot",$C$38,1,1,G20%*SQRT($P20)),U$7)</f>
        <v>17.350505185630567</v>
      </c>
      <c r="V20" s="127">
        <f>_xll.qlBlackDeltaCalculatorAtmStrike(_xll.qlBlackDeltaCalculator(,V$6,"Spot",$C$38,1,1,H20%*SQRT($P20)),"AtmFwd")</f>
        <v>18</v>
      </c>
      <c r="W20" s="126">
        <f>_xll.qlBlackDeltaCalculatorStrikeFromDelta(_xll.qlBlackDeltaCalculator(,W$6,"Spot",$C$38,1,1,I20%*SQRT($P20)),W$7)</f>
        <v>18.828612822835424</v>
      </c>
      <c r="X20" s="126">
        <f>_xll.qlBlackDeltaCalculatorStrikeFromDelta(_xll.qlBlackDeltaCalculator(,X$6,"Spot",$C$38,1,1,J20%*SQRT($P20)),X$7)</f>
        <v>19.399663416479331</v>
      </c>
      <c r="Y20" s="126">
        <f>_xll.qlBlackDeltaCalculatorStrikeFromDelta(_xll.qlBlackDeltaCalculator(,Y$6,"Spot",$C$38,1,1,K20%*SQRT($P20)),Y$7)</f>
        <v>20.188219396059406</v>
      </c>
      <c r="Z20" s="126">
        <f>_xll.qlBlackDeltaCalculatorStrikeFromDelta(_xll.qlBlackDeltaCalculator(,Z$6,"Spot",$C$38,1,1,L20%*SQRT($P20)),Z$7)</f>
        <v>20.785400958544599</v>
      </c>
      <c r="AA20" s="128">
        <f>_xll.qlBlackDeltaCalculatorStrikeFromDelta(_xll.qlBlackDeltaCalculator(,AA$6,"Spot",$C$38,1,1,M20%*SQRT($P20)),AA$7)</f>
        <v>21.758119132457487</v>
      </c>
      <c r="AC20" s="140">
        <f>$C$38</f>
        <v>18</v>
      </c>
      <c r="AD20" s="144">
        <v>7.520166067301326E-2</v>
      </c>
      <c r="AE20" s="145">
        <v>0.7</v>
      </c>
      <c r="AF20" s="145">
        <v>0.12227292552657702</v>
      </c>
      <c r="AG20" s="146">
        <v>0.54621138939523028</v>
      </c>
      <c r="AH20" s="155" t="str">
        <f t="array" ref="AH20">_xll.qlSabrInterpolatedSmileSection(,O20,AC20,Q20:AA20,FALSE,H20%,C20:M20%,AD20,AE20,AG20,AF20,AD$6,AE$6,AG$6,AF$6,TRUE,,,"Actual/365 (Fixed)",0,FALSE)</f>
        <v>obj_00652#0003</v>
      </c>
      <c r="AI20" s="156">
        <f>_xll.qlSabrInterpolatedSmileSectionMaxError(AH20)</f>
        <v>2.4293430840963415E-3</v>
      </c>
      <c r="AJ20" s="157">
        <f>_xll.qlSabrInterpolatedSmileSectionAlpha(AH20)</f>
        <v>0.20106617085805617</v>
      </c>
      <c r="AK20" s="156">
        <f>_xll.qlSabrInterpolatedSmileSectionBeta(AH20)</f>
        <v>0.7</v>
      </c>
      <c r="AL20" s="158">
        <f>_xll.qlSabrInterpolatedSmileSectionRho(AH20)</f>
        <v>-0.25333325226226477</v>
      </c>
      <c r="AM20" s="159">
        <f>_xll.qlSabrInterpolatedSmileSectionNu(AH20)</f>
        <v>0.55290502079523884</v>
      </c>
      <c r="AN20" s="105" t="s">
        <v>67</v>
      </c>
      <c r="AU20" s="297">
        <f>T20</f>
        <v>16.736657290940993</v>
      </c>
      <c r="AV20" s="266" t="str">
        <f>_xll.qlHestonModelHelper(,$B20,"TARGET",$C$38,Q20,C20/100,I_ValuationDate!$E$5,I_ValuationDate!$E$6,"RelativePriceError")</f>
        <v>obj_0044f#0003</v>
      </c>
      <c r="AW20" s="267" t="str">
        <f>_xll.qlHestonModelHelper(,$B20,"TARGET",$C$38,R20,D20/100,I_ValuationDate!$E$5,I_ValuationDate!$E$6,"RelativePriceError")</f>
        <v>obj_004b0#0003</v>
      </c>
      <c r="AX20" s="267" t="str">
        <f>_xll.qlHestonModelHelper(,$B20,"TARGET",$C$38,S20,E20/100,I_ValuationDate!$E$5,I_ValuationDate!$E$6,"RelativePriceError")</f>
        <v>obj_003c0#0003</v>
      </c>
      <c r="AY20" s="267" t="str">
        <f>_xll.qlHestonModelHelper(,$B20,"TARGET",$C$38,T20,F20/100,I_ValuationDate!$E$5,I_ValuationDate!$E$6,"RelativePriceError")</f>
        <v>obj_0039c#0003</v>
      </c>
      <c r="AZ20" s="267" t="str">
        <f>_xll.qlHestonModelHelper(,$B20,"TARGET",$C$38,U20,G20/100,I_ValuationDate!$E$5,I_ValuationDate!$E$6,"RelativePriceError")</f>
        <v>obj_00610#0003</v>
      </c>
      <c r="BA20" s="267" t="str">
        <f>_xll.qlHestonModelHelper(,$B20,"TARGET",$C$38,V20,H20/100,I_ValuationDate!$E$5,I_ValuationDate!$E$6,"RelativePriceError")</f>
        <v>obj_00431#0003</v>
      </c>
      <c r="BB20" s="267" t="str">
        <f>_xll.qlHestonModelHelper(,$B20,"TARGET",$C$38,W20,I20/100,I_ValuationDate!$E$5,I_ValuationDate!$E$6,"RelativePriceError")</f>
        <v>obj_005a6#0003</v>
      </c>
      <c r="BC20" s="267" t="str">
        <f>_xll.qlHestonModelHelper(,$B20,"TARGET",$C$38,X20,J20/100,I_ValuationDate!$E$5,I_ValuationDate!$E$6,"RelativePriceError")</f>
        <v>obj_00433#0003</v>
      </c>
      <c r="BD20" s="267" t="str">
        <f>_xll.qlHestonModelHelper(,$B20,"TARGET",$C$38,Y20,K20/100,I_ValuationDate!$E$5,I_ValuationDate!$E$6,"RelativePriceError")</f>
        <v>obj_003a3#0003</v>
      </c>
      <c r="BE20" s="267" t="str">
        <f>_xll.qlHestonModelHelper(,$B20,"TARGET",$C$38,Z20,L20/100,I_ValuationDate!$E$5,I_ValuationDate!$E$6,"RelativePriceError")</f>
        <v>obj_005c2#0003</v>
      </c>
      <c r="BF20" s="268" t="str">
        <f>_xll.qlHestonModelHelper(,$B20,"TARGET",$C$38,AA20,M20/100,I_ValuationDate!$E$5,I_ValuationDate!$E$6,"RelativePriceError")</f>
        <v>obj_003f8#0003</v>
      </c>
    </row>
    <row r="21" spans="2:58">
      <c r="B21" s="105" t="s">
        <v>68</v>
      </c>
      <c r="C21" s="98">
        <v>12.358000000000001</v>
      </c>
      <c r="D21" s="99">
        <v>11.427</v>
      </c>
      <c r="E21" s="99">
        <v>10.804</v>
      </c>
      <c r="F21" s="99">
        <v>9.91</v>
      </c>
      <c r="G21" s="99">
        <v>9.33</v>
      </c>
      <c r="H21" s="99">
        <v>8.8149999999999995</v>
      </c>
      <c r="I21" s="99">
        <v>8.5749999999999993</v>
      </c>
      <c r="J21" s="99">
        <v>8.56</v>
      </c>
      <c r="K21" s="99">
        <v>8.7309999999999999</v>
      </c>
      <c r="L21" s="99">
        <v>8.9220000000000006</v>
      </c>
      <c r="M21" s="100">
        <v>9.2140000000000004</v>
      </c>
      <c r="O21" s="114">
        <f>_xll.qlCalendarAdvance("NullCalendar",$C$3,B21)</f>
        <v>43748</v>
      </c>
      <c r="P21" s="117">
        <f>(O21-$C$3)/365</f>
        <v>2</v>
      </c>
      <c r="Q21" s="125">
        <f>_xll.qlBlackDeltaCalculatorStrikeFromDelta(_xll.qlBlackDeltaCalculator(,Q$6,"Spot",$C$38,1,1,C21%*SQRT($P21)),Q$7)</f>
        <v>13.710680857382599</v>
      </c>
      <c r="R21" s="126">
        <f>_xll.qlBlackDeltaCalculatorStrikeFromDelta(_xll.qlBlackDeltaCalculator(,R$6,"Spot",$C$38,1,1,D21%*SQRT($P21)),R$7)</f>
        <v>14.825191459149853</v>
      </c>
      <c r="S21" s="126">
        <f>_xll.qlBlackDeltaCalculatorStrikeFromDelta(_xll.qlBlackDeltaCalculator(,S$6,"Spot",$C$38,1,1,E21%*SQRT($P21)),S$7)</f>
        <v>15.544176221431295</v>
      </c>
      <c r="T21" s="126">
        <f>_xll.qlBlackDeltaCalculatorStrikeFromDelta(_xll.qlBlackDeltaCalculator(,T$6,"Spot",$C$38,1,1,F21%*SQRT($P21)),T$7)</f>
        <v>16.538050187095227</v>
      </c>
      <c r="U21" s="126">
        <f>_xll.qlBlackDeltaCalculatorStrikeFromDelta(_xll.qlBlackDeltaCalculator(,U$6,"Spot",$C$38,1,1,G21%*SQRT($P21)),U$7)</f>
        <v>17.257297635440519</v>
      </c>
      <c r="V21" s="127">
        <f>_xll.qlBlackDeltaCalculatorAtmStrike(_xll.qlBlackDeltaCalculator(,V$6,"Spot",$C$38,1,1,H21%*SQRT($P21)),"AtmFwd")</f>
        <v>18</v>
      </c>
      <c r="W21" s="126">
        <f>_xll.qlBlackDeltaCalculatorStrikeFromDelta(_xll.qlBlackDeltaCalculator(,W$6,"Spot",$C$38,1,1,I21%*SQRT($P21)),W$7)</f>
        <v>19.000250740639988</v>
      </c>
      <c r="X21" s="126">
        <f>_xll.qlBlackDeltaCalculatorStrikeFromDelta(_xll.qlBlackDeltaCalculator(,X$6,"Spot",$C$38,1,1,J21%*SQRT($P21)),X$7)</f>
        <v>19.675035692099911</v>
      </c>
      <c r="Y21" s="126">
        <f>_xll.qlBlackDeltaCalculatorStrikeFromDelta(_xll.qlBlackDeltaCalculator(,Y$6,"Spot",$C$38,1,1,K21%*SQRT($P21)),Y$7)</f>
        <v>20.613957451063424</v>
      </c>
      <c r="Z21" s="126">
        <f>_xll.qlBlackDeltaCalculatorStrikeFromDelta(_xll.qlBlackDeltaCalculator(,Z$6,"Spot",$C$38,1,1,L21%*SQRT($P21)),Z$7)</f>
        <v>21.328264997555255</v>
      </c>
      <c r="AA21" s="128">
        <f>_xll.qlBlackDeltaCalculatorStrikeFromDelta(_xll.qlBlackDeltaCalculator(,AA$6,"Spot",$C$38,1,1,M21%*SQRT($P21)),AA$7)</f>
        <v>22.492799548780596</v>
      </c>
      <c r="AC21" s="140">
        <f>$C$38</f>
        <v>18</v>
      </c>
      <c r="AD21" s="144">
        <v>7.6759318060925993E-2</v>
      </c>
      <c r="AE21" s="145">
        <v>0.7</v>
      </c>
      <c r="AF21" s="145">
        <v>0.1081955801652924</v>
      </c>
      <c r="AG21" s="146">
        <v>0.47706324738210776</v>
      </c>
      <c r="AH21" s="155" t="str">
        <f t="array" ref="AH21">_xll.qlSabrInterpolatedSmileSection(,O21,AC21,Q21:AA21,FALSE,H21%,C21:M21%,AD21,AE21,AG21,AF21,AD$6,AE$6,AG$6,AF$6,TRUE,,,"Actual/365 (Fixed)",0,FALSE)</f>
        <v>obj_00644#0003</v>
      </c>
      <c r="AI21" s="156">
        <f>_xll.qlSabrInterpolatedSmileSectionMaxError(AH21)</f>
        <v>2.5866681514321449E-3</v>
      </c>
      <c r="AJ21" s="157">
        <f>_xll.qlSabrInterpolatedSmileSectionAlpha(AH21)</f>
        <v>0.20576520971477213</v>
      </c>
      <c r="AK21" s="156">
        <f>_xll.qlSabrInterpolatedSmileSectionBeta(AH21)</f>
        <v>0.7</v>
      </c>
      <c r="AL21" s="158">
        <f>_xll.qlSabrInterpolatedSmileSectionRho(AH21)</f>
        <v>-0.2681395148300954</v>
      </c>
      <c r="AM21" s="159">
        <f>_xll.qlSabrInterpolatedSmileSectionNu(AH21)</f>
        <v>0.48156760243602204</v>
      </c>
      <c r="AN21" s="105" t="s">
        <v>68</v>
      </c>
      <c r="AU21" s="297">
        <f>T21</f>
        <v>16.538050187095227</v>
      </c>
      <c r="AV21" s="266" t="str">
        <f>_xll.qlHestonModelHelper(,$B21,"TARGET",$C$38,Q21,C21/100,I_ValuationDate!$E$5,I_ValuationDate!$E$6,"RelativePriceError")</f>
        <v>obj_00524#0003</v>
      </c>
      <c r="AW21" s="267" t="str">
        <f>_xll.qlHestonModelHelper(,$B21,"TARGET",$C$38,R21,D21/100,I_ValuationDate!$E$5,I_ValuationDate!$E$6,"RelativePriceError")</f>
        <v>obj_003f4#0003</v>
      </c>
      <c r="AX21" s="267" t="str">
        <f>_xll.qlHestonModelHelper(,$B21,"TARGET",$C$38,S21,E21/100,I_ValuationDate!$E$5,I_ValuationDate!$E$6,"RelativePriceError")</f>
        <v>obj_00494#0003</v>
      </c>
      <c r="AY21" s="267" t="str">
        <f>_xll.qlHestonModelHelper(,$B21,"TARGET",$C$38,T21,F21/100,I_ValuationDate!$E$5,I_ValuationDate!$E$6,"RelativePriceError")</f>
        <v>obj_00262#0003</v>
      </c>
      <c r="AZ21" s="267" t="str">
        <f>_xll.qlHestonModelHelper(,$B21,"TARGET",$C$38,U21,G21/100,I_ValuationDate!$E$5,I_ValuationDate!$E$6,"RelativePriceError")</f>
        <v>obj_00449#0003</v>
      </c>
      <c r="BA21" s="267" t="str">
        <f>_xll.qlHestonModelHelper(,$B21,"TARGET",$C$38,V21,H21/100,I_ValuationDate!$E$5,I_ValuationDate!$E$6,"RelativePriceError")</f>
        <v>obj_004d9#0003</v>
      </c>
      <c r="BB21" s="267" t="str">
        <f>_xll.qlHestonModelHelper(,$B21,"TARGET",$C$38,W21,I21/100,I_ValuationDate!$E$5,I_ValuationDate!$E$6,"RelativePriceError")</f>
        <v>obj_00591#0003</v>
      </c>
      <c r="BC21" s="267" t="str">
        <f>_xll.qlHestonModelHelper(,$B21,"TARGET",$C$38,X21,J21/100,I_ValuationDate!$E$5,I_ValuationDate!$E$6,"RelativePriceError")</f>
        <v>obj_00442#0003</v>
      </c>
      <c r="BD21" s="267" t="str">
        <f>_xll.qlHestonModelHelper(,$B21,"TARGET",$C$38,Y21,K21/100,I_ValuationDate!$E$5,I_ValuationDate!$E$6,"RelativePriceError")</f>
        <v>obj_00500#0003</v>
      </c>
      <c r="BE21" s="267" t="str">
        <f>_xll.qlHestonModelHelper(,$B21,"TARGET",$C$38,Z21,L21/100,I_ValuationDate!$E$5,I_ValuationDate!$E$6,"RelativePriceError")</f>
        <v>obj_0060f#0003</v>
      </c>
      <c r="BF21" s="268" t="str">
        <f>_xll.qlHestonModelHelper(,$B21,"TARGET",$C$38,AA21,M21/100,I_ValuationDate!$E$5,I_ValuationDate!$E$6,"RelativePriceError")</f>
        <v>obj_0051a#0003</v>
      </c>
    </row>
    <row r="22" spans="2:58">
      <c r="B22" s="105" t="s">
        <v>69</v>
      </c>
      <c r="C22" s="98">
        <v>12.836</v>
      </c>
      <c r="D22" s="99">
        <v>11.872</v>
      </c>
      <c r="E22" s="99">
        <v>11.225</v>
      </c>
      <c r="F22" s="99">
        <v>10.314</v>
      </c>
      <c r="G22" s="99">
        <v>9.73</v>
      </c>
      <c r="H22" s="99">
        <v>9.2050000000000001</v>
      </c>
      <c r="I22" s="99">
        <v>8.9350000000000005</v>
      </c>
      <c r="J22" s="99">
        <v>8.9009999999999998</v>
      </c>
      <c r="K22" s="99">
        <v>9.06</v>
      </c>
      <c r="L22" s="99">
        <v>9.2520000000000007</v>
      </c>
      <c r="M22" s="100">
        <v>9.5229999999999997</v>
      </c>
      <c r="O22" s="114">
        <f>_xll.qlCalendarAdvance("NullCalendar",$C$3,B22)</f>
        <v>44114</v>
      </c>
      <c r="P22" s="117">
        <f>(O22-$C$3)/365</f>
        <v>3.0027397260273974</v>
      </c>
      <c r="Q22" s="125">
        <f>_xll.qlBlackDeltaCalculatorStrikeFromDelta(_xll.qlBlackDeltaCalculator(,Q$6,"Spot",$C$38,1,1,C22%*SQRT($P22)),Q$7)</f>
        <v>12.797476737485157</v>
      </c>
      <c r="R22" s="126">
        <f>_xll.qlBlackDeltaCalculatorStrikeFromDelta(_xll.qlBlackDeltaCalculator(,R$6,"Spot",$C$38,1,1,D22%*SQRT($P22)),R$7)</f>
        <v>14.124179134907521</v>
      </c>
      <c r="S22" s="126">
        <f>_xll.qlBlackDeltaCalculatorStrikeFromDelta(_xll.qlBlackDeltaCalculator(,S$6,"Spot",$C$38,1,1,E22%*SQRT($P22)),S$7)</f>
        <v>14.994612045406832</v>
      </c>
      <c r="T22" s="126">
        <f>_xll.qlBlackDeltaCalculatorStrikeFromDelta(_xll.qlBlackDeltaCalculator(,T$6,"Spot",$C$38,1,1,F22%*SQRT($P22)),T$7)</f>
        <v>16.212697867351135</v>
      </c>
      <c r="U22" s="126">
        <f>_xll.qlBlackDeltaCalculatorStrikeFromDelta(_xll.qlBlackDeltaCalculator(,U$6,"Spot",$C$38,1,1,G22%*SQRT($P22)),U$7)</f>
        <v>17.10923745566172</v>
      </c>
      <c r="V22" s="127">
        <f>_xll.qlBlackDeltaCalculatorAtmStrike(_xll.qlBlackDeltaCalculator(,V$6,"Spot",$C$38,1,1,H22%*SQRT($P22)),"AtmFwd")</f>
        <v>18</v>
      </c>
      <c r="W22" s="126">
        <f>_xll.qlBlackDeltaCalculatorStrikeFromDelta(_xll.qlBlackDeltaCalculator(,W$6,"Spot",$C$38,1,1,I22%*SQRT($P22)),W$7)</f>
        <v>19.336930413494585</v>
      </c>
      <c r="X22" s="126">
        <f>_xll.qlBlackDeltaCalculatorStrikeFromDelta(_xll.qlBlackDeltaCalculator(,X$6,"Spot",$C$38,1,1,J22%*SQRT($P22)),X$7)</f>
        <v>20.212479910656782</v>
      </c>
      <c r="Y22" s="126">
        <f>_xll.qlBlackDeltaCalculatorStrikeFromDelta(_xll.qlBlackDeltaCalculator(,Y$6,"Spot",$C$38,1,1,K22%*SQRT($P22)),Y$7)</f>
        <v>21.443270359512489</v>
      </c>
      <c r="Z22" s="126">
        <f>_xll.qlBlackDeltaCalculatorStrikeFromDelta(_xll.qlBlackDeltaCalculator(,Z$6,"Spot",$C$38,1,1,L22%*SQRT($P22)),Z$7)</f>
        <v>22.391579131486992</v>
      </c>
      <c r="AA22" s="128">
        <f>_xll.qlBlackDeltaCalculatorStrikeFromDelta(_xll.qlBlackDeltaCalculator(,AA$6,"Spot",$C$38,1,1,M22%*SQRT($P22)),AA$7)</f>
        <v>23.936837358996492</v>
      </c>
      <c r="AC22" s="140">
        <f>$C$38</f>
        <v>18</v>
      </c>
      <c r="AD22" s="144">
        <v>8.1138569762371784E-2</v>
      </c>
      <c r="AE22" s="145">
        <v>0.7</v>
      </c>
      <c r="AF22" s="145">
        <v>6.0724095136522278E-2</v>
      </c>
      <c r="AG22" s="146">
        <v>0.38109633458214792</v>
      </c>
      <c r="AH22" s="155" t="str">
        <f t="array" ref="AH22">_xll.qlSabrInterpolatedSmileSection(,O22,AC22,Q22:AA22,FALSE,H22%,C22:M22%,AD22,AE22,AG22,AF22,AD$6,AE$6,AG$6,AF$6,TRUE,,,"Actual/365 (Fixed)",0,FALSE)</f>
        <v>obj_00636#0003</v>
      </c>
      <c r="AI22" s="156">
        <f>_xll.qlSabrInterpolatedSmileSectionMaxError(AH22)</f>
        <v>2.6077836538758725E-3</v>
      </c>
      <c r="AJ22" s="157">
        <f>_xll.qlSabrInterpolatedSmileSectionAlpha(AH22)</f>
        <v>0.21532032185139696</v>
      </c>
      <c r="AK22" s="156">
        <f>_xll.qlSabrInterpolatedSmileSectionBeta(AH22)</f>
        <v>0.7</v>
      </c>
      <c r="AL22" s="158">
        <f>_xll.qlSabrInterpolatedSmileSectionRho(AH22)</f>
        <v>-0.26637574007778531</v>
      </c>
      <c r="AM22" s="159">
        <f>_xll.qlSabrInterpolatedSmileSectionNu(AH22)</f>
        <v>0.38608638249266264</v>
      </c>
      <c r="AN22" s="105" t="s">
        <v>69</v>
      </c>
      <c r="AU22" s="297">
        <f>T22</f>
        <v>16.212697867351135</v>
      </c>
      <c r="AV22" s="266" t="str">
        <f>_xll.qlHestonModelHelper(,$B22,"TARGET",$C$38,Q22,C22/100,I_ValuationDate!$E$5,I_ValuationDate!$E$6,"RelativePriceError")</f>
        <v>obj_0043f#0003</v>
      </c>
      <c r="AW22" s="267" t="str">
        <f>_xll.qlHestonModelHelper(,$B22,"TARGET",$C$38,R22,D22/100,I_ValuationDate!$E$5,I_ValuationDate!$E$6,"RelativePriceError")</f>
        <v>obj_00470#0003</v>
      </c>
      <c r="AX22" s="267" t="str">
        <f>_xll.qlHestonModelHelper(,$B22,"TARGET",$C$38,S22,E22/100,I_ValuationDate!$E$5,I_ValuationDate!$E$6,"RelativePriceError")</f>
        <v>obj_0046a#0003</v>
      </c>
      <c r="AY22" s="267" t="str">
        <f>_xll.qlHestonModelHelper(,$B22,"TARGET",$C$38,T22,F22/100,I_ValuationDate!$E$5,I_ValuationDate!$E$6,"RelativePriceError")</f>
        <v>obj_002c4#0003</v>
      </c>
      <c r="AZ22" s="267" t="str">
        <f>_xll.qlHestonModelHelper(,$B22,"TARGET",$C$38,U22,G22/100,I_ValuationDate!$E$5,I_ValuationDate!$E$6,"RelativePriceError")</f>
        <v>obj_004bf#0003</v>
      </c>
      <c r="BA22" s="267" t="str">
        <f>_xll.qlHestonModelHelper(,$B22,"TARGET",$C$38,V22,H22/100,I_ValuationDate!$E$5,I_ValuationDate!$E$6,"RelativePriceError")</f>
        <v>obj_003cf#0003</v>
      </c>
      <c r="BB22" s="267" t="str">
        <f>_xll.qlHestonModelHelper(,$B22,"TARGET",$C$38,W22,I22/100,I_ValuationDate!$E$5,I_ValuationDate!$E$6,"RelativePriceError")</f>
        <v>obj_00443#0003</v>
      </c>
      <c r="BC22" s="267" t="str">
        <f>_xll.qlHestonModelHelper(,$B22,"TARGET",$C$38,X22,J22/100,I_ValuationDate!$E$5,I_ValuationDate!$E$6,"RelativePriceError")</f>
        <v>obj_00531#0003</v>
      </c>
      <c r="BD22" s="267" t="str">
        <f>_xll.qlHestonModelHelper(,$B22,"TARGET",$C$38,Y22,K22/100,I_ValuationDate!$E$5,I_ValuationDate!$E$6,"RelativePriceError")</f>
        <v>obj_0052f#0003</v>
      </c>
      <c r="BE22" s="267" t="str">
        <f>_xll.qlHestonModelHelper(,$B22,"TARGET",$C$38,Z22,L22/100,I_ValuationDate!$E$5,I_ValuationDate!$E$6,"RelativePriceError")</f>
        <v>obj_003b4#0003</v>
      </c>
      <c r="BF22" s="268" t="str">
        <f>_xll.qlHestonModelHelper(,$B22,"TARGET",$C$38,AA22,M22/100,I_ValuationDate!$E$5,I_ValuationDate!$E$6,"RelativePriceError")</f>
        <v>obj_00414#0003</v>
      </c>
    </row>
    <row r="23" spans="2:58">
      <c r="B23" s="105" t="s">
        <v>70</v>
      </c>
      <c r="C23" s="98">
        <v>13.037000000000001</v>
      </c>
      <c r="D23" s="99">
        <v>12.045999999999999</v>
      </c>
      <c r="E23" s="99">
        <v>11.39</v>
      </c>
      <c r="F23" s="99">
        <v>10.471</v>
      </c>
      <c r="G23" s="99">
        <v>9.8840000000000003</v>
      </c>
      <c r="H23" s="99">
        <v>9.35</v>
      </c>
      <c r="I23" s="99">
        <v>9.0660000000000007</v>
      </c>
      <c r="J23" s="99">
        <v>9.0239999999999991</v>
      </c>
      <c r="K23" s="99">
        <v>9.1850000000000005</v>
      </c>
      <c r="L23" s="99">
        <v>9.3889999999999993</v>
      </c>
      <c r="M23" s="100">
        <v>9.6549999999999994</v>
      </c>
      <c r="O23" s="114">
        <f>_xll.qlCalendarAdvance("NullCalendar",$C$3,B23)</f>
        <v>44479</v>
      </c>
      <c r="P23" s="117">
        <f>(O23-$C$3)/365</f>
        <v>4.0027397260273974</v>
      </c>
      <c r="Q23" s="125">
        <f>_xll.qlBlackDeltaCalculatorStrikeFromDelta(_xll.qlBlackDeltaCalculator(,Q$6,"Spot",$C$38,1,1,C23%*SQRT($P23)),Q$7)</f>
        <v>12.126119092555342</v>
      </c>
      <c r="R23" s="126">
        <f>_xll.qlBlackDeltaCalculatorStrikeFromDelta(_xll.qlBlackDeltaCalculator(,R$6,"Spot",$C$38,1,1,D23%*SQRT($P23)),R$7)</f>
        <v>13.606610449719497</v>
      </c>
      <c r="S23" s="126">
        <f>_xll.qlBlackDeltaCalculatorStrikeFromDelta(_xll.qlBlackDeltaCalculator(,S$6,"Spot",$C$38,1,1,E23%*SQRT($P23)),S$7)</f>
        <v>14.587362633819557</v>
      </c>
      <c r="T23" s="126">
        <f>_xll.qlBlackDeltaCalculatorStrikeFromDelta(_xll.qlBlackDeltaCalculator(,T$6,"Spot",$C$38,1,1,F23%*SQRT($P23)),T$7)</f>
        <v>15.974842426586486</v>
      </c>
      <c r="U23" s="126">
        <f>_xll.qlBlackDeltaCalculatorStrikeFromDelta(_xll.qlBlackDeltaCalculator(,U$6,"Spot",$C$38,1,1,G23%*SQRT($P23)),U$7)</f>
        <v>17.008744612710608</v>
      </c>
      <c r="V23" s="127">
        <f>_xll.qlBlackDeltaCalculatorAtmStrike(_xll.qlBlackDeltaCalculator(,V$6,"Spot",$C$38,1,1,H23%*SQRT($P23)),"AtmFwd")</f>
        <v>18</v>
      </c>
      <c r="W23" s="126">
        <f>_xll.qlBlackDeltaCalculatorStrikeFromDelta(_xll.qlBlackDeltaCalculator(,W$6,"Spot",$C$38,1,1,I23%*SQRT($P23)),W$7)</f>
        <v>19.623183875077498</v>
      </c>
      <c r="X23" s="126">
        <f>_xll.qlBlackDeltaCalculatorStrikeFromDelta(_xll.qlBlackDeltaCalculator(,X$6,"Spot",$C$38,1,1,J23%*SQRT($P23)),X$7)</f>
        <v>20.665032491076413</v>
      </c>
      <c r="Y23" s="126">
        <f>_xll.qlBlackDeltaCalculatorStrikeFromDelta(_xll.qlBlackDeltaCalculator(,Y$6,"Spot",$C$38,1,1,K23%*SQRT($P23)),Y$7)</f>
        <v>22.147268383898759</v>
      </c>
      <c r="Z23" s="126">
        <f>_xll.qlBlackDeltaCalculatorStrikeFromDelta(_xll.qlBlackDeltaCalculator(,Z$6,"Spot",$C$38,1,1,L23%*SQRT($P23)),Z$7)</f>
        <v>23.306834664529227</v>
      </c>
      <c r="AA23" s="128">
        <f>_xll.qlBlackDeltaCalculatorStrikeFromDelta(_xll.qlBlackDeltaCalculator(,AA$6,"Spot",$C$38,1,1,M23%*SQRT($P23)),AA$7)</f>
        <v>25.197841180698298</v>
      </c>
      <c r="AC23" s="140">
        <f>$C$38</f>
        <v>18</v>
      </c>
      <c r="AD23" s="144">
        <v>8.5091887966612365E-2</v>
      </c>
      <c r="AE23" s="145">
        <v>0.7</v>
      </c>
      <c r="AF23" s="145">
        <v>3.2814225257234625E-2</v>
      </c>
      <c r="AG23" s="146">
        <v>0.32287253598612942</v>
      </c>
      <c r="AH23" s="155" t="str">
        <f t="array" ref="AH23">_xll.qlSabrInterpolatedSmileSection(,O23,AC23,Q23:AA23,FALSE,H23%,C23:M23%,AD23,AE23,AG23,AF23,AD$6,AE$6,AG$6,AF$6,TRUE,,,"Actual/365 (Fixed)",0,FALSE)</f>
        <v>obj_0063b#0003</v>
      </c>
      <c r="AI23" s="156">
        <f>_xll.qlSabrInterpolatedSmileSectionMaxError(AH23)</f>
        <v>2.6688473637826726E-3</v>
      </c>
      <c r="AJ23" s="157">
        <f>_xll.qlSabrInterpolatedSmileSectionAlpha(AH23)</f>
        <v>0.21899991763294122</v>
      </c>
      <c r="AK23" s="156">
        <f>_xll.qlSabrInterpolatedSmileSectionBeta(AH23)</f>
        <v>0.7</v>
      </c>
      <c r="AL23" s="158">
        <f>_xll.qlSabrInterpolatedSmileSectionRho(AH23)</f>
        <v>-0.26184927651142847</v>
      </c>
      <c r="AM23" s="159">
        <f>_xll.qlSabrInterpolatedSmileSectionNu(AH23)</f>
        <v>0.33378922616361606</v>
      </c>
      <c r="AN23" s="105" t="s">
        <v>70</v>
      </c>
      <c r="AU23" s="297">
        <f>T23</f>
        <v>15.974842426586486</v>
      </c>
      <c r="AV23" s="266" t="str">
        <f>_xll.qlHestonModelHelper(,$B23,"TARGET",$C$38,Q23,C23/100,I_ValuationDate!$E$5,I_ValuationDate!$E$6,"RelativePriceError")</f>
        <v>obj_00609#0003</v>
      </c>
      <c r="AW23" s="267" t="str">
        <f>_xll.qlHestonModelHelper(,$B23,"TARGET",$C$38,R23,D23/100,I_ValuationDate!$E$5,I_ValuationDate!$E$6,"RelativePriceError")</f>
        <v>obj_0053c#0003</v>
      </c>
      <c r="AX23" s="267" t="str">
        <f>_xll.qlHestonModelHelper(,$B23,"TARGET",$C$38,S23,E23/100,I_ValuationDate!$E$5,I_ValuationDate!$E$6,"RelativePriceError")</f>
        <v>obj_00502#0003</v>
      </c>
      <c r="AY23" s="267" t="str">
        <f>_xll.qlHestonModelHelper(,$B23,"TARGET",$C$38,T23,F23/100,I_ValuationDate!$E$5,I_ValuationDate!$E$6,"RelativePriceError")</f>
        <v>obj_002cf#0003</v>
      </c>
      <c r="AZ23" s="267" t="str">
        <f>_xll.qlHestonModelHelper(,$B23,"TARGET",$C$38,U23,G23/100,I_ValuationDate!$E$5,I_ValuationDate!$E$6,"RelativePriceError")</f>
        <v>obj_003a0#0003</v>
      </c>
      <c r="BA23" s="267" t="str">
        <f>_xll.qlHestonModelHelper(,$B23,"TARGET",$C$38,V23,H23/100,I_ValuationDate!$E$5,I_ValuationDate!$E$6,"RelativePriceError")</f>
        <v>obj_00606#0003</v>
      </c>
      <c r="BB23" s="267" t="str">
        <f>_xll.qlHestonModelHelper(,$B23,"TARGET",$C$38,W23,I23/100,I_ValuationDate!$E$5,I_ValuationDate!$E$6,"RelativePriceError")</f>
        <v>obj_0053a#0003</v>
      </c>
      <c r="BC23" s="267" t="str">
        <f>_xll.qlHestonModelHelper(,$B23,"TARGET",$C$38,X23,J23/100,I_ValuationDate!$E$5,I_ValuationDate!$E$6,"RelativePriceError")</f>
        <v>obj_00521#0003</v>
      </c>
      <c r="BD23" s="267" t="str">
        <f>_xll.qlHestonModelHelper(,$B23,"TARGET",$C$38,Y23,K23/100,I_ValuationDate!$E$5,I_ValuationDate!$E$6,"RelativePriceError")</f>
        <v>obj_0042c#0003</v>
      </c>
      <c r="BE23" s="267" t="str">
        <f>_xll.qlHestonModelHelper(,$B23,"TARGET",$C$38,Z23,L23/100,I_ValuationDate!$E$5,I_ValuationDate!$E$6,"RelativePriceError")</f>
        <v>obj_005df#0003</v>
      </c>
      <c r="BF23" s="268" t="str">
        <f>_xll.qlHestonModelHelper(,$B23,"TARGET",$C$38,AA23,M23/100,I_ValuationDate!$E$5,I_ValuationDate!$E$6,"RelativePriceError")</f>
        <v>obj_005b9#0003</v>
      </c>
    </row>
    <row r="24" spans="2:58">
      <c r="B24" s="105" t="s">
        <v>71</v>
      </c>
      <c r="C24" s="98">
        <v>13.154999999999999</v>
      </c>
      <c r="D24" s="99">
        <v>12.154</v>
      </c>
      <c r="E24" s="99">
        <v>11.494</v>
      </c>
      <c r="F24" s="99">
        <v>10.571999999999999</v>
      </c>
      <c r="G24" s="99">
        <v>9.9939999999999998</v>
      </c>
      <c r="H24" s="99">
        <v>9.4670000000000005</v>
      </c>
      <c r="I24" s="99">
        <v>9.1910000000000007</v>
      </c>
      <c r="J24" s="99">
        <v>9.1470000000000002</v>
      </c>
      <c r="K24" s="99">
        <v>9.3010000000000002</v>
      </c>
      <c r="L24" s="99">
        <v>9.4909999999999997</v>
      </c>
      <c r="M24" s="100">
        <v>9.7490000000000006</v>
      </c>
      <c r="O24" s="114">
        <f>_xll.qlCalendarAdvance("NullCalendar",$C$3,B24)</f>
        <v>44844</v>
      </c>
      <c r="P24" s="117">
        <f>(O24-$C$3)/365</f>
        <v>5.0027397260273974</v>
      </c>
      <c r="Q24" s="125">
        <f>_xll.qlBlackDeltaCalculatorStrikeFromDelta(_xll.qlBlackDeltaCalculator(,Q$6,"Spot",$C$38,1,1,C24%*SQRT($P24)),Q$7)</f>
        <v>11.584696206821937</v>
      </c>
      <c r="R24" s="126">
        <f>_xll.qlBlackDeltaCalculatorStrikeFromDelta(_xll.qlBlackDeltaCalculator(,R$6,"Spot",$C$38,1,1,D24%*SQRT($P24)),R$7)</f>
        <v>13.183117899133247</v>
      </c>
      <c r="S24" s="126">
        <f>_xll.qlBlackDeltaCalculatorStrikeFromDelta(_xll.qlBlackDeltaCalculator(,S$6,"Spot",$C$38,1,1,E24%*SQRT($P24)),S$7)</f>
        <v>14.252999305046167</v>
      </c>
      <c r="T24" s="126">
        <f>_xll.qlBlackDeltaCalculatorStrikeFromDelta(_xll.qlBlackDeltaCalculator(,T$6,"Spot",$C$38,1,1,F24%*SQRT($P24)),T$7)</f>
        <v>15.781490419367156</v>
      </c>
      <c r="U24" s="126">
        <f>_xll.qlBlackDeltaCalculatorStrikeFromDelta(_xll.qlBlackDeltaCalculator(,U$6,"Spot",$C$38,1,1,G24%*SQRT($P24)),U$7)</f>
        <v>16.932304082292195</v>
      </c>
      <c r="V24" s="127">
        <f>_xll.qlBlackDeltaCalculatorAtmStrike(_xll.qlBlackDeltaCalculator(,V$6,"Spot",$C$38,1,1,H24%*SQRT($P24)),"AtmFwd")</f>
        <v>18</v>
      </c>
      <c r="W24" s="126">
        <f>_xll.qlBlackDeltaCalculatorStrikeFromDelta(_xll.qlBlackDeltaCalculator(,W$6,"Spot",$C$38,1,1,I24%*SQRT($P24)),W$7)</f>
        <v>19.899877027003679</v>
      </c>
      <c r="X24" s="126">
        <f>_xll.qlBlackDeltaCalculatorStrikeFromDelta(_xll.qlBlackDeltaCalculator(,X$6,"Spot",$C$38,1,1,J24%*SQRT($P24)),X$7)</f>
        <v>21.100429957582236</v>
      </c>
      <c r="Y24" s="126">
        <f>_xll.qlBlackDeltaCalculatorStrikeFromDelta(_xll.qlBlackDeltaCalculator(,Y$6,"Spot",$C$38,1,1,K24%*SQRT($P24)),Y$7)</f>
        <v>22.819690570054679</v>
      </c>
      <c r="Z24" s="126">
        <f>_xll.qlBlackDeltaCalculatorStrikeFromDelta(_xll.qlBlackDeltaCalculator(,Z$6,"Spot",$C$38,1,1,L24%*SQRT($P24)),Z$7)</f>
        <v>24.166223231930701</v>
      </c>
      <c r="AA24" s="128">
        <f>_xll.qlBlackDeltaCalculatorStrikeFromDelta(_xll.qlBlackDeltaCalculator(,AA$6,"Spot",$C$38,1,1,M24%*SQRT($P24)),AA$7)</f>
        <v>26.385441845712645</v>
      </c>
      <c r="AC24" s="140">
        <f>$C$38</f>
        <v>18</v>
      </c>
      <c r="AD24" s="144">
        <v>8.838374420436991E-2</v>
      </c>
      <c r="AE24" s="145">
        <v>0.7</v>
      </c>
      <c r="AF24" s="145">
        <v>2.5198165658626964E-2</v>
      </c>
      <c r="AG24" s="146">
        <v>0.28660648187627935</v>
      </c>
      <c r="AH24" s="155" t="str">
        <f t="array" ref="AH24">_xll.qlSabrInterpolatedSmileSection(,O24,AC24,Q24:AA24,FALSE,H24%,C24:M24%,AD24,AE24,AG24,AF24,AD$6,AE$6,AG$6,AF$6,TRUE,,,"Actual/365 (Fixed)",0,FALSE)</f>
        <v>obj_0064a#0003</v>
      </c>
      <c r="AI24" s="156">
        <f>_xll.qlSabrInterpolatedSmileSectionMaxError(AH24)</f>
        <v>2.5659055987324597E-3</v>
      </c>
      <c r="AJ24" s="157">
        <f>_xll.qlSabrInterpolatedSmileSectionAlpha(AH24)</f>
        <v>0.22211471898280424</v>
      </c>
      <c r="AK24" s="156">
        <f>_xll.qlSabrInterpolatedSmileSectionBeta(AH24)</f>
        <v>0.7</v>
      </c>
      <c r="AL24" s="158">
        <f>_xll.qlSabrInterpolatedSmileSectionRho(AH24)</f>
        <v>-0.25318142554678569</v>
      </c>
      <c r="AM24" s="159">
        <f>_xll.qlSabrInterpolatedSmileSectionNu(AH24)</f>
        <v>0.29583278375411903</v>
      </c>
      <c r="AN24" s="105" t="s">
        <v>71</v>
      </c>
      <c r="AU24" s="297">
        <f>T24</f>
        <v>15.781490419367156</v>
      </c>
      <c r="AV24" s="266" t="str">
        <f>_xll.qlHestonModelHelper(,$B24,"TARGET",$C$38,Q24,C24/100,I_ValuationDate!$E$5,I_ValuationDate!$E$6,"RelativePriceError")</f>
        <v>obj_00450#0003</v>
      </c>
      <c r="AW24" s="267" t="str">
        <f>_xll.qlHestonModelHelper(,$B24,"TARGET",$C$38,R24,D24/100,I_ValuationDate!$E$5,I_ValuationDate!$E$6,"RelativePriceError")</f>
        <v>obj_0058f#0003</v>
      </c>
      <c r="AX24" s="267" t="str">
        <f>_xll.qlHestonModelHelper(,$B24,"TARGET",$C$38,S24,E24/100,I_ValuationDate!$E$5,I_ValuationDate!$E$6,"RelativePriceError")</f>
        <v>obj_0046f#0003</v>
      </c>
      <c r="AY24" s="267" t="str">
        <f>_xll.qlHestonModelHelper(,$B24,"TARGET",$C$38,T24,F24/100,I_ValuationDate!$E$5,I_ValuationDate!$E$6,"RelativePriceError")</f>
        <v>obj_002cc#0003</v>
      </c>
      <c r="AZ24" s="267" t="str">
        <f>_xll.qlHestonModelHelper(,$B24,"TARGET",$C$38,U24,G24/100,I_ValuationDate!$E$5,I_ValuationDate!$E$6,"RelativePriceError")</f>
        <v>obj_0047d#0003</v>
      </c>
      <c r="BA24" s="267" t="str">
        <f>_xll.qlHestonModelHelper(,$B24,"TARGET",$C$38,V24,H24/100,I_ValuationDate!$E$5,I_ValuationDate!$E$6,"RelativePriceError")</f>
        <v>obj_004a3#0003</v>
      </c>
      <c r="BB24" s="267" t="str">
        <f>_xll.qlHestonModelHelper(,$B24,"TARGET",$C$38,W24,I24/100,I_ValuationDate!$E$5,I_ValuationDate!$E$6,"RelativePriceError")</f>
        <v>obj_005f2#0003</v>
      </c>
      <c r="BC24" s="267" t="str">
        <f>_xll.qlHestonModelHelper(,$B24,"TARGET",$C$38,X24,J24/100,I_ValuationDate!$E$5,I_ValuationDate!$E$6,"RelativePriceError")</f>
        <v>obj_004f5#0003</v>
      </c>
      <c r="BD24" s="267" t="str">
        <f>_xll.qlHestonModelHelper(,$B24,"TARGET",$C$38,Y24,K24/100,I_ValuationDate!$E$5,I_ValuationDate!$E$6,"RelativePriceError")</f>
        <v>obj_003c3#0003</v>
      </c>
      <c r="BE24" s="267" t="str">
        <f>_xll.qlHestonModelHelper(,$B24,"TARGET",$C$38,Z24,L24/100,I_ValuationDate!$E$5,I_ValuationDate!$E$6,"RelativePriceError")</f>
        <v>obj_003cb#0003</v>
      </c>
      <c r="BF24" s="268" t="str">
        <f>_xll.qlHestonModelHelper(,$B24,"TARGET",$C$38,AA24,M24/100,I_ValuationDate!$E$5,I_ValuationDate!$E$6,"RelativePriceError")</f>
        <v>obj_00506#0003</v>
      </c>
    </row>
    <row r="25" spans="2:58">
      <c r="B25" s="105" t="s">
        <v>72</v>
      </c>
      <c r="C25" s="98">
        <v>13.21</v>
      </c>
      <c r="D25" s="99">
        <v>12.269</v>
      </c>
      <c r="E25" s="99">
        <v>11.632999999999999</v>
      </c>
      <c r="F25" s="99">
        <v>10.76</v>
      </c>
      <c r="G25" s="99">
        <v>10.196999999999999</v>
      </c>
      <c r="H25" s="99">
        <v>9.673</v>
      </c>
      <c r="I25" s="99">
        <v>9.3940000000000001</v>
      </c>
      <c r="J25" s="99">
        <v>9.3450000000000006</v>
      </c>
      <c r="K25" s="99">
        <v>9.4480000000000004</v>
      </c>
      <c r="L25" s="99">
        <v>9.5739999999999998</v>
      </c>
      <c r="M25" s="100">
        <v>9.7840000000000007</v>
      </c>
      <c r="O25" s="114">
        <f>_xll.qlCalendarAdvance("NullCalendar",$C$3,B25)</f>
        <v>45209</v>
      </c>
      <c r="P25" s="117">
        <f>(O25-$C$3)/365</f>
        <v>6.0027397260273974</v>
      </c>
      <c r="Q25" s="125">
        <f>_xll.qlBlackDeltaCalculatorStrikeFromDelta(_xll.qlBlackDeltaCalculator(,Q$6,"Spot",$C$38,1,1,C25%*SQRT($P25)),Q$7)</f>
        <v>11.138277624904646</v>
      </c>
      <c r="R25" s="126">
        <f>_xll.qlBlackDeltaCalculatorStrikeFromDelta(_xll.qlBlackDeltaCalculator(,R$6,"Spot",$C$38,1,1,D25%*SQRT($P25)),R$7)</f>
        <v>12.811215122031593</v>
      </c>
      <c r="S25" s="126">
        <f>_xll.qlBlackDeltaCalculatorStrikeFromDelta(_xll.qlBlackDeltaCalculator(,S$6,"Spot",$C$38,1,1,E25%*SQRT($P25)),S$7)</f>
        <v>13.951542531544648</v>
      </c>
      <c r="T25" s="126">
        <f>_xll.qlBlackDeltaCalculatorStrikeFromDelta(_xll.qlBlackDeltaCalculator(,T$6,"Spot",$C$38,1,1,F25%*SQRT($P25)),T$7)</f>
        <v>15.60058415335282</v>
      </c>
      <c r="U25" s="126">
        <f>_xll.qlBlackDeltaCalculatorStrikeFromDelta(_xll.qlBlackDeltaCalculator(,U$6,"Spot",$C$38,1,1,G25%*SQRT($P25)),U$7)</f>
        <v>16.866247888206715</v>
      </c>
      <c r="V25" s="127">
        <f>_xll.qlBlackDeltaCalculatorAtmStrike(_xll.qlBlackDeltaCalculator(,V$6,"Spot",$C$38,1,1,H25%*SQRT($P25)),"AtmFwd")</f>
        <v>18</v>
      </c>
      <c r="W25" s="126">
        <f>_xll.qlBlackDeltaCalculatorStrikeFromDelta(_xll.qlBlackDeltaCalculator(,W$6,"Spot",$C$38,1,1,I25%*SQRT($P25)),W$7)</f>
        <v>20.197169069367106</v>
      </c>
      <c r="X25" s="126">
        <f>_xll.qlBlackDeltaCalculatorStrikeFromDelta(_xll.qlBlackDeltaCalculator(,X$6,"Spot",$C$38,1,1,J25%*SQRT($P25)),X$7)</f>
        <v>21.563706061088453</v>
      </c>
      <c r="Y25" s="126">
        <f>_xll.qlBlackDeltaCalculatorStrikeFromDelta(_xll.qlBlackDeltaCalculator(,Y$6,"Spot",$C$38,1,1,K25%*SQRT($P25)),Y$7)</f>
        <v>23.501814791556463</v>
      </c>
      <c r="Z25" s="126">
        <f>_xll.qlBlackDeltaCalculatorStrikeFromDelta(_xll.qlBlackDeltaCalculator(,Z$6,"Spot",$C$38,1,1,L25%*SQRT($P25)),Z$7)</f>
        <v>24.990439688491044</v>
      </c>
      <c r="AA25" s="128">
        <f>_xll.qlBlackDeltaCalculatorStrikeFromDelta(_xll.qlBlackDeltaCalculator(,AA$6,"Spot",$C$38,1,1,M25%*SQRT($P25)),AA$7)</f>
        <v>27.47826460174192</v>
      </c>
      <c r="AC25" s="140">
        <f>$C$38</f>
        <v>18</v>
      </c>
      <c r="AD25" s="144">
        <v>8.9624814645010292E-2</v>
      </c>
      <c r="AE25" s="145">
        <v>0.7</v>
      </c>
      <c r="AF25" s="145">
        <v>3.2037711763331672E-2</v>
      </c>
      <c r="AG25" s="146">
        <v>0.26168631984052831</v>
      </c>
      <c r="AH25" s="155" t="str">
        <f t="array" ref="AH25">_xll.qlSabrInterpolatedSmileSection(,O25,AC25,Q25:AA25,FALSE,H25%,C25:M25%,AD25,AE25,AG25,AF25,AD$6,AE$6,AG$6,AF$6,TRUE,,,"Actual/365 (Fixed)",0,FALSE)</f>
        <v>obj_00634#0003</v>
      </c>
      <c r="AI25" s="156">
        <f>_xll.qlSabrInterpolatedSmileSectionMaxError(AH25)</f>
        <v>2.462604749394165E-3</v>
      </c>
      <c r="AJ25" s="157">
        <f>_xll.qlSabrInterpolatedSmileSectionAlpha(AH25)</f>
        <v>0.22806796861585704</v>
      </c>
      <c r="AK25" s="156">
        <f>_xll.qlSabrInterpolatedSmileSectionBeta(AH25)</f>
        <v>0.7</v>
      </c>
      <c r="AL25" s="158">
        <f>_xll.qlSabrInterpolatedSmileSectionRho(AH25)</f>
        <v>-0.25095133079058179</v>
      </c>
      <c r="AM25" s="159">
        <f>_xll.qlSabrInterpolatedSmileSectionNu(AH25)</f>
        <v>0.25644237206007037</v>
      </c>
      <c r="AN25" s="105" t="s">
        <v>72</v>
      </c>
      <c r="AU25" s="297">
        <f>T25</f>
        <v>15.60058415335282</v>
      </c>
      <c r="AV25" s="266" t="str">
        <f>_xll.qlHestonModelHelper(,$B25,"TARGET",$C$38,Q25,C25/100,I_ValuationDate!$E$5,I_ValuationDate!$E$6,"RelativePriceError")</f>
        <v>obj_0051e#0003</v>
      </c>
      <c r="AW25" s="267" t="str">
        <f>_xll.qlHestonModelHelper(,$B25,"TARGET",$C$38,R25,D25/100,I_ValuationDate!$E$5,I_ValuationDate!$E$6,"RelativePriceError")</f>
        <v>obj_00554#0003</v>
      </c>
      <c r="AX25" s="267" t="str">
        <f>_xll.qlHestonModelHelper(,$B25,"TARGET",$C$38,S25,E25/100,I_ValuationDate!$E$5,I_ValuationDate!$E$6,"RelativePriceError")</f>
        <v>obj_00416#0003</v>
      </c>
      <c r="AY25" s="267" t="str">
        <f>_xll.qlHestonModelHelper(,$B25,"TARGET",$C$38,T25,F25/100,I_ValuationDate!$E$5,I_ValuationDate!$E$6,"RelativePriceError")</f>
        <v>obj_001a2#0003</v>
      </c>
      <c r="AZ25" s="267" t="str">
        <f>_xll.qlHestonModelHelper(,$B25,"TARGET",$C$38,U25,G25/100,I_ValuationDate!$E$5,I_ValuationDate!$E$6,"RelativePriceError")</f>
        <v>obj_00429#0003</v>
      </c>
      <c r="BA25" s="267" t="str">
        <f>_xll.qlHestonModelHelper(,$B25,"TARGET",$C$38,V25,H25/100,I_ValuationDate!$E$5,I_ValuationDate!$E$6,"RelativePriceError")</f>
        <v>obj_00444#0003</v>
      </c>
      <c r="BB25" s="267" t="str">
        <f>_xll.qlHestonModelHelper(,$B25,"TARGET",$C$38,W25,I25/100,I_ValuationDate!$E$5,I_ValuationDate!$E$6,"RelativePriceError")</f>
        <v>obj_0039d#0003</v>
      </c>
      <c r="BC25" s="267" t="str">
        <f>_xll.qlHestonModelHelper(,$B25,"TARGET",$C$38,X25,J25/100,I_ValuationDate!$E$5,I_ValuationDate!$E$6,"RelativePriceError")</f>
        <v>obj_00556#0003</v>
      </c>
      <c r="BD25" s="267" t="str">
        <f>_xll.qlHestonModelHelper(,$B25,"TARGET",$C$38,Y25,K25/100,I_ValuationDate!$E$5,I_ValuationDate!$E$6,"RelativePriceError")</f>
        <v>obj_00435#0003</v>
      </c>
      <c r="BE25" s="267" t="str">
        <f>_xll.qlHestonModelHelper(,$B25,"TARGET",$C$38,Z25,L25/100,I_ValuationDate!$E$5,I_ValuationDate!$E$6,"RelativePriceError")</f>
        <v>obj_004da#0003</v>
      </c>
      <c r="BF25" s="268" t="str">
        <f>_xll.qlHestonModelHelper(,$B25,"TARGET",$C$38,AA25,M25/100,I_ValuationDate!$E$5,I_ValuationDate!$E$6,"RelativePriceError")</f>
        <v>obj_0049b#0003</v>
      </c>
    </row>
    <row r="26" spans="2:58">
      <c r="B26" s="105" t="s">
        <v>73</v>
      </c>
      <c r="C26" s="98">
        <v>13.247999999999999</v>
      </c>
      <c r="D26" s="99">
        <v>12.324999999999999</v>
      </c>
      <c r="E26" s="99">
        <v>11.738</v>
      </c>
      <c r="F26" s="99">
        <v>10.895</v>
      </c>
      <c r="G26" s="99">
        <v>10.337999999999999</v>
      </c>
      <c r="H26" s="99">
        <v>9.8149999999999995</v>
      </c>
      <c r="I26" s="99">
        <v>9.5329999999999995</v>
      </c>
      <c r="J26" s="99">
        <v>9.4749999999999996</v>
      </c>
      <c r="K26" s="99">
        <v>9.5429999999999993</v>
      </c>
      <c r="L26" s="99">
        <v>9.6449999999999996</v>
      </c>
      <c r="M26" s="100">
        <v>9.8130000000000006</v>
      </c>
      <c r="O26" s="114">
        <f>_xll.qlCalendarAdvance("NullCalendar",$C$3,B26)</f>
        <v>45575</v>
      </c>
      <c r="P26" s="117">
        <f>(O26-$C$3)/365</f>
        <v>7.0054794520547947</v>
      </c>
      <c r="Q26" s="125">
        <f>_xll.qlBlackDeltaCalculatorStrikeFromDelta(_xll.qlBlackDeltaCalculator(,Q$6,"Spot",$C$38,1,1,C26%*SQRT($P26)),Q$7)</f>
        <v>10.751941510100865</v>
      </c>
      <c r="R26" s="126">
        <f>_xll.qlBlackDeltaCalculatorStrikeFromDelta(_xll.qlBlackDeltaCalculator(,R$6,"Spot",$C$38,1,1,D26%*SQRT($P26)),R$7)</f>
        <v>12.497356482044237</v>
      </c>
      <c r="S26" s="126">
        <f>_xll.qlBlackDeltaCalculatorStrikeFromDelta(_xll.qlBlackDeltaCalculator(,S$6,"Spot",$C$38,1,1,E26%*SQRT($P26)),S$7)</f>
        <v>13.689564099877774</v>
      </c>
      <c r="T26" s="126">
        <f>_xll.qlBlackDeltaCalculatorStrikeFromDelta(_xll.qlBlackDeltaCalculator(,T$6,"Spot",$C$38,1,1,F26%*SQRT($P26)),T$7)</f>
        <v>15.447524744563138</v>
      </c>
      <c r="U26" s="126">
        <f>_xll.qlBlackDeltaCalculatorStrikeFromDelta(_xll.qlBlackDeltaCalculator(,U$6,"Spot",$C$38,1,1,G26%*SQRT($P26)),U$7)</f>
        <v>16.816722660519595</v>
      </c>
      <c r="V26" s="127">
        <f>_xll.qlBlackDeltaCalculatorAtmStrike(_xll.qlBlackDeltaCalculator(,V$6,"Spot",$C$38,1,1,H26%*SQRT($P26)),"AtmFwd")</f>
        <v>18</v>
      </c>
      <c r="W26" s="126">
        <f>_xll.qlBlackDeltaCalculatorStrikeFromDelta(_xll.qlBlackDeltaCalculator(,W$6,"Spot",$C$38,1,1,I26%*SQRT($P26)),W$7)</f>
        <v>20.479560536470753</v>
      </c>
      <c r="X26" s="126">
        <f>_xll.qlBlackDeltaCalculatorStrikeFromDelta(_xll.qlBlackDeltaCalculator(,X$6,"Spot",$C$38,1,1,J26%*SQRT($P26)),X$7)</f>
        <v>21.998371061828468</v>
      </c>
      <c r="Y26" s="126">
        <f>_xll.qlBlackDeltaCalculatorStrikeFromDelta(_xll.qlBlackDeltaCalculator(,Y$6,"Spot",$C$38,1,1,K26%*SQRT($P26)),Y$7)</f>
        <v>24.144487733810255</v>
      </c>
      <c r="Z26" s="126">
        <f>_xll.qlBlackDeltaCalculatorStrikeFromDelta(_xll.qlBlackDeltaCalculator(,Z$6,"Spot",$C$38,1,1,L26%*SQRT($P26)),Z$7)</f>
        <v>25.793283547165686</v>
      </c>
      <c r="AA26" s="128">
        <f>_xll.qlBlackDeltaCalculatorStrikeFromDelta(_xll.qlBlackDeltaCalculator(,AA$6,"Spot",$C$38,1,1,M26%*SQRT($P26)),AA$7)</f>
        <v>28.540320703329087</v>
      </c>
      <c r="AC26" s="140">
        <f>$C$38</f>
        <v>18</v>
      </c>
      <c r="AD26" s="144">
        <v>9.0551487818139667E-2</v>
      </c>
      <c r="AE26" s="145">
        <v>0.7</v>
      </c>
      <c r="AF26" s="145">
        <v>3.6961729944901961E-2</v>
      </c>
      <c r="AG26" s="146">
        <v>0.24167653869772132</v>
      </c>
      <c r="AH26" s="155" t="str">
        <f t="array" ref="AH26">_xll.qlSabrInterpolatedSmileSection(,O26,AC26,Q26:AA26,FALSE,H26%,C26:M26%,AD26,AE26,AG26,AF26,AD$6,AE$6,AG$6,AF$6,TRUE,,,"Actual/365 (Fixed)",0,FALSE)</f>
        <v>obj_00625#0003</v>
      </c>
      <c r="AI26" s="156">
        <f>_xll.qlSabrInterpolatedSmileSectionMaxError(AH26)</f>
        <v>2.3872836058227709E-3</v>
      </c>
      <c r="AJ26" s="157">
        <f>_xll.qlSabrInterpolatedSmileSectionAlpha(AH26)</f>
        <v>0.23223445782931704</v>
      </c>
      <c r="AK26" s="156">
        <f>_xll.qlSabrInterpolatedSmileSectionBeta(AH26)</f>
        <v>0.7</v>
      </c>
      <c r="AL26" s="158">
        <f>_xll.qlSabrInterpolatedSmileSectionRho(AH26)</f>
        <v>-0.24730919577062505</v>
      </c>
      <c r="AM26" s="159">
        <f>_xll.qlSabrInterpolatedSmileSectionNu(AH26)</f>
        <v>0.22838685850854662</v>
      </c>
      <c r="AN26" s="105" t="s">
        <v>73</v>
      </c>
      <c r="AU26" s="297">
        <f>T26</f>
        <v>15.447524744563138</v>
      </c>
      <c r="AV26" s="266" t="str">
        <f>_xll.qlHestonModelHelper(,$B26,"TARGET",$C$38,Q26,C26/100,I_ValuationDate!$E$5,I_ValuationDate!$E$6,"RelativePriceError")</f>
        <v>obj_00522#0003</v>
      </c>
      <c r="AW26" s="267" t="str">
        <f>_xll.qlHestonModelHelper(,$B26,"TARGET",$C$38,R26,D26/100,I_ValuationDate!$E$5,I_ValuationDate!$E$6,"RelativePriceError")</f>
        <v>obj_00503#0003</v>
      </c>
      <c r="AX26" s="267" t="str">
        <f>_xll.qlHestonModelHelper(,$B26,"TARGET",$C$38,S26,E26/100,I_ValuationDate!$E$5,I_ValuationDate!$E$6,"RelativePriceError")</f>
        <v>obj_0042d#0003</v>
      </c>
      <c r="AY26" s="267" t="str">
        <f>_xll.qlHestonModelHelper(,$B26,"TARGET",$C$38,T26,F26/100,I_ValuationDate!$E$5,I_ValuationDate!$E$6,"RelativePriceError")</f>
        <v>obj_00257#0003</v>
      </c>
      <c r="AZ26" s="267" t="str">
        <f>_xll.qlHestonModelHelper(,$B26,"TARGET",$C$38,U26,G26/100,I_ValuationDate!$E$5,I_ValuationDate!$E$6,"RelativePriceError")</f>
        <v>obj_004a5#0003</v>
      </c>
      <c r="BA26" s="267" t="str">
        <f>_xll.qlHestonModelHelper(,$B26,"TARGET",$C$38,V26,H26/100,I_ValuationDate!$E$5,I_ValuationDate!$E$6,"RelativePriceError")</f>
        <v>obj_004af#0003</v>
      </c>
      <c r="BB26" s="267" t="str">
        <f>_xll.qlHestonModelHelper(,$B26,"TARGET",$C$38,W26,I26/100,I_ValuationDate!$E$5,I_ValuationDate!$E$6,"RelativePriceError")</f>
        <v>obj_00465#0003</v>
      </c>
      <c r="BC26" s="267" t="str">
        <f>_xll.qlHestonModelHelper(,$B26,"TARGET",$C$38,X26,J26/100,I_ValuationDate!$E$5,I_ValuationDate!$E$6,"RelativePriceError")</f>
        <v>obj_004ba#0003</v>
      </c>
      <c r="BD26" s="267" t="str">
        <f>_xll.qlHestonModelHelper(,$B26,"TARGET",$C$38,Y26,K26/100,I_ValuationDate!$E$5,I_ValuationDate!$E$6,"RelativePriceError")</f>
        <v>obj_00493#0003</v>
      </c>
      <c r="BE26" s="267" t="str">
        <f>_xll.qlHestonModelHelper(,$B26,"TARGET",$C$38,Z26,L26/100,I_ValuationDate!$E$5,I_ValuationDate!$E$6,"RelativePriceError")</f>
        <v>obj_004dc#0003</v>
      </c>
      <c r="BF26" s="268" t="str">
        <f>_xll.qlHestonModelHelper(,$B26,"TARGET",$C$38,AA26,M26/100,I_ValuationDate!$E$5,I_ValuationDate!$E$6,"RelativePriceError")</f>
        <v>obj_005a4#0003</v>
      </c>
    </row>
    <row r="27" spans="2:58">
      <c r="B27" s="105" t="s">
        <v>74</v>
      </c>
      <c r="C27" s="98">
        <v>13.097</v>
      </c>
      <c r="D27" s="99">
        <v>12.244999999999999</v>
      </c>
      <c r="E27" s="99">
        <v>11.71</v>
      </c>
      <c r="F27" s="99">
        <v>10.946999999999999</v>
      </c>
      <c r="G27" s="99">
        <v>10.442</v>
      </c>
      <c r="H27" s="99">
        <v>9.9550000000000001</v>
      </c>
      <c r="I27" s="99">
        <v>9.6769999999999996</v>
      </c>
      <c r="J27" s="99">
        <v>9.6020000000000003</v>
      </c>
      <c r="K27" s="99">
        <v>9.65</v>
      </c>
      <c r="L27" s="99">
        <v>9.7349999999999994</v>
      </c>
      <c r="M27" s="100">
        <v>9.8640000000000008</v>
      </c>
      <c r="O27" s="114">
        <f>_xll.qlCalendarAdvance("NullCalendar",$C$3,B27)</f>
        <v>46670</v>
      </c>
      <c r="P27" s="117">
        <f>(O27-$C$3)/365</f>
        <v>10.005479452054795</v>
      </c>
      <c r="Q27" s="125">
        <f>_xll.qlBlackDeltaCalculatorStrikeFromDelta(_xll.qlBlackDeltaCalculator(,Q$6,"Spot",$C$38,1,1,C27%*SQRT($P27)),Q$7)</f>
        <v>9.922049466199347</v>
      </c>
      <c r="R27" s="126">
        <f>_xll.qlBlackDeltaCalculatorStrikeFromDelta(_xll.qlBlackDeltaCalculator(,R$6,"Spot",$C$38,1,1,D27%*SQRT($P27)),R$7)</f>
        <v>11.810670020642632</v>
      </c>
      <c r="S27" s="126">
        <f>_xll.qlBlackDeltaCalculatorStrikeFromDelta(_xll.qlBlackDeltaCalculator(,S$6,"Spot",$C$38,1,1,E27%*SQRT($P27)),S$7)</f>
        <v>13.132264538789208</v>
      </c>
      <c r="T27" s="126">
        <f>_xll.qlBlackDeltaCalculatorStrikeFromDelta(_xll.qlBlackDeltaCalculator(,T$6,"Spot",$C$38,1,1,F27%*SQRT($P27)),T$7)</f>
        <v>15.131336480101814</v>
      </c>
      <c r="U27" s="126">
        <f>_xll.qlBlackDeltaCalculatorStrikeFromDelta(_xll.qlBlackDeltaCalculator(,U$6,"Spot",$C$38,1,1,G27%*SQRT($P27)),U$7)</f>
        <v>16.737466359857294</v>
      </c>
      <c r="V27" s="127">
        <f>_xll.qlBlackDeltaCalculatorAtmStrike(_xll.qlBlackDeltaCalculator(,V$6,"Spot",$C$38,1,1,H27%*SQRT($P27)),"AtmFwd")</f>
        <v>18</v>
      </c>
      <c r="W27" s="126">
        <f>_xll.qlBlackDeltaCalculatorStrikeFromDelta(_xll.qlBlackDeltaCalculator(,W$6,"Spot",$C$38,1,1,I27%*SQRT($P27)),W$7)</f>
        <v>21.224691249447169</v>
      </c>
      <c r="X27" s="126">
        <f>_xll.qlBlackDeltaCalculatorStrikeFromDelta(_xll.qlBlackDeltaCalculator(,X$6,"Spot",$C$38,1,1,J27%*SQRT($P27)),X$7)</f>
        <v>23.135209375281359</v>
      </c>
      <c r="Y27" s="126">
        <f>_xll.qlBlackDeltaCalculatorStrikeFromDelta(_xll.qlBlackDeltaCalculator(,Y$6,"Spot",$C$38,1,1,K27%*SQRT($P27)),Y$7)</f>
        <v>25.876182750268953</v>
      </c>
      <c r="Z27" s="126">
        <f>_xll.qlBlackDeltaCalculatorStrikeFromDelta(_xll.qlBlackDeltaCalculator(,Z$6,"Spot",$C$38,1,1,L27%*SQRT($P27)),Z$7)</f>
        <v>28.005856489341436</v>
      </c>
      <c r="AA27" s="128">
        <f>_xll.qlBlackDeltaCalculatorStrikeFromDelta(_xll.qlBlackDeltaCalculator(,AA$6,"Spot",$C$38,1,1,M27%*SQRT($P27)),AA$7)</f>
        <v>31.571745198422672</v>
      </c>
      <c r="AC27" s="140">
        <f>$C$38</f>
        <v>18</v>
      </c>
      <c r="AD27" s="144">
        <v>9.3208323222814277E-2</v>
      </c>
      <c r="AE27" s="145">
        <v>0.7</v>
      </c>
      <c r="AF27" s="145">
        <v>3.4114006064861452E-2</v>
      </c>
      <c r="AG27" s="146">
        <v>0.20214695929279791</v>
      </c>
      <c r="AH27" s="155" t="str">
        <f t="array" ref="AH27">_xll.qlSabrInterpolatedSmileSection(,O27,AC27,Q27:AA27,FALSE,H27%,C27:M27%,AD27,AE27,AG27,AF27,AD$6,AE$6,AG$6,AF$6,TRUE,,,"Actual/365 (Fixed)",0,FALSE)</f>
        <v>obj_0065b#0003</v>
      </c>
      <c r="AI27" s="156">
        <f>_xll.qlSabrInterpolatedSmileSectionMaxError(AH27)</f>
        <v>2.2114361013928496E-3</v>
      </c>
      <c r="AJ27" s="157">
        <f>_xll.qlSabrInterpolatedSmileSectionAlpha(AH27)</f>
        <v>0.23625213514189433</v>
      </c>
      <c r="AK27" s="156">
        <f>_xll.qlSabrInterpolatedSmileSectionBeta(AH27)</f>
        <v>0.7</v>
      </c>
      <c r="AL27" s="158">
        <f>_xll.qlSabrInterpolatedSmileSectionRho(AH27)</f>
        <v>-0.21549546149049481</v>
      </c>
      <c r="AM27" s="159">
        <f>_xll.qlSabrInterpolatedSmileSectionNu(AH27)</f>
        <v>0.17910188818811959</v>
      </c>
      <c r="AN27" s="105" t="s">
        <v>74</v>
      </c>
      <c r="AU27" s="297">
        <f>T27</f>
        <v>15.131336480101814</v>
      </c>
      <c r="AV27" s="266" t="str">
        <f>_xll.qlHestonModelHelper(,$B27,"TARGET",$C$38,Q27,C27/100,I_ValuationDate!$E$5,I_ValuationDate!$E$6,"RelativePriceError")</f>
        <v>obj_00542#0003</v>
      </c>
      <c r="AW27" s="267" t="str">
        <f>_xll.qlHestonModelHelper(,$B27,"TARGET",$C$38,R27,D27/100,I_ValuationDate!$E$5,I_ValuationDate!$E$6,"RelativePriceError")</f>
        <v>obj_004c7#0003</v>
      </c>
      <c r="AX27" s="267" t="str">
        <f>_xll.qlHestonModelHelper(,$B27,"TARGET",$C$38,S27,E27/100,I_ValuationDate!$E$5,I_ValuationDate!$E$6,"RelativePriceError")</f>
        <v>obj_005ff#0003</v>
      </c>
      <c r="AY27" s="267" t="str">
        <f>_xll.qlHestonModelHelper(,$B27,"TARGET",$C$38,T27,F27/100,I_ValuationDate!$E$5,I_ValuationDate!$E$6,"RelativePriceError")</f>
        <v>obj_001a3#0003</v>
      </c>
      <c r="AZ27" s="267" t="str">
        <f>_xll.qlHestonModelHelper(,$B27,"TARGET",$C$38,U27,G27/100,I_ValuationDate!$E$5,I_ValuationDate!$E$6,"RelativePriceError")</f>
        <v>obj_003bd#0003</v>
      </c>
      <c r="BA27" s="267" t="str">
        <f>_xll.qlHestonModelHelper(,$B27,"TARGET",$C$38,V27,H27/100,I_ValuationDate!$E$5,I_ValuationDate!$E$6,"RelativePriceError")</f>
        <v>obj_004cf#0003</v>
      </c>
      <c r="BB27" s="267" t="str">
        <f>_xll.qlHestonModelHelper(,$B27,"TARGET",$C$38,W27,I27/100,I_ValuationDate!$E$5,I_ValuationDate!$E$6,"RelativePriceError")</f>
        <v>obj_0050f#0003</v>
      </c>
      <c r="BC27" s="267" t="str">
        <f>_xll.qlHestonModelHelper(,$B27,"TARGET",$C$38,X27,J27/100,I_ValuationDate!$E$5,I_ValuationDate!$E$6,"RelativePriceError")</f>
        <v>obj_004e7#0003</v>
      </c>
      <c r="BD27" s="267" t="str">
        <f>_xll.qlHestonModelHelper(,$B27,"TARGET",$C$38,Y27,K27/100,I_ValuationDate!$E$5,I_ValuationDate!$E$6,"RelativePriceError")</f>
        <v>obj_003ca#0003</v>
      </c>
      <c r="BE27" s="267" t="str">
        <f>_xll.qlHestonModelHelper(,$B27,"TARGET",$C$38,Z27,L27/100,I_ValuationDate!$E$5,I_ValuationDate!$E$6,"RelativePriceError")</f>
        <v>obj_00611#0003</v>
      </c>
      <c r="BF27" s="268" t="str">
        <f>_xll.qlHestonModelHelper(,$B27,"TARGET",$C$38,AA27,M27/100,I_ValuationDate!$E$5,I_ValuationDate!$E$6,"RelativePriceError")</f>
        <v>obj_005ec#0003</v>
      </c>
    </row>
    <row r="28" spans="2:58">
      <c r="B28" s="105" t="s">
        <v>75</v>
      </c>
      <c r="C28" s="98">
        <v>12.997999999999999</v>
      </c>
      <c r="D28" s="99">
        <v>12.137</v>
      </c>
      <c r="E28" s="99">
        <v>11.545</v>
      </c>
      <c r="F28" s="99">
        <v>10.792</v>
      </c>
      <c r="G28" s="99">
        <v>10.336</v>
      </c>
      <c r="H28" s="99">
        <v>9.9260000000000002</v>
      </c>
      <c r="I28" s="99">
        <v>9.7089999999999996</v>
      </c>
      <c r="J28" s="99">
        <v>9.6519999999999992</v>
      </c>
      <c r="K28" s="99">
        <v>9.6809999999999992</v>
      </c>
      <c r="L28" s="99">
        <v>9.7460000000000004</v>
      </c>
      <c r="M28" s="100">
        <v>9.8780000000000001</v>
      </c>
      <c r="O28" s="114">
        <f>_xll.qlCalendarAdvance("NullCalendar",$C$3,B28)</f>
        <v>48497</v>
      </c>
      <c r="P28" s="117">
        <f>(O28-$C$3)/365</f>
        <v>15.010958904109589</v>
      </c>
      <c r="Q28" s="125">
        <f>_xll.qlBlackDeltaCalculatorStrikeFromDelta(_xll.qlBlackDeltaCalculator(,Q$6,"Spot",$C$38,1,1,C28%*SQRT($P28)),Q$7)</f>
        <v>8.9248233122314513</v>
      </c>
      <c r="R28" s="126">
        <f>_xll.qlBlackDeltaCalculatorStrikeFromDelta(_xll.qlBlackDeltaCalculator(,R$6,"Spot",$C$38,1,1,D28%*SQRT($P28)),R$7)</f>
        <v>11.004467117588481</v>
      </c>
      <c r="S28" s="126">
        <f>_xll.qlBlackDeltaCalculatorStrikeFromDelta(_xll.qlBlackDeltaCalculator(,S$6,"Spot",$C$38,1,1,E28%*SQRT($P28)),S$7)</f>
        <v>12.513576789578995</v>
      </c>
      <c r="T28" s="126">
        <f>_xll.qlBlackDeltaCalculatorStrikeFromDelta(_xll.qlBlackDeltaCalculator(,T$6,"Spot",$C$38,1,1,F28%*SQRT($P28)),T$7)</f>
        <v>14.816849072536352</v>
      </c>
      <c r="U28" s="126">
        <f>_xll.qlBlackDeltaCalculatorStrikeFromDelta(_xll.qlBlackDeltaCalculator(,U$6,"Spot",$C$38,1,1,G28%*SQRT($P28)),U$7)</f>
        <v>16.714061914660135</v>
      </c>
      <c r="V28" s="127">
        <f>_xll.qlBlackDeltaCalculatorAtmStrike(_xll.qlBlackDeltaCalculator(,V$6,"Spot",$C$38,1,1,H28%*SQRT($P28)),"AtmFwd")</f>
        <v>18</v>
      </c>
      <c r="W28" s="126">
        <f>_xll.qlBlackDeltaCalculatorStrikeFromDelta(_xll.qlBlackDeltaCalculator(,W$6,"Spot",$C$38,1,1,I28%*SQRT($P28)),W$7)</f>
        <v>22.333015636527055</v>
      </c>
      <c r="X28" s="126">
        <f>_xll.qlBlackDeltaCalculatorStrikeFromDelta(_xll.qlBlackDeltaCalculator(,X$6,"Spot",$C$38,1,1,J28%*SQRT($P28)),X$7)</f>
        <v>24.841700620408297</v>
      </c>
      <c r="Y28" s="126">
        <f>_xll.qlBlackDeltaCalculatorStrikeFromDelta(_xll.qlBlackDeltaCalculator(,Y$6,"Spot",$C$38,1,1,K28%*SQRT($P28)),Y$7)</f>
        <v>28.487356131080784</v>
      </c>
      <c r="Z28" s="126">
        <f>_xll.qlBlackDeltaCalculatorStrikeFromDelta(_xll.qlBlackDeltaCalculator(,Z$6,"Spot",$C$38,1,1,L28%*SQRT($P28)),Z$7)</f>
        <v>31.361296772302257</v>
      </c>
      <c r="AA28" s="128">
        <f>_xll.qlBlackDeltaCalculatorStrikeFromDelta(_xll.qlBlackDeltaCalculator(,AA$6,"Spot",$C$38,1,1,M28%*SQRT($P28)),AA$7)</f>
        <v>36.347058844105653</v>
      </c>
      <c r="AC28" s="140">
        <f>$C$38</f>
        <v>18</v>
      </c>
      <c r="AD28" s="144">
        <v>9.380961496144237E-2</v>
      </c>
      <c r="AE28" s="145">
        <v>0.7</v>
      </c>
      <c r="AF28" s="145">
        <v>0.11636043339906402</v>
      </c>
      <c r="AG28" s="146">
        <v>0.14559481447674599</v>
      </c>
      <c r="AH28" s="155" t="str">
        <f t="array" ref="AH28">_xll.qlSabrInterpolatedSmileSection(,O28,AC28,Q28:AA28,FALSE,H28%,C28:M28%,AD28,AE28,AG28,AF28,AD$6,AE$6,AG$6,AF$6,TRUE,,,"Actual/365 (Fixed)",0,FALSE)</f>
        <v>obj_0062c#0003</v>
      </c>
      <c r="AI28" s="156">
        <f>_xll.qlSabrInterpolatedSmileSectionMaxError(AH28)</f>
        <v>1.6139644687781507E-3</v>
      </c>
      <c r="AJ28" s="157">
        <f>_xll.qlSabrInterpolatedSmileSectionAlpha(AH28)</f>
        <v>0.23539961372832405</v>
      </c>
      <c r="AK28" s="156">
        <f>_xll.qlSabrInterpolatedSmileSectionBeta(AH28)</f>
        <v>0.7</v>
      </c>
      <c r="AL28" s="158">
        <f>_xll.qlSabrInterpolatedSmileSectionRho(AH28)</f>
        <v>-0.16444394722459227</v>
      </c>
      <c r="AM28" s="159">
        <f>_xll.qlSabrInterpolatedSmileSectionNu(AH28)</f>
        <v>0.14599521847859853</v>
      </c>
      <c r="AN28" s="105" t="s">
        <v>75</v>
      </c>
      <c r="AU28" s="297">
        <f>T28</f>
        <v>14.816849072536352</v>
      </c>
      <c r="AV28" s="266" t="str">
        <f>_xll.qlHestonModelHelper(,$B28,"TARGET",$C$38,Q28,C28/100,I_ValuationDate!$E$5,I_ValuationDate!$E$6,"RelativePriceError")</f>
        <v>obj_005e4#0003</v>
      </c>
      <c r="AW28" s="267" t="str">
        <f>_xll.qlHestonModelHelper(,$B28,"TARGET",$C$38,R28,D28/100,I_ValuationDate!$E$5,I_ValuationDate!$E$6,"RelativePriceError")</f>
        <v>obj_0059d#0003</v>
      </c>
      <c r="AX28" s="267" t="str">
        <f>_xll.qlHestonModelHelper(,$B28,"TARGET",$C$38,S28,E28/100,I_ValuationDate!$E$5,I_ValuationDate!$E$6,"RelativePriceError")</f>
        <v>obj_00549#0003</v>
      </c>
      <c r="AY28" s="267" t="str">
        <f>_xll.qlHestonModelHelper(,$B28,"TARGET",$C$38,T28,F28/100,I_ValuationDate!$E$5,I_ValuationDate!$E$6,"RelativePriceError")</f>
        <v>obj_00214#0003</v>
      </c>
      <c r="AZ28" s="267" t="str">
        <f>_xll.qlHestonModelHelper(,$B28,"TARGET",$C$38,U28,G28/100,I_ValuationDate!$E$5,I_ValuationDate!$E$6,"RelativePriceError")</f>
        <v>obj_004f6#0003</v>
      </c>
      <c r="BA28" s="267" t="str">
        <f>_xll.qlHestonModelHelper(,$B28,"TARGET",$C$38,V28,H28/100,I_ValuationDate!$E$5,I_ValuationDate!$E$6,"RelativePriceError")</f>
        <v>obj_00403#0003</v>
      </c>
      <c r="BB28" s="267" t="str">
        <f>_xll.qlHestonModelHelper(,$B28,"TARGET",$C$38,W28,I28/100,I_ValuationDate!$E$5,I_ValuationDate!$E$6,"RelativePriceError")</f>
        <v>obj_00529#0003</v>
      </c>
      <c r="BC28" s="267" t="str">
        <f>_xll.qlHestonModelHelper(,$B28,"TARGET",$C$38,X28,J28/100,I_ValuationDate!$E$5,I_ValuationDate!$E$6,"RelativePriceError")</f>
        <v>obj_0046e#0003</v>
      </c>
      <c r="BD28" s="267" t="str">
        <f>_xll.qlHestonModelHelper(,$B28,"TARGET",$C$38,Y28,K28/100,I_ValuationDate!$E$5,I_ValuationDate!$E$6,"RelativePriceError")</f>
        <v>obj_00448#0003</v>
      </c>
      <c r="BE28" s="267" t="str">
        <f>_xll.qlHestonModelHelper(,$B28,"TARGET",$C$38,Z28,L28/100,I_ValuationDate!$E$5,I_ValuationDate!$E$6,"RelativePriceError")</f>
        <v>obj_003d2#0003</v>
      </c>
      <c r="BF28" s="268" t="str">
        <f>_xll.qlHestonModelHelper(,$B28,"TARGET",$C$38,AA28,M28/100,I_ValuationDate!$E$5,I_ValuationDate!$E$6,"RelativePriceError")</f>
        <v>obj_00419#0003</v>
      </c>
    </row>
    <row r="29" spans="2:58">
      <c r="B29" s="105" t="s">
        <v>28</v>
      </c>
      <c r="C29" s="98">
        <v>12.913</v>
      </c>
      <c r="D29" s="99">
        <v>12.048</v>
      </c>
      <c r="E29" s="99">
        <v>11.465999999999999</v>
      </c>
      <c r="F29" s="99">
        <v>10.734999999999999</v>
      </c>
      <c r="G29" s="99">
        <v>10.295</v>
      </c>
      <c r="H29" s="99">
        <v>9.9030000000000005</v>
      </c>
      <c r="I29" s="99">
        <v>9.6999999999999993</v>
      </c>
      <c r="J29" s="99">
        <v>9.6509999999999998</v>
      </c>
      <c r="K29" s="99">
        <v>9.6869999999999994</v>
      </c>
      <c r="L29" s="99">
        <v>9.7550000000000008</v>
      </c>
      <c r="M29" s="100">
        <v>9.8889999999999993</v>
      </c>
      <c r="O29" s="114">
        <f>_xll.qlCalendarAdvance("NullCalendar",$C$3,B29)</f>
        <v>50323</v>
      </c>
      <c r="P29" s="117">
        <f>(O29-$C$3)/365</f>
        <v>20.013698630136986</v>
      </c>
      <c r="Q29" s="125">
        <f>_xll.qlBlackDeltaCalculatorStrikeFromDelta(_xll.qlBlackDeltaCalculator(,Q$6,"Spot",$C$38,1,1,C29%*SQRT($P29)),Q$7)</f>
        <v>8.2237379403339261</v>
      </c>
      <c r="R29" s="126">
        <f>_xll.qlBlackDeltaCalculatorStrikeFromDelta(_xll.qlBlackDeltaCalculator(,R$6,"Spot",$C$38,1,1,D29%*SQRT($P29)),R$7)</f>
        <v>10.432076088368593</v>
      </c>
      <c r="S29" s="126">
        <f>_xll.qlBlackDeltaCalculatorStrikeFromDelta(_xll.qlBlackDeltaCalculator(,S$6,"Spot",$C$38,1,1,E29%*SQRT($P29)),S$7)</f>
        <v>12.064795415347621</v>
      </c>
      <c r="T29" s="126">
        <f>_xll.qlBlackDeltaCalculatorStrikeFromDelta(_xll.qlBlackDeltaCalculator(,T$6,"Spot",$C$38,1,1,F29%*SQRT($P29)),T$7)</f>
        <v>14.610908983193493</v>
      </c>
      <c r="U29" s="126">
        <f>_xll.qlBlackDeltaCalculatorStrikeFromDelta(_xll.qlBlackDeltaCalculator(,U$6,"Spot",$C$38,1,1,G29%*SQRT($P29)),U$7)</f>
        <v>16.759522847890953</v>
      </c>
      <c r="V29" s="127">
        <f>_xll.qlBlackDeltaCalculatorAtmStrike(_xll.qlBlackDeltaCalculator(,V$6,"Spot",$C$38,1,1,H29%*SQRT($P29)),"AtmFwd")</f>
        <v>18</v>
      </c>
      <c r="W29" s="126">
        <f>_xll.qlBlackDeltaCalculatorStrikeFromDelta(_xll.qlBlackDeltaCalculator(,W$6,"Spot",$C$38,1,1,I29%*SQRT($P29)),W$7)</f>
        <v>23.376573101729427</v>
      </c>
      <c r="X29" s="126">
        <f>_xll.qlBlackDeltaCalculatorStrikeFromDelta(_xll.qlBlackDeltaCalculator(,X$6,"Spot",$C$38,1,1,J29%*SQRT($P29)),X$7)</f>
        <v>26.437692813591219</v>
      </c>
      <c r="Y29" s="126">
        <f>_xll.qlBlackDeltaCalculatorStrikeFromDelta(_xll.qlBlackDeltaCalculator(,Y$6,"Spot",$C$38,1,1,K29%*SQRT($P29)),Y$7)</f>
        <v>30.982640719654086</v>
      </c>
      <c r="Z29" s="126">
        <f>_xll.qlBlackDeltaCalculatorStrikeFromDelta(_xll.qlBlackDeltaCalculator(,Z$6,"Spot",$C$38,1,1,L29%*SQRT($P29)),Z$7)</f>
        <v>34.635323105483401</v>
      </c>
      <c r="AA29" s="128">
        <f>_xll.qlBlackDeltaCalculatorStrikeFromDelta(_xll.qlBlackDeltaCalculator(,AA$6,"Spot",$C$38,1,1,M29%*SQRT($P29)),AA$7)</f>
        <v>41.096208755540886</v>
      </c>
      <c r="AC29" s="140">
        <f>$C$38</f>
        <v>18</v>
      </c>
      <c r="AD29" s="144">
        <v>9.4100366121516343E-2</v>
      </c>
      <c r="AE29" s="145">
        <v>0.7</v>
      </c>
      <c r="AF29" s="145">
        <v>0.18786695086949567</v>
      </c>
      <c r="AG29" s="146">
        <v>0.1134983558956654</v>
      </c>
      <c r="AH29" s="155" t="str">
        <f t="array" ref="AH29">_xll.qlSabrInterpolatedSmileSection(,O29,AC29,Q29:AA29,FALSE,H29%,C29:M29%,AD29,AE29,AG29,AF29,AD$6,AE$6,AG$6,AF$6,TRUE,,,"Actual/365 (Fixed)",0,FALSE)</f>
        <v>obj_00623#0003</v>
      </c>
      <c r="AI29" s="156">
        <f>_xll.qlSabrInterpolatedSmileSectionMaxError(AH29)</f>
        <v>1.7609011945379643E-3</v>
      </c>
      <c r="AJ29" s="157">
        <f>_xll.qlSabrInterpolatedSmileSectionAlpha(AH29)</f>
        <v>0.2349739334777913</v>
      </c>
      <c r="AK29" s="156">
        <f>_xll.qlSabrInterpolatedSmileSectionBeta(AH29)</f>
        <v>0.7</v>
      </c>
      <c r="AL29" s="158">
        <f>_xll.qlSabrInterpolatedSmileSectionRho(AH29)</f>
        <v>-0.13162558661051657</v>
      </c>
      <c r="AM29" s="159">
        <f>_xll.qlSabrInterpolatedSmileSectionNu(AH29)</f>
        <v>0.12631190529992783</v>
      </c>
      <c r="AN29" s="105" t="s">
        <v>28</v>
      </c>
      <c r="AU29" s="297">
        <f>T29</f>
        <v>14.610908983193493</v>
      </c>
      <c r="AV29" s="266" t="str">
        <f>_xll.qlHestonModelHelper(,$B29,"TARGET",$C$38,Q29,C29/100,I_ValuationDate!$E$5,I_ValuationDate!$E$6,"RelativePriceError")</f>
        <v>obj_00486#0003</v>
      </c>
      <c r="AW29" s="267" t="str">
        <f>_xll.qlHestonModelHelper(,$B29,"TARGET",$C$38,R29,D29/100,I_ValuationDate!$E$5,I_ValuationDate!$E$6,"RelativePriceError")</f>
        <v>obj_005a1#0003</v>
      </c>
      <c r="AX29" s="267" t="str">
        <f>_xll.qlHestonModelHelper(,$B29,"TARGET",$C$38,S29,E29/100,I_ValuationDate!$E$5,I_ValuationDate!$E$6,"RelativePriceError")</f>
        <v>obj_003e2#0003</v>
      </c>
      <c r="AY29" s="267" t="str">
        <f>_xll.qlHestonModelHelper(,$B29,"TARGET",$C$38,T29,F29/100,I_ValuationDate!$E$5,I_ValuationDate!$E$6,"RelativePriceError")</f>
        <v>obj_0032f#0003</v>
      </c>
      <c r="AZ29" s="267" t="str">
        <f>_xll.qlHestonModelHelper(,$B29,"TARGET",$C$38,U29,G29/100,I_ValuationDate!$E$5,I_ValuationDate!$E$6,"RelativePriceError")</f>
        <v>obj_003d8#0003</v>
      </c>
      <c r="BA29" s="267" t="str">
        <f>_xll.qlHestonModelHelper(,$B29,"TARGET",$C$38,V29,H29/100,I_ValuationDate!$E$5,I_ValuationDate!$E$6,"RelativePriceError")</f>
        <v>obj_00581#0003</v>
      </c>
      <c r="BB29" s="267" t="str">
        <f>_xll.qlHestonModelHelper(,$B29,"TARGET",$C$38,W29,I29/100,I_ValuationDate!$E$5,I_ValuationDate!$E$6,"RelativePriceError")</f>
        <v>obj_004df#0003</v>
      </c>
      <c r="BC29" s="267" t="str">
        <f>_xll.qlHestonModelHelper(,$B29,"TARGET",$C$38,X29,J29/100,I_ValuationDate!$E$5,I_ValuationDate!$E$6,"RelativePriceError")</f>
        <v>obj_0048f#0003</v>
      </c>
      <c r="BD29" s="267" t="str">
        <f>_xll.qlHestonModelHelper(,$B29,"TARGET",$C$38,Y29,K29/100,I_ValuationDate!$E$5,I_ValuationDate!$E$6,"RelativePriceError")</f>
        <v>obj_003ef#0003</v>
      </c>
      <c r="BE29" s="267" t="str">
        <f>_xll.qlHestonModelHelper(,$B29,"TARGET",$C$38,Z29,L29/100,I_ValuationDate!$E$5,I_ValuationDate!$E$6,"RelativePriceError")</f>
        <v>obj_003eb#0003</v>
      </c>
      <c r="BF29" s="268" t="str">
        <f>_xll.qlHestonModelHelper(,$B29,"TARGET",$C$38,AA29,M29/100,I_ValuationDate!$E$5,I_ValuationDate!$E$6,"RelativePriceError")</f>
        <v>obj_005be#0003</v>
      </c>
    </row>
    <row r="30" spans="2:58">
      <c r="B30" s="106" t="s">
        <v>76</v>
      </c>
      <c r="C30" s="101">
        <v>12.837999999999999</v>
      </c>
      <c r="D30" s="102">
        <v>11.971</v>
      </c>
      <c r="E30" s="102">
        <v>11.398</v>
      </c>
      <c r="F30" s="102">
        <v>10.686</v>
      </c>
      <c r="G30" s="102">
        <v>10.260999999999999</v>
      </c>
      <c r="H30" s="102">
        <v>9.8840000000000003</v>
      </c>
      <c r="I30" s="102">
        <v>9.6920000000000002</v>
      </c>
      <c r="J30" s="102">
        <v>9.65</v>
      </c>
      <c r="K30" s="102">
        <v>9.6929999999999996</v>
      </c>
      <c r="L30" s="102">
        <v>9.7639999999999993</v>
      </c>
      <c r="M30" s="103">
        <v>9.9</v>
      </c>
      <c r="O30" s="115">
        <f>_xll.qlCalendarAdvance("NullCalendar",$C$3,B30)</f>
        <v>52149</v>
      </c>
      <c r="P30" s="118">
        <f>(O30-$C$3)/365</f>
        <v>25.016438356164382</v>
      </c>
      <c r="Q30" s="129">
        <f>_xll.qlBlackDeltaCalculatorStrikeFromDelta(_xll.qlBlackDeltaCalculator(,Q$6,"Spot",$C$38,1,1,C30%*SQRT($P30)),Q$7)</f>
        <v>7.6932738337622419</v>
      </c>
      <c r="R30" s="130">
        <f>_xll.qlBlackDeltaCalculatorStrikeFromDelta(_xll.qlBlackDeltaCalculator(,R$6,"Spot",$C$38,1,1,D30%*SQRT($P30)),R$7)</f>
        <v>9.9971070725083244</v>
      </c>
      <c r="S30" s="130">
        <f>_xll.qlBlackDeltaCalculatorStrikeFromDelta(_xll.qlBlackDeltaCalculator(,S$6,"Spot",$C$38,1,1,E30%*SQRT($P30)),S$7)</f>
        <v>11.728408711352538</v>
      </c>
      <c r="T30" s="130">
        <f>_xll.qlBlackDeltaCalculatorStrikeFromDelta(_xll.qlBlackDeltaCalculator(,T$6,"Spot",$C$38,1,1,F30%*SQRT($P30)),T$7)</f>
        <v>14.479089759255315</v>
      </c>
      <c r="U30" s="130">
        <f>_xll.qlBlackDeltaCalculatorStrikeFromDelta(_xll.qlBlackDeltaCalculator(,U$6,"Spot",$C$38,1,1,G30%*SQRT($P30)),U$7)</f>
        <v>16.84939581121721</v>
      </c>
      <c r="V30" s="131">
        <f>_xll.qlBlackDeltaCalculatorAtmStrike(_xll.qlBlackDeltaCalculator(,V$6,"Spot",$C$38,1,1,H30%*SQRT($P30)),"AtmFwd")</f>
        <v>18</v>
      </c>
      <c r="W30" s="130">
        <f>_xll.qlBlackDeltaCalculatorStrikeFromDelta(_xll.qlBlackDeltaCalculator(,W$6,"Spot",$C$38,1,1,I30%*SQRT($P30)),W$7)</f>
        <v>24.4017590513233</v>
      </c>
      <c r="X30" s="130">
        <f>_xll.qlBlackDeltaCalculatorStrikeFromDelta(_xll.qlBlackDeltaCalculator(,X$6,"Spot",$C$38,1,1,J30%*SQRT($P30)),X$7)</f>
        <v>28.005465939231108</v>
      </c>
      <c r="Y30" s="130">
        <f>_xll.qlBlackDeltaCalculatorStrikeFromDelta(_xll.qlBlackDeltaCalculator(,Y$6,"Spot",$C$38,1,1,K30%*SQRT($P30)),Y$7)</f>
        <v>33.460456868450954</v>
      </c>
      <c r="Z30" s="130">
        <f>_xll.qlBlackDeltaCalculatorStrikeFromDelta(_xll.qlBlackDeltaCalculator(,Z$6,"Spot",$C$38,1,1,L30%*SQRT($P30)),Z$7)</f>
        <v>37.92000730793989</v>
      </c>
      <c r="AA30" s="132">
        <f>_xll.qlBlackDeltaCalculatorStrikeFromDelta(_xll.qlBlackDeltaCalculator(,AA$6,"Spot",$C$38,1,1,M30%*SQRT($P30)),AA$7)</f>
        <v>45.944539109131135</v>
      </c>
      <c r="AC30" s="141">
        <f>$C$38</f>
        <v>18</v>
      </c>
      <c r="AD30" s="147">
        <v>9.4229293741096759E-2</v>
      </c>
      <c r="AE30" s="148">
        <v>0.7</v>
      </c>
      <c r="AF30" s="148">
        <v>0.26049269075169851</v>
      </c>
      <c r="AG30" s="22">
        <v>9.1500637729160089E-2</v>
      </c>
      <c r="AH30" s="160" t="str">
        <f t="array" ref="AH30">_xll.qlSabrInterpolatedSmileSection(,O30,AC30,Q30:AA30,FALSE,H30%,C30:M30%,AD30,AE30,AG30,AF30,AD$6,AE$6,AG$6,AF$6,TRUE,,,"Actual/365 (Fixed)",0,FALSE)</f>
        <v>obj_00654#0003</v>
      </c>
      <c r="AI30" s="161">
        <f>_xll.qlSabrInterpolatedSmileSectionMaxError(AH30)</f>
        <v>1.8791701856781251E-3</v>
      </c>
      <c r="AJ30" s="162">
        <f>_xll.qlSabrInterpolatedSmileSectionAlpha(AH30)</f>
        <v>0.23453030259623184</v>
      </c>
      <c r="AK30" s="161">
        <f>_xll.qlSabrInterpolatedSmileSectionBeta(AH30)</f>
        <v>0.7</v>
      </c>
      <c r="AL30" s="163">
        <f>_xll.qlSabrInterpolatedSmileSectionRho(AH30)</f>
        <v>-0.10255229459207084</v>
      </c>
      <c r="AM30" s="164">
        <f>_xll.qlSabrInterpolatedSmileSectionNu(AH30)</f>
        <v>0.11298160637268286</v>
      </c>
      <c r="AN30" s="106" t="s">
        <v>76</v>
      </c>
      <c r="AU30" s="298">
        <f>T30</f>
        <v>14.479089759255315</v>
      </c>
      <c r="AV30" s="269" t="str">
        <f>_xll.qlHestonModelHelper(,$B30,"TARGET",$C$38,Q30,C30/100,I_ValuationDate!$E$5,I_ValuationDate!$E$6,"RelativePriceError")</f>
        <v>obj_004c2#0003</v>
      </c>
      <c r="AW30" s="270" t="str">
        <f>_xll.qlHestonModelHelper(,$B30,"TARGET",$C$38,R30,D30/100,I_ValuationDate!$E$5,I_ValuationDate!$E$6,"RelativePriceError")</f>
        <v>obj_00457#0003</v>
      </c>
      <c r="AX30" s="270" t="str">
        <f>_xll.qlHestonModelHelper(,$B30,"TARGET",$C$38,S30,E30/100,I_ValuationDate!$E$5,I_ValuationDate!$E$6,"RelativePriceError")</f>
        <v>obj_004fe#0003</v>
      </c>
      <c r="AY30" s="270" t="str">
        <f>_xll.qlHestonModelHelper(,$B30,"TARGET",$C$38,T30,F30/100,I_ValuationDate!$E$5,I_ValuationDate!$E$6,"RelativePriceError")</f>
        <v>obj_0038b#0003</v>
      </c>
      <c r="AZ30" s="270" t="str">
        <f>_xll.qlHestonModelHelper(,$B30,"TARGET",$C$38,U30,G30/100,I_ValuationDate!$E$5,I_ValuationDate!$E$6,"RelativePriceError")</f>
        <v>obj_005ea#0003</v>
      </c>
      <c r="BA30" s="270" t="str">
        <f>_xll.qlHestonModelHelper(,$B30,"TARGET",$C$38,V30,H30/100,I_ValuationDate!$E$5,I_ValuationDate!$E$6,"RelativePriceError")</f>
        <v>obj_00430#0003</v>
      </c>
      <c r="BB30" s="270" t="str">
        <f>_xll.qlHestonModelHelper(,$B30,"TARGET",$C$38,W30,I30/100,I_ValuationDate!$E$5,I_ValuationDate!$E$6,"RelativePriceError")</f>
        <v>obj_00571#0003</v>
      </c>
      <c r="BC30" s="270" t="str">
        <f>_xll.qlHestonModelHelper(,$B30,"TARGET",$C$38,X30,J30/100,I_ValuationDate!$E$5,I_ValuationDate!$E$6,"RelativePriceError")</f>
        <v>obj_00476#0003</v>
      </c>
      <c r="BD30" s="270" t="str">
        <f>_xll.qlHestonModelHelper(,$B30,"TARGET",$C$38,Y30,K30/100,I_ValuationDate!$E$5,I_ValuationDate!$E$6,"RelativePriceError")</f>
        <v>obj_0061c#0003</v>
      </c>
      <c r="BE30" s="270" t="str">
        <f>_xll.qlHestonModelHelper(,$B30,"TARGET",$C$38,Z30,L30/100,I_ValuationDate!$E$5,I_ValuationDate!$E$6,"RelativePriceError")</f>
        <v>obj_005da#0003</v>
      </c>
      <c r="BF30" s="271" t="str">
        <f>_xll.qlHestonModelHelper(,$B30,"TARGET",$C$38,AA30,M30/100,I_ValuationDate!$E$5,I_ValuationDate!$E$6,"RelativePriceError")</f>
        <v>obj_0054b#0003</v>
      </c>
    </row>
    <row r="31" spans="2:58">
      <c r="C31">
        <f>C19/100</f>
        <v>0.11900000000000001</v>
      </c>
      <c r="D31">
        <f>D19/100</f>
        <v>0.107</v>
      </c>
      <c r="E31">
        <f>E19/100</f>
        <v>9.6999999999999989E-2</v>
      </c>
      <c r="F31">
        <f>F19/100</f>
        <v>8.9499999999999996E-2</v>
      </c>
      <c r="G31">
        <f>G19/100</f>
        <v>8.4499999999999992E-2</v>
      </c>
      <c r="H31">
        <f>H19/100</f>
        <v>8.199999999999999E-2</v>
      </c>
      <c r="I31">
        <f>I19/100</f>
        <v>8.115E-2</v>
      </c>
      <c r="J31">
        <f>J19/100</f>
        <v>8.1460000000000005E-2</v>
      </c>
      <c r="K31">
        <f>K19/100</f>
        <v>8.2500000000000004E-2</v>
      </c>
      <c r="L31">
        <f>L19/100</f>
        <v>8.5000000000000006E-2</v>
      </c>
      <c r="M31">
        <f>M19/100</f>
        <v>8.9380000000000001E-2</v>
      </c>
    </row>
    <row r="33" spans="1:15">
      <c r="C33" s="108" t="s">
        <v>92</v>
      </c>
      <c r="D33" s="149" t="str">
        <f>_xll.qlSmiledSurface(,AH8:AH21,C3,"NullCalendar","Following","Act/365 (Fixed)")</f>
        <v>obj_00666#0003</v>
      </c>
    </row>
    <row r="35" spans="1:15">
      <c r="A35" s="108" t="s">
        <v>150</v>
      </c>
    </row>
    <row r="36" spans="1:15">
      <c r="A36" s="108"/>
    </row>
    <row r="37" spans="1:15" ht="14.4">
      <c r="B37" s="239" t="s">
        <v>151</v>
      </c>
      <c r="C37" s="240" t="str">
        <f>_xll.qlHestonProcess(,I_ValuationDate!E5,I_ValuationDate!E6,C38,C39,C40,C41,C42,C43)</f>
        <v>obj_00029#0003</v>
      </c>
    </row>
    <row r="38" spans="1:15" ht="14.4">
      <c r="B38" s="241" t="s">
        <v>152</v>
      </c>
      <c r="C38" s="364">
        <f>I_ValuationDate!C11</f>
        <v>18</v>
      </c>
    </row>
    <row r="39" spans="1:15" ht="14.4">
      <c r="B39" s="242" t="s">
        <v>153</v>
      </c>
      <c r="C39" s="243">
        <v>0.15</v>
      </c>
    </row>
    <row r="40" spans="1:15" ht="14.4">
      <c r="B40" s="242" t="s">
        <v>115</v>
      </c>
      <c r="C40" s="243">
        <v>1.5</v>
      </c>
    </row>
    <row r="41" spans="1:15" ht="14.4">
      <c r="B41" s="242" t="s">
        <v>154</v>
      </c>
      <c r="C41" s="243">
        <v>0.15</v>
      </c>
    </row>
    <row r="42" spans="1:15" ht="14.4">
      <c r="B42" s="242" t="s">
        <v>155</v>
      </c>
      <c r="C42" s="243">
        <v>0.01</v>
      </c>
    </row>
    <row r="43" spans="1:15" ht="14.4">
      <c r="B43" s="244" t="s">
        <v>156</v>
      </c>
      <c r="C43" s="245">
        <v>0</v>
      </c>
    </row>
    <row r="44" spans="1:15">
      <c r="B44" s="246"/>
      <c r="C44" s="246"/>
    </row>
    <row r="45" spans="1:15" ht="14.4">
      <c r="B45" s="239" t="s">
        <v>157</v>
      </c>
      <c r="C45" s="240" t="str">
        <f>_xll.qlHestonModel(,C37)</f>
        <v>obj_000c3#0003</v>
      </c>
    </row>
    <row r="48" spans="1:15">
      <c r="A48" s="272"/>
      <c r="B48" s="272"/>
      <c r="C48" s="272"/>
      <c r="D48" s="272"/>
      <c r="E48" s="272"/>
      <c r="F48" s="272"/>
      <c r="G48" s="272"/>
      <c r="H48" s="272"/>
      <c r="I48" s="272"/>
      <c r="J48" s="272"/>
      <c r="K48" s="272"/>
      <c r="L48" s="272"/>
      <c r="M48" s="272"/>
      <c r="N48" s="272"/>
      <c r="O48" s="272"/>
    </row>
    <row r="49" spans="1:15" ht="14.4">
      <c r="A49" s="272"/>
      <c r="B49" s="273" t="s">
        <v>162</v>
      </c>
      <c r="C49" s="274" t="str">
        <f>_xll.qlEndCriteria(,C50,C51,C52,C53,C54)</f>
        <v>obj_0001f#0003</v>
      </c>
      <c r="D49" s="272"/>
      <c r="E49" s="273" t="s">
        <v>163</v>
      </c>
      <c r="F49" s="274" t="str">
        <f>_xll.qlEndCriteria(,F50,F51,F52,F53,F54)</f>
        <v>obj_0001e#0003</v>
      </c>
      <c r="G49" s="272"/>
      <c r="H49" s="273" t="s">
        <v>164</v>
      </c>
      <c r="I49" s="274" t="str">
        <f>_xll.qlArmijoLineSearch()</f>
        <v>obj_00022#0003</v>
      </c>
      <c r="J49" s="272"/>
      <c r="K49" s="273" t="s">
        <v>165</v>
      </c>
      <c r="L49" s="274" t="str">
        <f>_xll.qlConjugateGradient(,L50)</f>
        <v>obj_00027#0003</v>
      </c>
      <c r="M49" s="272"/>
      <c r="N49" s="272"/>
      <c r="O49" s="272"/>
    </row>
    <row r="50" spans="1:15" ht="14.4">
      <c r="A50" s="272"/>
      <c r="B50" s="275" t="s">
        <v>166</v>
      </c>
      <c r="C50" s="276">
        <v>10000</v>
      </c>
      <c r="D50" s="272"/>
      <c r="E50" s="275" t="s">
        <v>166</v>
      </c>
      <c r="F50" s="276">
        <v>200000</v>
      </c>
      <c r="G50" s="272"/>
      <c r="H50" s="275" t="s">
        <v>167</v>
      </c>
      <c r="I50" s="276"/>
      <c r="J50" s="272"/>
      <c r="K50" s="273" t="s">
        <v>164</v>
      </c>
      <c r="L50" s="277" t="str">
        <f>I49</f>
        <v>obj_00022#0003</v>
      </c>
      <c r="M50" s="272"/>
      <c r="N50" s="272"/>
      <c r="O50" s="272"/>
    </row>
    <row r="51" spans="1:15" ht="14.4">
      <c r="A51" s="272"/>
      <c r="B51" s="278" t="s">
        <v>168</v>
      </c>
      <c r="C51" s="279">
        <v>5000</v>
      </c>
      <c r="D51" s="272"/>
      <c r="E51" s="278" t="s">
        <v>168</v>
      </c>
      <c r="F51" s="279">
        <v>10000</v>
      </c>
      <c r="G51" s="272"/>
      <c r="H51" s="278" t="s">
        <v>169</v>
      </c>
      <c r="I51" s="279"/>
      <c r="J51" s="272"/>
      <c r="K51" s="272"/>
      <c r="L51" s="272"/>
      <c r="M51" s="272"/>
      <c r="N51" s="272"/>
      <c r="O51" s="272"/>
    </row>
    <row r="52" spans="1:15" ht="14.4">
      <c r="A52" s="272"/>
      <c r="B52" s="275" t="s">
        <v>170</v>
      </c>
      <c r="C52" s="276">
        <v>1E-8</v>
      </c>
      <c r="D52" s="272"/>
      <c r="E52" s="275" t="s">
        <v>170</v>
      </c>
      <c r="F52" s="276">
        <v>1E-8</v>
      </c>
      <c r="G52" s="272"/>
      <c r="H52" s="280" t="s">
        <v>171</v>
      </c>
      <c r="I52" s="281"/>
      <c r="J52" s="272"/>
      <c r="K52" s="273" t="s">
        <v>172</v>
      </c>
      <c r="L52" s="274" t="str">
        <f>_xll.qlLevenbergMarquardt()</f>
        <v>obj_00010#0003</v>
      </c>
      <c r="M52" s="272"/>
      <c r="N52" s="272"/>
      <c r="O52" s="275" t="s">
        <v>193</v>
      </c>
    </row>
    <row r="53" spans="1:15" ht="14.4">
      <c r="A53" s="272"/>
      <c r="B53" s="278" t="s">
        <v>173</v>
      </c>
      <c r="C53" s="279">
        <v>1E-8</v>
      </c>
      <c r="D53" s="272"/>
      <c r="E53" s="278" t="s">
        <v>173</v>
      </c>
      <c r="F53" s="279">
        <v>1E-8</v>
      </c>
      <c r="G53" s="272"/>
      <c r="H53" s="272"/>
      <c r="I53" s="272"/>
      <c r="J53" s="272"/>
      <c r="K53" s="272"/>
      <c r="L53" s="272"/>
      <c r="M53" s="272"/>
      <c r="N53" s="272"/>
      <c r="O53" s="279" t="str">
        <f>BA12</f>
        <v>obj_00552#0003</v>
      </c>
    </row>
    <row r="54" spans="1:15" ht="14.4">
      <c r="A54" s="272"/>
      <c r="B54" s="275" t="s">
        <v>174</v>
      </c>
      <c r="C54" s="276">
        <v>1E-8</v>
      </c>
      <c r="D54" s="272"/>
      <c r="E54" s="275" t="s">
        <v>174</v>
      </c>
      <c r="F54" s="276">
        <v>1E-8</v>
      </c>
      <c r="G54" s="272"/>
      <c r="H54" s="275" t="s">
        <v>175</v>
      </c>
      <c r="I54" s="282" t="str">
        <f>_xll.qlSimulatedAnnealing(,I55,I56,I57,I58)</f>
        <v>obj_0000c#0003</v>
      </c>
      <c r="J54" s="272"/>
      <c r="K54" s="272"/>
      <c r="L54" s="272"/>
      <c r="M54" s="272"/>
      <c r="N54" s="272"/>
      <c r="O54" s="279" t="str">
        <f>BA19</f>
        <v>obj_00574#0003</v>
      </c>
    </row>
    <row r="55" spans="1:15" ht="14.4">
      <c r="A55" s="272"/>
      <c r="B55" s="272"/>
      <c r="C55" s="272"/>
      <c r="D55" s="272"/>
      <c r="E55" s="272"/>
      <c r="F55" s="272"/>
      <c r="G55" s="272"/>
      <c r="H55" s="283" t="s">
        <v>176</v>
      </c>
      <c r="I55" s="284">
        <v>1</v>
      </c>
      <c r="J55" s="272"/>
      <c r="K55" s="272"/>
      <c r="L55" s="272"/>
      <c r="M55" s="272"/>
      <c r="N55" s="272"/>
      <c r="O55" s="279" t="str">
        <f>AV19</f>
        <v>obj_00566#0003</v>
      </c>
    </row>
    <row r="56" spans="1:15" ht="14.4">
      <c r="A56" s="272"/>
      <c r="B56" s="272"/>
      <c r="C56" s="272"/>
      <c r="D56" s="272"/>
      <c r="E56" s="272"/>
      <c r="F56" s="272"/>
      <c r="G56" s="272"/>
      <c r="H56" s="285" t="s">
        <v>177</v>
      </c>
      <c r="I56" s="286">
        <v>2</v>
      </c>
      <c r="J56" s="272"/>
      <c r="K56" s="272"/>
      <c r="L56" s="272"/>
      <c r="M56" s="272"/>
      <c r="N56" s="272"/>
      <c r="O56" s="279" t="str">
        <f>BF19</f>
        <v>obj_005d6#0003</v>
      </c>
    </row>
    <row r="57" spans="1:15" ht="14.4">
      <c r="A57" s="272"/>
      <c r="B57" s="272"/>
      <c r="C57" s="272"/>
      <c r="D57" s="272"/>
      <c r="E57" s="272"/>
      <c r="F57" s="272"/>
      <c r="G57" s="272"/>
      <c r="H57" s="285" t="s">
        <v>167</v>
      </c>
      <c r="I57" s="286">
        <v>0.2</v>
      </c>
      <c r="J57" s="272"/>
      <c r="K57" s="272"/>
      <c r="L57" s="272"/>
      <c r="M57" s="272"/>
      <c r="N57" s="272"/>
      <c r="O57" s="281" t="str">
        <f>BA27</f>
        <v>obj_004cf#0003</v>
      </c>
    </row>
    <row r="58" spans="1:15" ht="14.4">
      <c r="A58" s="272"/>
      <c r="B58" s="272"/>
      <c r="C58" s="272"/>
      <c r="D58" s="272"/>
      <c r="E58" s="272"/>
      <c r="F58" s="272"/>
      <c r="G58" s="272"/>
      <c r="H58" s="287" t="s">
        <v>178</v>
      </c>
      <c r="I58" s="288">
        <v>100</v>
      </c>
      <c r="J58" s="272"/>
      <c r="K58" s="272"/>
      <c r="L58" s="272"/>
      <c r="M58" s="272"/>
      <c r="N58" s="272"/>
      <c r="O58" s="272"/>
    </row>
    <row r="59" spans="1:15" ht="14.4">
      <c r="A59" s="272"/>
      <c r="B59" s="275" t="s">
        <v>179</v>
      </c>
      <c r="C59" s="289" t="b">
        <v>1</v>
      </c>
      <c r="D59" s="272"/>
      <c r="E59" s="272"/>
      <c r="F59" s="272"/>
      <c r="G59" s="272"/>
      <c r="H59" s="272"/>
      <c r="I59" s="272"/>
      <c r="J59" s="272"/>
      <c r="K59" s="272"/>
      <c r="L59" s="272"/>
      <c r="M59" s="272"/>
      <c r="N59" s="272"/>
      <c r="O59" s="272"/>
    </row>
    <row r="60" spans="1:15" ht="14.4">
      <c r="A60" s="272"/>
      <c r="B60" s="283" t="s">
        <v>180</v>
      </c>
      <c r="C60" s="276" t="str">
        <f>C45</f>
        <v>obj_000c3#0003</v>
      </c>
      <c r="D60" s="272"/>
      <c r="E60" s="272"/>
      <c r="F60" s="272"/>
      <c r="G60" s="272"/>
      <c r="H60" s="272"/>
      <c r="I60" s="272"/>
      <c r="J60" s="272"/>
      <c r="K60" s="272"/>
      <c r="L60" s="272"/>
      <c r="M60" s="272"/>
      <c r="N60" s="272"/>
      <c r="O60" s="272"/>
    </row>
    <row r="61" spans="1:15" ht="14.4">
      <c r="A61" s="272"/>
      <c r="B61" s="285" t="s">
        <v>181</v>
      </c>
      <c r="C61" s="279" t="s">
        <v>182</v>
      </c>
      <c r="D61" s="272"/>
      <c r="E61" s="272"/>
      <c r="F61" s="272"/>
      <c r="G61" s="272"/>
      <c r="H61" s="272"/>
      <c r="I61" s="272"/>
      <c r="J61" s="272"/>
      <c r="K61" s="272"/>
      <c r="L61" s="272"/>
      <c r="M61" s="272"/>
      <c r="N61" s="272"/>
      <c r="O61" s="272"/>
    </row>
    <row r="62" spans="1:15" ht="14.4">
      <c r="A62" s="272"/>
      <c r="B62" s="285" t="s">
        <v>183</v>
      </c>
      <c r="C62" s="279" t="str">
        <f>L52</f>
        <v>obj_00010#0003</v>
      </c>
      <c r="D62" s="272"/>
      <c r="E62" s="272"/>
      <c r="F62" s="272"/>
      <c r="G62" s="272"/>
      <c r="H62" s="272"/>
      <c r="I62" s="272"/>
      <c r="J62" s="272"/>
      <c r="K62" s="272"/>
      <c r="L62" s="272"/>
      <c r="M62" s="272"/>
      <c r="N62" s="272"/>
      <c r="O62" s="272"/>
    </row>
    <row r="63" spans="1:15" ht="14.4">
      <c r="A63" s="272"/>
      <c r="B63" s="285" t="s">
        <v>184</v>
      </c>
      <c r="C63" s="279" t="str">
        <f>C49</f>
        <v>obj_0001f#0003</v>
      </c>
      <c r="D63" s="272"/>
      <c r="E63" s="272"/>
      <c r="F63" s="272"/>
      <c r="G63" s="272"/>
      <c r="H63" s="272"/>
      <c r="I63" s="272"/>
      <c r="J63" s="272"/>
      <c r="K63" s="272"/>
      <c r="L63" s="272"/>
      <c r="M63" s="272"/>
      <c r="N63" s="272"/>
      <c r="O63" s="272"/>
    </row>
    <row r="64" spans="1:15" ht="14.4">
      <c r="A64" s="272"/>
      <c r="B64" s="285" t="s">
        <v>185</v>
      </c>
      <c r="C64" s="279" t="s">
        <v>182</v>
      </c>
      <c r="D64" s="272"/>
      <c r="E64" s="272"/>
      <c r="F64" s="272"/>
      <c r="G64" s="272"/>
      <c r="H64" s="272"/>
      <c r="I64" s="272"/>
      <c r="J64" s="272"/>
      <c r="K64" s="272"/>
      <c r="L64" s="272"/>
      <c r="M64" s="272"/>
      <c r="N64" s="272"/>
      <c r="O64" s="272"/>
    </row>
    <row r="65" spans="1:15" ht="14.4">
      <c r="A65" s="272"/>
      <c r="B65" s="285" t="s">
        <v>186</v>
      </c>
      <c r="C65" s="279">
        <v>1E-4</v>
      </c>
      <c r="D65" s="272"/>
      <c r="E65" s="272"/>
      <c r="F65" s="272"/>
      <c r="G65" s="272"/>
      <c r="H65" s="272"/>
      <c r="I65" s="272"/>
      <c r="J65" s="272"/>
      <c r="K65" s="272"/>
      <c r="L65" s="272"/>
      <c r="M65" s="272"/>
      <c r="N65" s="272"/>
      <c r="O65" s="272"/>
    </row>
    <row r="66" spans="1:15" ht="14.4">
      <c r="A66" s="272"/>
      <c r="B66" s="287" t="s">
        <v>187</v>
      </c>
      <c r="C66" s="281">
        <v>10000</v>
      </c>
      <c r="D66" s="272"/>
      <c r="E66" s="272"/>
      <c r="F66" s="272"/>
      <c r="G66" s="272"/>
      <c r="H66" s="272"/>
      <c r="I66" s="272"/>
      <c r="J66" s="272"/>
      <c r="K66" s="272"/>
      <c r="L66" s="272"/>
      <c r="M66" s="272"/>
      <c r="N66" s="272"/>
      <c r="O66" s="272"/>
    </row>
    <row r="67" spans="1:15" ht="14.4">
      <c r="A67" s="272"/>
      <c r="B67" s="275" t="s">
        <v>81</v>
      </c>
      <c r="C67" s="289" t="b">
        <f>IF(C59,_xll.qlHestonModelCalibrate(C60,O53:O57,C62,C63,,C71:C75,C65,C66),FALSE)</f>
        <v>1</v>
      </c>
      <c r="D67" s="272"/>
      <c r="E67" s="272"/>
      <c r="F67" s="272"/>
      <c r="G67" s="272"/>
      <c r="H67" s="272"/>
      <c r="I67" s="272"/>
      <c r="J67" s="272"/>
      <c r="K67" s="272"/>
      <c r="L67" s="272"/>
      <c r="M67" s="272"/>
      <c r="N67" s="272"/>
      <c r="O67" s="272"/>
    </row>
    <row r="68" spans="1:15">
      <c r="A68" s="272"/>
      <c r="B68" s="272"/>
      <c r="C68" s="272"/>
      <c r="D68" s="272"/>
      <c r="E68" s="272"/>
      <c r="F68" s="272"/>
      <c r="G68" s="272"/>
      <c r="H68" s="272"/>
      <c r="I68" s="272"/>
      <c r="J68" s="272"/>
      <c r="K68" s="272"/>
      <c r="L68" s="272"/>
      <c r="M68" s="272"/>
      <c r="N68" s="272"/>
      <c r="O68" s="272"/>
    </row>
    <row r="69" spans="1:15">
      <c r="A69" s="272"/>
      <c r="B69" s="272"/>
      <c r="C69" s="272"/>
      <c r="D69" s="272"/>
      <c r="E69" s="272"/>
      <c r="F69" s="272"/>
      <c r="G69" s="272"/>
      <c r="H69" s="272"/>
      <c r="I69" s="272"/>
      <c r="J69" s="272"/>
      <c r="K69" s="272"/>
      <c r="L69" s="272"/>
      <c r="M69" s="272"/>
      <c r="N69" s="272"/>
      <c r="O69" s="272"/>
    </row>
    <row r="70" spans="1:15" ht="14.4">
      <c r="A70" s="272"/>
      <c r="B70" s="272"/>
      <c r="C70" s="275" t="s">
        <v>188</v>
      </c>
      <c r="D70" s="275" t="s">
        <v>189</v>
      </c>
      <c r="E70" s="275" t="s">
        <v>190</v>
      </c>
      <c r="F70" s="272"/>
      <c r="G70" s="272"/>
      <c r="H70" s="272"/>
      <c r="I70" s="272"/>
      <c r="J70" s="272"/>
      <c r="K70" s="272"/>
      <c r="L70" s="272"/>
      <c r="M70" s="272"/>
      <c r="N70" s="272"/>
      <c r="O70" s="272"/>
    </row>
    <row r="71" spans="1:15" ht="14.4">
      <c r="A71" s="272"/>
      <c r="B71" s="283" t="s">
        <v>154</v>
      </c>
      <c r="C71" s="276" t="b">
        <v>0</v>
      </c>
      <c r="D71" s="290">
        <f>C41</f>
        <v>0.15</v>
      </c>
      <c r="E71" s="291">
        <f>_xll.qlHestonModelTheta(C60)</f>
        <v>0.14999308139767045</v>
      </c>
      <c r="F71" s="272"/>
      <c r="G71" s="272"/>
      <c r="H71" s="272"/>
      <c r="I71" s="272"/>
      <c r="J71" s="272"/>
      <c r="K71" s="272"/>
      <c r="L71" s="272"/>
      <c r="M71" s="272"/>
      <c r="N71" s="272"/>
      <c r="O71" s="272"/>
    </row>
    <row r="72" spans="1:15" ht="14.4">
      <c r="A72" s="272"/>
      <c r="B72" s="285" t="s">
        <v>191</v>
      </c>
      <c r="C72" s="279" t="b">
        <v>0</v>
      </c>
      <c r="D72" s="292">
        <f>C40</f>
        <v>1.5</v>
      </c>
      <c r="E72" s="352">
        <f>_xll.qlHestonModelKappa(C60)</f>
        <v>1.5</v>
      </c>
      <c r="F72" s="272"/>
      <c r="G72" s="272"/>
      <c r="H72" s="272"/>
      <c r="I72" s="272"/>
      <c r="J72" s="272"/>
      <c r="K72" s="272"/>
      <c r="L72" s="272"/>
      <c r="M72" s="272"/>
      <c r="N72" s="272"/>
      <c r="O72" s="272"/>
    </row>
    <row r="73" spans="1:15" ht="14.4">
      <c r="A73" s="272"/>
      <c r="B73" s="285" t="s">
        <v>155</v>
      </c>
      <c r="C73" s="279" t="b">
        <v>0</v>
      </c>
      <c r="D73" s="292">
        <f>C42</f>
        <v>0.01</v>
      </c>
      <c r="E73" s="293">
        <f>_xll.qlHestonModelSigma(C60)</f>
        <v>2.0238031872425392E-2</v>
      </c>
      <c r="F73" s="272"/>
      <c r="G73" s="272"/>
      <c r="H73" s="272"/>
      <c r="I73" s="272"/>
      <c r="J73" s="272"/>
      <c r="K73" s="272"/>
      <c r="L73" s="272"/>
      <c r="M73" s="272"/>
      <c r="N73" s="272"/>
      <c r="O73" s="272"/>
    </row>
    <row r="74" spans="1:15" ht="14.4">
      <c r="A74" s="272"/>
      <c r="B74" s="285" t="s">
        <v>192</v>
      </c>
      <c r="C74" s="279" t="b">
        <v>1</v>
      </c>
      <c r="D74" s="292">
        <f>C43</f>
        <v>0</v>
      </c>
      <c r="E74" s="293">
        <f>_xll.qlHestonModelRho(C60)</f>
        <v>0</v>
      </c>
      <c r="F74" s="272" t="s">
        <v>222</v>
      </c>
      <c r="G74" s="272"/>
      <c r="H74" s="272"/>
      <c r="I74" s="272"/>
      <c r="J74" s="272"/>
      <c r="K74" s="272"/>
      <c r="L74" s="272"/>
      <c r="M74" s="272"/>
      <c r="N74" s="272"/>
      <c r="O74" s="272"/>
    </row>
    <row r="75" spans="1:15" ht="14.4">
      <c r="A75" s="272"/>
      <c r="B75" s="287" t="s">
        <v>153</v>
      </c>
      <c r="C75" s="281" t="b">
        <v>0</v>
      </c>
      <c r="D75" s="294">
        <f>C39</f>
        <v>0.15</v>
      </c>
      <c r="E75" s="295">
        <f>_xll.qlHestonModelV0(C60)</f>
        <v>0.14997902211514358</v>
      </c>
      <c r="F75" s="272"/>
      <c r="G75" s="272"/>
      <c r="H75" s="272"/>
      <c r="I75" s="272"/>
      <c r="J75" s="272"/>
      <c r="K75" s="272"/>
      <c r="L75" s="272"/>
      <c r="M75" s="272"/>
      <c r="N75" s="272"/>
      <c r="O75" s="272"/>
    </row>
    <row r="78" spans="1:15">
      <c r="A78" s="108" t="s">
        <v>194</v>
      </c>
    </row>
    <row r="80" spans="1:15" ht="14.4">
      <c r="B80" s="283" t="s">
        <v>195</v>
      </c>
      <c r="C80" s="284" t="str">
        <f>_xll.qlLocalVolTermStructure(,D33,I_ValuationDate!E5,I_ValuationDate!E6,C38,0.001)</f>
        <v>obj_00667#0003</v>
      </c>
    </row>
    <row r="81" spans="2:5" ht="14.4">
      <c r="B81" s="285" t="s">
        <v>196</v>
      </c>
      <c r="C81" s="286" t="str">
        <f>C60</f>
        <v>obj_000c3#0003</v>
      </c>
    </row>
    <row r="82" spans="2:5" ht="14.4">
      <c r="B82" s="285" t="s">
        <v>197</v>
      </c>
      <c r="C82" s="299">
        <f>O24</f>
        <v>44844</v>
      </c>
    </row>
    <row r="83" spans="2:5" ht="14.4">
      <c r="B83" s="285" t="s">
        <v>198</v>
      </c>
      <c r="C83" s="300">
        <v>100</v>
      </c>
    </row>
    <row r="84" spans="2:5" ht="14.4">
      <c r="B84" s="285" t="s">
        <v>199</v>
      </c>
      <c r="C84" s="300">
        <v>100</v>
      </c>
    </row>
    <row r="85" spans="2:5" ht="14.4">
      <c r="B85" s="285" t="s">
        <v>200</v>
      </c>
      <c r="C85" s="300">
        <v>20000</v>
      </c>
    </row>
    <row r="86" spans="2:5" ht="14.4">
      <c r="B86" s="285" t="s">
        <v>201</v>
      </c>
      <c r="C86" s="300" t="b">
        <f>C67</f>
        <v>1</v>
      </c>
    </row>
    <row r="87" spans="2:5" ht="14.4">
      <c r="B87" s="287" t="s">
        <v>201</v>
      </c>
      <c r="C87" s="301"/>
    </row>
    <row r="88" spans="2:5" ht="14.4">
      <c r="B88" s="275" t="s">
        <v>202</v>
      </c>
      <c r="C88" s="289" t="str">
        <f>_xll.qlHestonSLVMCModel(,C80,C81,C82,C83,C84,C85,,,C86)</f>
        <v>obj_00668#0003</v>
      </c>
    </row>
    <row r="89" spans="2:5">
      <c r="B89" s="272"/>
      <c r="C89" s="272"/>
    </row>
    <row r="90" spans="2:5" ht="14.4">
      <c r="B90" s="273" t="s">
        <v>203</v>
      </c>
      <c r="C90" s="274" t="str">
        <f>_xll.qlHestonSLVMCModelLeverageFunction(,C88,,C86:C87)</f>
        <v>obj_00669#0003</v>
      </c>
      <c r="E90" t="str">
        <f>_xll.ohRangeRetrieveError(D90)</f>
        <v/>
      </c>
    </row>
    <row r="93" spans="2:5">
      <c r="B93" s="302" t="s">
        <v>204</v>
      </c>
      <c r="C93" s="303" t="str">
        <f>_xll.qlHestonProcess(,I_ValuationDate!E5,I_ValuationDate!E6,C38,E75,E72,E71,E73,E74)</f>
        <v>obj_0056d#0003</v>
      </c>
    </row>
    <row r="94" spans="2:5">
      <c r="B94" s="304" t="s">
        <v>205</v>
      </c>
      <c r="C94" s="305" t="str">
        <f>C90</f>
        <v>obj_00669#0003</v>
      </c>
    </row>
    <row r="95" spans="2:5" ht="14.4">
      <c r="B95" s="273" t="s">
        <v>206</v>
      </c>
      <c r="C95" s="306" t="str">
        <f>_xll.qlHestonSLVProcess(,C93,C94)</f>
        <v>obj_0066a#0003</v>
      </c>
    </row>
    <row r="99" spans="5:6">
      <c r="E99" s="225"/>
      <c r="F99" s="225"/>
    </row>
  </sheetData>
  <mergeCells count="1">
    <mergeCell ref="C3:D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3:AO34"/>
  <sheetViews>
    <sheetView showGridLines="0" topLeftCell="A3" zoomScale="70" zoomScaleNormal="70" workbookViewId="0">
      <selection activeCell="AC32" sqref="AC32"/>
    </sheetView>
  </sheetViews>
  <sheetFormatPr defaultRowHeight="13.8"/>
  <cols>
    <col min="2" max="2" width="17.44140625" bestFit="1" customWidth="1"/>
    <col min="3" max="3" width="14.44140625" bestFit="1" customWidth="1"/>
    <col min="4" max="4" width="7.109375" customWidth="1"/>
    <col min="5" max="5" width="17.44140625" bestFit="1" customWidth="1"/>
    <col min="6" max="6" width="14.33203125" bestFit="1" customWidth="1"/>
    <col min="7" max="7" width="7.109375" customWidth="1"/>
    <col min="8" max="8" width="12.44140625" bestFit="1" customWidth="1"/>
    <col min="9" max="10" width="7.109375" customWidth="1"/>
    <col min="11" max="11" width="12.44140625" bestFit="1" customWidth="1"/>
    <col min="12" max="13" width="7.109375" customWidth="1"/>
    <col min="15" max="15" width="24.109375" bestFit="1" customWidth="1"/>
    <col min="35" max="35" width="12" bestFit="1" customWidth="1"/>
  </cols>
  <sheetData>
    <row r="3" spans="2:41">
      <c r="B3" s="108" t="s">
        <v>0</v>
      </c>
      <c r="C3" s="358">
        <f>_xll.qlSettingsEvaluationDate()</f>
        <v>43018</v>
      </c>
      <c r="D3" s="358"/>
      <c r="V3" s="92"/>
    </row>
    <row r="4" spans="2:41">
      <c r="AI4" t="str">
        <f>_xll.ohRangeRetrieveError(AI8)</f>
        <v/>
      </c>
    </row>
    <row r="6" spans="2:41">
      <c r="B6" s="133" t="s">
        <v>91</v>
      </c>
      <c r="C6" s="94" t="s">
        <v>44</v>
      </c>
      <c r="D6" s="19" t="s">
        <v>45</v>
      </c>
      <c r="E6" s="19" t="s">
        <v>46</v>
      </c>
      <c r="F6" s="19" t="s">
        <v>47</v>
      </c>
      <c r="G6" s="19" t="s">
        <v>48</v>
      </c>
      <c r="H6" s="19" t="s">
        <v>43</v>
      </c>
      <c r="I6" s="19" t="s">
        <v>49</v>
      </c>
      <c r="J6" s="19" t="s">
        <v>50</v>
      </c>
      <c r="K6" s="19" t="s">
        <v>51</v>
      </c>
      <c r="L6" s="19" t="s">
        <v>52</v>
      </c>
      <c r="M6" s="40" t="s">
        <v>53</v>
      </c>
      <c r="O6" s="109" t="s">
        <v>31</v>
      </c>
      <c r="P6" s="110"/>
      <c r="Q6" s="109" t="s">
        <v>77</v>
      </c>
      <c r="R6" s="119" t="s">
        <v>77</v>
      </c>
      <c r="S6" s="119" t="s">
        <v>77</v>
      </c>
      <c r="T6" s="119" t="s">
        <v>77</v>
      </c>
      <c r="U6" s="119" t="s">
        <v>77</v>
      </c>
      <c r="V6" s="119" t="s">
        <v>78</v>
      </c>
      <c r="W6" s="119" t="s">
        <v>78</v>
      </c>
      <c r="X6" s="119" t="s">
        <v>78</v>
      </c>
      <c r="Y6" s="119" t="s">
        <v>78</v>
      </c>
      <c r="Z6" s="119" t="s">
        <v>78</v>
      </c>
      <c r="AA6" s="110" t="s">
        <v>78</v>
      </c>
      <c r="AC6" s="137" t="s">
        <v>228</v>
      </c>
      <c r="AD6" s="137" t="s">
        <v>80</v>
      </c>
      <c r="AE6" s="134" t="b">
        <v>0</v>
      </c>
      <c r="AF6" s="135" t="b">
        <v>1</v>
      </c>
      <c r="AG6" s="135" t="b">
        <v>0</v>
      </c>
      <c r="AH6" s="136" t="b">
        <v>0</v>
      </c>
      <c r="AI6" s="4" t="s">
        <v>81</v>
      </c>
      <c r="AJ6" s="19"/>
      <c r="AK6" s="19"/>
      <c r="AL6" s="19"/>
      <c r="AM6" s="19"/>
      <c r="AN6" s="40"/>
      <c r="AO6" s="133" t="s">
        <v>91</v>
      </c>
    </row>
    <row r="7" spans="2:41">
      <c r="B7" s="107"/>
      <c r="C7" s="41" t="s">
        <v>54</v>
      </c>
      <c r="D7" s="21" t="s">
        <v>54</v>
      </c>
      <c r="E7" s="21" t="s">
        <v>54</v>
      </c>
      <c r="F7" s="21" t="s">
        <v>54</v>
      </c>
      <c r="G7" s="21" t="s">
        <v>54</v>
      </c>
      <c r="H7" s="21" t="s">
        <v>54</v>
      </c>
      <c r="I7" s="21" t="s">
        <v>54</v>
      </c>
      <c r="J7" s="21" t="s">
        <v>54</v>
      </c>
      <c r="K7" s="21" t="s">
        <v>54</v>
      </c>
      <c r="L7" s="21" t="s">
        <v>54</v>
      </c>
      <c r="M7" s="42" t="s">
        <v>54</v>
      </c>
      <c r="O7" s="111" t="s">
        <v>3</v>
      </c>
      <c r="P7" s="112" t="s">
        <v>79</v>
      </c>
      <c r="Q7" s="111">
        <v>-0.05</v>
      </c>
      <c r="R7" s="120">
        <v>-0.1</v>
      </c>
      <c r="S7" s="120">
        <v>-0.15</v>
      </c>
      <c r="T7" s="120">
        <v>-0.25</v>
      </c>
      <c r="U7" s="120">
        <v>-0.35</v>
      </c>
      <c r="V7" s="120" t="s">
        <v>43</v>
      </c>
      <c r="W7" s="120">
        <v>0.35</v>
      </c>
      <c r="X7" s="120">
        <v>0.25</v>
      </c>
      <c r="Y7" s="120">
        <v>0.15</v>
      </c>
      <c r="Z7" s="120">
        <v>0.1</v>
      </c>
      <c r="AA7" s="112">
        <v>0.05</v>
      </c>
      <c r="AC7" s="137"/>
      <c r="AD7" s="137" t="s">
        <v>82</v>
      </c>
      <c r="AE7" s="49" t="s">
        <v>83</v>
      </c>
      <c r="AF7" s="50" t="s">
        <v>84</v>
      </c>
      <c r="AG7" s="50" t="s">
        <v>85</v>
      </c>
      <c r="AH7" s="138" t="s">
        <v>86</v>
      </c>
      <c r="AI7" s="111" t="s">
        <v>87</v>
      </c>
      <c r="AJ7" s="120" t="s">
        <v>88</v>
      </c>
      <c r="AK7" s="120" t="s">
        <v>83</v>
      </c>
      <c r="AL7" s="120" t="s">
        <v>84</v>
      </c>
      <c r="AM7" s="120" t="s">
        <v>85</v>
      </c>
      <c r="AN7" s="112" t="s">
        <v>86</v>
      </c>
      <c r="AO7" s="107"/>
    </row>
    <row r="8" spans="2:41">
      <c r="B8" s="104" t="s">
        <v>55</v>
      </c>
      <c r="C8" s="95">
        <v>9.6110000000000007</v>
      </c>
      <c r="D8" s="96">
        <v>9.4380000000000006</v>
      </c>
      <c r="E8" s="96">
        <v>9.3260000000000005</v>
      </c>
      <c r="F8" s="96">
        <v>9.1940000000000008</v>
      </c>
      <c r="G8" s="96">
        <v>9.1229999999999993</v>
      </c>
      <c r="H8" s="96">
        <v>9.0950000000000006</v>
      </c>
      <c r="I8" s="96">
        <v>9.1720000000000006</v>
      </c>
      <c r="J8" s="96">
        <v>9.2810000000000006</v>
      </c>
      <c r="K8" s="96">
        <v>9.4540000000000006</v>
      </c>
      <c r="L8" s="96">
        <v>9.593</v>
      </c>
      <c r="M8" s="97">
        <v>9.8000000000000007</v>
      </c>
      <c r="O8" s="113">
        <f>_xll.qlCalendarAdvance("NullCalendar",$C$3,B8)</f>
        <v>43019</v>
      </c>
      <c r="P8" s="116">
        <f>(O8-$C$3)/365</f>
        <v>2.7397260273972603E-3</v>
      </c>
      <c r="Q8" s="121">
        <f>Q$33</f>
        <v>-0.25</v>
      </c>
      <c r="R8" s="122">
        <f>R$33</f>
        <v>0</v>
      </c>
      <c r="S8" s="122">
        <f>S$33</f>
        <v>0.25</v>
      </c>
      <c r="T8" s="122">
        <f>T$33</f>
        <v>0.5</v>
      </c>
      <c r="U8" s="122">
        <f>U$33</f>
        <v>0.75</v>
      </c>
      <c r="V8" s="123">
        <f>V$33</f>
        <v>1</v>
      </c>
      <c r="W8" s="122">
        <f>W$33</f>
        <v>1.25</v>
      </c>
      <c r="X8" s="122">
        <f>X$33</f>
        <v>1.5</v>
      </c>
      <c r="Y8" s="122">
        <f>Y$33</f>
        <v>1.75</v>
      </c>
      <c r="Z8" s="122">
        <f>Z$33</f>
        <v>2</v>
      </c>
      <c r="AA8" s="124">
        <f>AA$33</f>
        <v>2.25</v>
      </c>
      <c r="AC8" s="139">
        <v>2</v>
      </c>
      <c r="AD8" s="139">
        <f>I_ValuationDate!$C$12</f>
        <v>1</v>
      </c>
      <c r="AE8" s="142">
        <v>7.2584415373479858E-2</v>
      </c>
      <c r="AF8" s="143">
        <v>0.7</v>
      </c>
      <c r="AG8" s="143">
        <v>0.19296159463819762</v>
      </c>
      <c r="AH8" s="20">
        <v>8.6031562540046327</v>
      </c>
      <c r="AI8" s="155" t="str">
        <f t="array" ref="AI8">_xll.qlSabrInterpolatedSmileSection(,O8,AD8,Q8:AA8,FALSE,H8%,C8:M8%,AE8,AF8,AH8,AG8,AE$6,AF$6,AH$6,AG$6,TRUE,,,"Actual/365 (Fixed)",AC8,FALSE)</f>
        <v>obj_0064b#0028</v>
      </c>
      <c r="AJ8" s="151">
        <f>_xll.qlSabrInterpolatedSmileSectionMaxError(AI8)</f>
        <v>1.1914027889932052E-2</v>
      </c>
      <c r="AK8" s="152">
        <f>_xll.qlSabrInterpolatedSmileSectionAlpha(AI8)</f>
        <v>0.12645448473956419</v>
      </c>
      <c r="AL8" s="151">
        <f>_xll.qlSabrInterpolatedSmileSectionBeta(AI8)</f>
        <v>0.7</v>
      </c>
      <c r="AM8" s="153">
        <f>_xll.qlSabrInterpolatedSmileSectionRho(AI8)</f>
        <v>0.16536600281618527</v>
      </c>
      <c r="AN8" s="154">
        <f>_xll.qlSabrInterpolatedSmileSectionNu(AI8)</f>
        <v>0.20896775903952619</v>
      </c>
      <c r="AO8" s="104" t="s">
        <v>55</v>
      </c>
    </row>
    <row r="9" spans="2:41">
      <c r="B9" s="105" t="s">
        <v>56</v>
      </c>
      <c r="C9" s="98">
        <v>8.3840000000000003</v>
      </c>
      <c r="D9" s="99">
        <v>8.202</v>
      </c>
      <c r="E9" s="99">
        <v>8.0969999999999995</v>
      </c>
      <c r="F9" s="99">
        <v>7.9610000000000003</v>
      </c>
      <c r="G9" s="99">
        <v>7.8949999999999996</v>
      </c>
      <c r="H9" s="99">
        <v>7.8949999999999996</v>
      </c>
      <c r="I9" s="99">
        <v>8.0050000000000008</v>
      </c>
      <c r="J9" s="99">
        <v>8.1539999999999999</v>
      </c>
      <c r="K9" s="99">
        <v>8.3870000000000005</v>
      </c>
      <c r="L9" s="99">
        <v>8.5570000000000004</v>
      </c>
      <c r="M9" s="100">
        <v>8.8190000000000008</v>
      </c>
      <c r="O9" s="114">
        <f>_xll.qlCalendarAdvance("NullCalendar",$C$3,B9)</f>
        <v>43025</v>
      </c>
      <c r="P9" s="117">
        <f>(O9-$C$3)/365</f>
        <v>1.9178082191780823E-2</v>
      </c>
      <c r="Q9" s="125">
        <f>Q$33</f>
        <v>-0.25</v>
      </c>
      <c r="R9" s="126">
        <f>R$33</f>
        <v>0</v>
      </c>
      <c r="S9" s="126">
        <f>S$33</f>
        <v>0.25</v>
      </c>
      <c r="T9" s="126">
        <f>T$33</f>
        <v>0.5</v>
      </c>
      <c r="U9" s="126">
        <f>U$33</f>
        <v>0.75</v>
      </c>
      <c r="V9" s="127">
        <f>V$33</f>
        <v>1</v>
      </c>
      <c r="W9" s="126">
        <f>W$33</f>
        <v>1.25</v>
      </c>
      <c r="X9" s="126">
        <f>X$33</f>
        <v>1.5</v>
      </c>
      <c r="Y9" s="126">
        <f>Y$33</f>
        <v>1.75</v>
      </c>
      <c r="Z9" s="126">
        <f>Z$33</f>
        <v>2</v>
      </c>
      <c r="AA9" s="128">
        <f>AA$33</f>
        <v>2.25</v>
      </c>
      <c r="AC9" s="140">
        <v>2</v>
      </c>
      <c r="AD9" s="140">
        <f>I_ValuationDate!$C$12</f>
        <v>1</v>
      </c>
      <c r="AE9" s="144">
        <v>6.5991427497833252E-2</v>
      </c>
      <c r="AF9" s="145">
        <v>0.7</v>
      </c>
      <c r="AG9" s="145">
        <v>0.21663960044818401</v>
      </c>
      <c r="AH9" s="146">
        <v>3.3392516749698067</v>
      </c>
      <c r="AI9" s="155" t="str">
        <f t="array" ref="AI9">_xll.qlSabrInterpolatedSmileSection(,O9,AD9,Q9:AA9,FALSE,H9%,C9:M9%,AE9,AF9,AH9,AG9,AE$6,AF$6,AH$6,AG$6,TRUE,,,"Actual/365 (Fixed)",AC9,FALSE)</f>
        <v>obj_0062f#0004</v>
      </c>
      <c r="AJ9" s="156">
        <f>_xll.qlSabrInterpolatedSmileSectionMaxError(AI9)</f>
        <v>1.1362288617702929E-2</v>
      </c>
      <c r="AK9" s="157">
        <f>_xll.qlSabrInterpolatedSmileSectionAlpha(AI9)</f>
        <v>0.10976321245493968</v>
      </c>
      <c r="AL9" s="156">
        <f>_xll.qlSabrInterpolatedSmileSectionBeta(AI9)</f>
        <v>0.7</v>
      </c>
      <c r="AM9" s="158">
        <f>_xll.qlSabrInterpolatedSmileSectionRho(AI9)</f>
        <v>0.18962234166631467</v>
      </c>
      <c r="AN9" s="159">
        <f>_xll.qlSabrInterpolatedSmileSectionNu(AI9)</f>
        <v>0.20306683453585353</v>
      </c>
      <c r="AO9" s="105" t="s">
        <v>56</v>
      </c>
    </row>
    <row r="10" spans="2:41">
      <c r="B10" s="105" t="s">
        <v>57</v>
      </c>
      <c r="C10" s="98">
        <v>9.1850000000000005</v>
      </c>
      <c r="D10" s="99">
        <v>9.0090000000000003</v>
      </c>
      <c r="E10" s="99">
        <v>8.9049999999999994</v>
      </c>
      <c r="F10" s="99">
        <v>8.7780000000000005</v>
      </c>
      <c r="G10" s="99">
        <v>8.7210000000000001</v>
      </c>
      <c r="H10" s="99">
        <v>8.74</v>
      </c>
      <c r="I10" s="99">
        <v>8.8789999999999996</v>
      </c>
      <c r="J10" s="99">
        <v>9.048</v>
      </c>
      <c r="K10" s="99">
        <v>9.3049999999999997</v>
      </c>
      <c r="L10" s="99">
        <v>9.4860000000000007</v>
      </c>
      <c r="M10" s="100">
        <v>9.77</v>
      </c>
      <c r="O10" s="114">
        <f>_xll.qlCalendarAdvance("NullCalendar",$C$3,B10)</f>
        <v>43032</v>
      </c>
      <c r="P10" s="117">
        <f>(O10-$C$3)/365</f>
        <v>3.8356164383561646E-2</v>
      </c>
      <c r="Q10" s="125">
        <f>Q$33</f>
        <v>-0.25</v>
      </c>
      <c r="R10" s="126">
        <f>R$33</f>
        <v>0</v>
      </c>
      <c r="S10" s="126">
        <f>S$33</f>
        <v>0.25</v>
      </c>
      <c r="T10" s="126">
        <f>T$33</f>
        <v>0.5</v>
      </c>
      <c r="U10" s="126">
        <f>U$33</f>
        <v>0.75</v>
      </c>
      <c r="V10" s="127">
        <f>V$33</f>
        <v>1</v>
      </c>
      <c r="W10" s="126">
        <f>W$33</f>
        <v>1.25</v>
      </c>
      <c r="X10" s="126">
        <f>X$33</f>
        <v>1.5</v>
      </c>
      <c r="Y10" s="126">
        <f>Y$33</f>
        <v>1.75</v>
      </c>
      <c r="Z10" s="126">
        <f>Z$33</f>
        <v>2</v>
      </c>
      <c r="AA10" s="128">
        <f>AA$33</f>
        <v>2.25</v>
      </c>
      <c r="AC10" s="140">
        <v>2</v>
      </c>
      <c r="AD10" s="140">
        <f>I_ValuationDate!$C$12</f>
        <v>1</v>
      </c>
      <c r="AE10" s="144">
        <v>7.7832109384568943E-2</v>
      </c>
      <c r="AF10" s="145">
        <v>0.7</v>
      </c>
      <c r="AG10" s="145">
        <v>0.22444692024285942</v>
      </c>
      <c r="AH10" s="146">
        <v>2.22722244952103</v>
      </c>
      <c r="AI10" s="155" t="str">
        <f t="array" ref="AI10">_xll.qlSabrInterpolatedSmileSection(,O10,AD10,Q10:AA10,FALSE,H10%,C10:M10%,AE10,AF10,AH10,AG10,AE$6,AF$6,AH$6,AG$6,TRUE,,,"Actual/365 (Fixed)",AC10,FALSE)</f>
        <v>obj_0062d#0004</v>
      </c>
      <c r="AJ10" s="156">
        <f>_xll.qlSabrInterpolatedSmileSectionMaxError(AI10)</f>
        <v>1.2789172959850173E-2</v>
      </c>
      <c r="AK10" s="157">
        <f>_xll.qlSabrInterpolatedSmileSectionAlpha(AI10)</f>
        <v>0.12149801751141356</v>
      </c>
      <c r="AL10" s="156">
        <f>_xll.qlSabrInterpolatedSmileSectionBeta(AI10)</f>
        <v>0.7</v>
      </c>
      <c r="AM10" s="158">
        <f>_xll.qlSabrInterpolatedSmileSectionRho(AI10)</f>
        <v>0.20831505986707827</v>
      </c>
      <c r="AN10" s="159">
        <f>_xll.qlSabrInterpolatedSmileSectionNu(AI10)</f>
        <v>0.22579438768610288</v>
      </c>
      <c r="AO10" s="105" t="s">
        <v>57</v>
      </c>
    </row>
    <row r="11" spans="2:41">
      <c r="B11" s="105" t="s">
        <v>58</v>
      </c>
      <c r="C11" s="98">
        <v>8.9039999999999999</v>
      </c>
      <c r="D11" s="99">
        <v>8.7010000000000005</v>
      </c>
      <c r="E11" s="99">
        <v>8.5839999999999996</v>
      </c>
      <c r="F11" s="99">
        <v>8.4429999999999996</v>
      </c>
      <c r="G11" s="99">
        <v>8.3829999999999991</v>
      </c>
      <c r="H11" s="99">
        <v>8.4179999999999993</v>
      </c>
      <c r="I11" s="99">
        <v>8.6029999999999998</v>
      </c>
      <c r="J11" s="99">
        <v>8.8179999999999996</v>
      </c>
      <c r="K11" s="99">
        <v>9.141</v>
      </c>
      <c r="L11" s="99">
        <v>9.3490000000000002</v>
      </c>
      <c r="M11" s="100">
        <v>9.6980000000000004</v>
      </c>
      <c r="O11" s="114">
        <f>_xll.qlCalendarAdvance("NullCalendar",$C$3,B11)</f>
        <v>43039</v>
      </c>
      <c r="P11" s="117">
        <f>(O11-$C$3)/365</f>
        <v>5.7534246575342465E-2</v>
      </c>
      <c r="Q11" s="125">
        <f>Q$33</f>
        <v>-0.25</v>
      </c>
      <c r="R11" s="126">
        <f>R$33</f>
        <v>0</v>
      </c>
      <c r="S11" s="126">
        <f>S$33</f>
        <v>0.25</v>
      </c>
      <c r="T11" s="126">
        <f>T$33</f>
        <v>0.5</v>
      </c>
      <c r="U11" s="126">
        <f>U$33</f>
        <v>0.75</v>
      </c>
      <c r="V11" s="127">
        <f>V$33</f>
        <v>1</v>
      </c>
      <c r="W11" s="126">
        <f>W$33</f>
        <v>1.25</v>
      </c>
      <c r="X11" s="126">
        <f>X$33</f>
        <v>1.5</v>
      </c>
      <c r="Y11" s="126">
        <f>Y$33</f>
        <v>1.75</v>
      </c>
      <c r="Z11" s="126">
        <f>Z$33</f>
        <v>2</v>
      </c>
      <c r="AA11" s="128">
        <f>AA$33</f>
        <v>2.25</v>
      </c>
      <c r="AC11" s="140">
        <v>2</v>
      </c>
      <c r="AD11" s="140">
        <f>I_ValuationDate!$C$12</f>
        <v>1</v>
      </c>
      <c r="AE11" s="144">
        <v>7.4314957473345475E-2</v>
      </c>
      <c r="AF11" s="145">
        <v>0.7</v>
      </c>
      <c r="AG11" s="145">
        <v>0.23375987515216165</v>
      </c>
      <c r="AH11" s="146">
        <v>1.8500106427823144</v>
      </c>
      <c r="AI11" s="155" t="str">
        <f t="array" ref="AI11">_xll.qlSabrInterpolatedSmileSection(,O11,AD11,Q11:AA11,FALSE,H11%,C11:M11%,AE11,AF11,AH11,AG11,AE$6,AF$6,AH$6,AG$6,TRUE,,,"Actual/365 (Fixed)",AC11,FALSE)</f>
        <v>obj_0063d#0004</v>
      </c>
      <c r="AJ11" s="156">
        <f>_xll.qlSabrInterpolatedSmileSectionMaxError(AI11)</f>
        <v>1.5039053577613537E-2</v>
      </c>
      <c r="AK11" s="157">
        <f>_xll.qlSabrInterpolatedSmileSectionAlpha(AI11)</f>
        <v>0.11700491026031655</v>
      </c>
      <c r="AL11" s="156">
        <f>_xll.qlSabrInterpolatedSmileSectionBeta(AI11)</f>
        <v>0.7</v>
      </c>
      <c r="AM11" s="158">
        <f>_xll.qlSabrInterpolatedSmileSectionRho(AI11)</f>
        <v>0.21697657286356375</v>
      </c>
      <c r="AN11" s="159">
        <f>_xll.qlSabrInterpolatedSmileSectionNu(AI11)</f>
        <v>0.24967481506470091</v>
      </c>
      <c r="AO11" s="105" t="s">
        <v>58</v>
      </c>
    </row>
    <row r="12" spans="2:41">
      <c r="B12" s="105" t="s">
        <v>59</v>
      </c>
      <c r="C12" s="98">
        <v>7.76</v>
      </c>
      <c r="D12" s="99">
        <v>7.5810000000000004</v>
      </c>
      <c r="E12" s="99">
        <v>7.4740000000000002</v>
      </c>
      <c r="F12" s="99">
        <v>7.359</v>
      </c>
      <c r="G12" s="99">
        <v>7.3239999999999998</v>
      </c>
      <c r="H12" s="99">
        <v>7.3849999999999998</v>
      </c>
      <c r="I12" s="99">
        <v>7.5910000000000002</v>
      </c>
      <c r="J12" s="99">
        <v>7.8259999999999996</v>
      </c>
      <c r="K12" s="99">
        <v>8.1</v>
      </c>
      <c r="L12" s="99">
        <v>8.3940000000000001</v>
      </c>
      <c r="M12" s="100">
        <v>8.7569999999999997</v>
      </c>
      <c r="O12" s="114">
        <f>_xll.qlCalendarAdvance("NullCalendar",$C$3,B12)</f>
        <v>43049</v>
      </c>
      <c r="P12" s="117">
        <f>(O12-$C$3)/365</f>
        <v>8.4931506849315067E-2</v>
      </c>
      <c r="Q12" s="125">
        <f>Q$33</f>
        <v>-0.25</v>
      </c>
      <c r="R12" s="126">
        <f>R$33</f>
        <v>0</v>
      </c>
      <c r="S12" s="126">
        <f>S$33</f>
        <v>0.25</v>
      </c>
      <c r="T12" s="126">
        <f>T$33</f>
        <v>0.5</v>
      </c>
      <c r="U12" s="126">
        <f>U$33</f>
        <v>0.75</v>
      </c>
      <c r="V12" s="127">
        <f>V$33</f>
        <v>1</v>
      </c>
      <c r="W12" s="126">
        <f>W$33</f>
        <v>1.25</v>
      </c>
      <c r="X12" s="126">
        <f>X$33</f>
        <v>1.5</v>
      </c>
      <c r="Y12" s="126">
        <f>Y$33</f>
        <v>1.75</v>
      </c>
      <c r="Z12" s="126">
        <f>Z$33</f>
        <v>2</v>
      </c>
      <c r="AA12" s="128">
        <f>AA$33</f>
        <v>2.25</v>
      </c>
      <c r="AC12" s="140">
        <v>2</v>
      </c>
      <c r="AD12" s="140">
        <f>I_ValuationDate!$C$12</f>
        <v>1</v>
      </c>
      <c r="AE12" s="144">
        <v>6.4987701435258338E-2</v>
      </c>
      <c r="AF12" s="145">
        <v>0.7</v>
      </c>
      <c r="AG12" s="145">
        <v>0.23622746263824057</v>
      </c>
      <c r="AH12" s="146">
        <v>1.666236479944659</v>
      </c>
      <c r="AI12" s="155" t="str">
        <f t="array" ref="AI12">_xll.qlSabrInterpolatedSmileSection(,O12,AD12,Q12:AA12,FALSE,H12%,C12:M12%,AE12,AF12,AH12,AG12,AE$6,AF$6,AH$6,AG$6,TRUE,,,"Actual/365 (Fixed)",AC12,FALSE)</f>
        <v>obj_0064c#0004</v>
      </c>
      <c r="AJ12" s="156">
        <f>_xll.qlSabrInterpolatedSmileSectionMaxError(AI12)</f>
        <v>1.4330666913317192E-2</v>
      </c>
      <c r="AK12" s="157">
        <f>_xll.qlSabrInterpolatedSmileSectionAlpha(AI12)</f>
        <v>0.10263743359976245</v>
      </c>
      <c r="AL12" s="156">
        <f>_xll.qlSabrInterpolatedSmileSectionBeta(AI12)</f>
        <v>0.7</v>
      </c>
      <c r="AM12" s="158">
        <f>_xll.qlSabrInterpolatedSmileSectionRho(AI12)</f>
        <v>0.24319981901888152</v>
      </c>
      <c r="AN12" s="159">
        <f>_xll.qlSabrInterpolatedSmileSectionNu(AI12)</f>
        <v>0.23391839812489351</v>
      </c>
      <c r="AO12" s="105" t="s">
        <v>59</v>
      </c>
    </row>
    <row r="13" spans="2:41">
      <c r="B13" s="105" t="s">
        <v>60</v>
      </c>
      <c r="C13" s="98">
        <v>7.774</v>
      </c>
      <c r="D13" s="99">
        <v>7.6029999999999998</v>
      </c>
      <c r="E13" s="99">
        <v>7.5010000000000003</v>
      </c>
      <c r="F13" s="99">
        <v>7.3979999999999997</v>
      </c>
      <c r="G13" s="99">
        <v>7.38</v>
      </c>
      <c r="H13" s="99">
        <v>7.4630000000000001</v>
      </c>
      <c r="I13" s="99">
        <v>7.71</v>
      </c>
      <c r="J13" s="99">
        <v>7.9779999999999998</v>
      </c>
      <c r="K13" s="99">
        <v>8.3000000000000007</v>
      </c>
      <c r="L13" s="99">
        <v>8.75</v>
      </c>
      <c r="M13" s="100">
        <v>9.4499999999999993</v>
      </c>
      <c r="O13" s="114">
        <f>_xll.qlCalendarAdvance("NullCalendar",$C$3,B13)</f>
        <v>43079</v>
      </c>
      <c r="P13" s="117">
        <f>(O13-$C$3)/365</f>
        <v>0.16712328767123288</v>
      </c>
      <c r="Q13" s="125">
        <f>Q$33</f>
        <v>-0.25</v>
      </c>
      <c r="R13" s="126">
        <f>R$33</f>
        <v>0</v>
      </c>
      <c r="S13" s="126">
        <f>S$33</f>
        <v>0.25</v>
      </c>
      <c r="T13" s="126">
        <f>T$33</f>
        <v>0.5</v>
      </c>
      <c r="U13" s="126">
        <f>U$33</f>
        <v>0.75</v>
      </c>
      <c r="V13" s="127">
        <f>V$33</f>
        <v>1</v>
      </c>
      <c r="W13" s="126">
        <f>W$33</f>
        <v>1.25</v>
      </c>
      <c r="X13" s="126">
        <f>X$33</f>
        <v>1.5</v>
      </c>
      <c r="Y13" s="126">
        <f>Y$33</f>
        <v>1.75</v>
      </c>
      <c r="Z13" s="126">
        <f>Z$33</f>
        <v>2</v>
      </c>
      <c r="AA13" s="128">
        <f>AA$33</f>
        <v>2.25</v>
      </c>
      <c r="AC13" s="140">
        <v>2</v>
      </c>
      <c r="AD13" s="140">
        <f>I_ValuationDate!$C$12</f>
        <v>1</v>
      </c>
      <c r="AE13" s="144">
        <v>6.648245675140757E-2</v>
      </c>
      <c r="AF13" s="145">
        <v>0.7</v>
      </c>
      <c r="AG13" s="145">
        <v>0.23413014857513628</v>
      </c>
      <c r="AH13" s="146">
        <v>1.2438278243420586</v>
      </c>
      <c r="AI13" s="155" t="str">
        <f t="array" ref="AI13">_xll.qlSabrInterpolatedSmileSection(,O13,AD13,Q13:AA13,FALSE,H13%,C13:M13%,AE13,AF13,AH13,AG13,AE$6,AF$6,AH$6,AG$6,TRUE,,,"Actual/365 (Fixed)",AC13,FALSE)</f>
        <v>obj_00640#0004</v>
      </c>
      <c r="AJ13" s="156">
        <f>_xll.qlSabrInterpolatedSmileSectionMaxError(AI13)</f>
        <v>1.6395271759732599E-2</v>
      </c>
      <c r="AK13" s="157">
        <f>_xll.qlSabrInterpolatedSmileSectionAlpha(AI13)</f>
        <v>0.10366689750113746</v>
      </c>
      <c r="AL13" s="156">
        <f>_xll.qlSabrInterpolatedSmileSectionBeta(AI13)</f>
        <v>0.7</v>
      </c>
      <c r="AM13" s="158">
        <f>_xll.qlSabrInterpolatedSmileSectionRho(AI13)</f>
        <v>0.25844845172996356</v>
      </c>
      <c r="AN13" s="159">
        <f>_xll.qlSabrInterpolatedSmileSectionNu(AI13)</f>
        <v>0.25240972125741046</v>
      </c>
      <c r="AO13" s="105" t="s">
        <v>60</v>
      </c>
    </row>
    <row r="14" spans="2:41">
      <c r="B14" s="105" t="s">
        <v>61</v>
      </c>
      <c r="C14" s="98">
        <v>7.867</v>
      </c>
      <c r="D14" s="99">
        <v>7.6749999999999998</v>
      </c>
      <c r="E14" s="99">
        <v>7.556</v>
      </c>
      <c r="F14" s="99">
        <v>7.44</v>
      </c>
      <c r="G14" s="99">
        <v>7.4249999999999998</v>
      </c>
      <c r="H14" s="99">
        <v>7.53</v>
      </c>
      <c r="I14" s="99">
        <v>7.77</v>
      </c>
      <c r="J14" s="99">
        <v>8.1</v>
      </c>
      <c r="K14" s="99">
        <v>8.5500000000000007</v>
      </c>
      <c r="L14" s="99">
        <v>9.1</v>
      </c>
      <c r="M14" s="100">
        <v>9.6999999999999993</v>
      </c>
      <c r="O14" s="114">
        <f>_xll.qlCalendarAdvance("NullCalendar",$C$3,B14)</f>
        <v>43110</v>
      </c>
      <c r="P14" s="117">
        <f>(O14-$C$3)/365</f>
        <v>0.25205479452054796</v>
      </c>
      <c r="Q14" s="233">
        <f>Q$33</f>
        <v>-0.25</v>
      </c>
      <c r="R14" s="126">
        <f>R$33</f>
        <v>0</v>
      </c>
      <c r="S14" s="126">
        <f>S$33</f>
        <v>0.25</v>
      </c>
      <c r="T14" s="126">
        <f>T$33</f>
        <v>0.5</v>
      </c>
      <c r="U14" s="126">
        <f>U$33</f>
        <v>0.75</v>
      </c>
      <c r="V14" s="127">
        <f>V$33</f>
        <v>1</v>
      </c>
      <c r="W14" s="126">
        <f>W$33</f>
        <v>1.25</v>
      </c>
      <c r="X14" s="126">
        <f>X$33</f>
        <v>1.5</v>
      </c>
      <c r="Y14" s="126">
        <f>Y$33</f>
        <v>1.75</v>
      </c>
      <c r="Z14" s="126">
        <f>Z$33</f>
        <v>2</v>
      </c>
      <c r="AA14" s="128">
        <f>AA$33</f>
        <v>2.25</v>
      </c>
      <c r="AC14" s="140">
        <v>2</v>
      </c>
      <c r="AD14" s="140">
        <f>I_ValuationDate!$C$12</f>
        <v>1</v>
      </c>
      <c r="AE14" s="144">
        <v>6.6335096159272133E-2</v>
      </c>
      <c r="AF14" s="145">
        <v>0.7</v>
      </c>
      <c r="AG14" s="145">
        <v>0.22030508891792794</v>
      </c>
      <c r="AH14" s="146">
        <v>1.0756510289345638</v>
      </c>
      <c r="AI14" s="155" t="str">
        <f t="array" ref="AI14">_xll.qlSabrInterpolatedSmileSection(,O14,AD14,Q14:AA14,FALSE,H14%,C14:M14%,AE14,AF14,AH14,AG14,AE$6,AF$6,AH$6,AG$6,TRUE,,,"Actual/365 (Fixed)",AC14,FALSE)</f>
        <v>obj_0063e#0004</v>
      </c>
      <c r="AJ14" s="156">
        <f>_xll.qlSabrInterpolatedSmileSectionMaxError(AI14)</f>
        <v>1.2795079914757007E-2</v>
      </c>
      <c r="AK14" s="157">
        <f>_xll.qlSabrInterpolatedSmileSectionAlpha(AI14)</f>
        <v>0.10456562786045939</v>
      </c>
      <c r="AL14" s="156">
        <f>_xll.qlSabrInterpolatedSmileSectionBeta(AI14)</f>
        <v>0.7</v>
      </c>
      <c r="AM14" s="158">
        <f>_xll.qlSabrInterpolatedSmileSectionRho(AI14)</f>
        <v>0.28405301374081998</v>
      </c>
      <c r="AN14" s="159">
        <f>_xll.qlSabrInterpolatedSmileSectionNu(AI14)</f>
        <v>0.23496832226690256</v>
      </c>
      <c r="AO14" s="105" t="s">
        <v>61</v>
      </c>
    </row>
    <row r="15" spans="2:41">
      <c r="B15" s="105" t="s">
        <v>62</v>
      </c>
      <c r="C15" s="98">
        <v>8.0549999999999997</v>
      </c>
      <c r="D15" s="99">
        <v>7.8520000000000003</v>
      </c>
      <c r="E15" s="99">
        <v>7.734</v>
      </c>
      <c r="F15" s="99">
        <v>7.609</v>
      </c>
      <c r="G15" s="99">
        <v>7.5910000000000002</v>
      </c>
      <c r="H15" s="99">
        <v>7.6970000000000001</v>
      </c>
      <c r="I15" s="99">
        <v>7.9939999999999998</v>
      </c>
      <c r="J15" s="99">
        <v>8.3209999999999997</v>
      </c>
      <c r="K15" s="99">
        <v>8.6999999999999993</v>
      </c>
      <c r="L15" s="99">
        <v>9.1170000000000009</v>
      </c>
      <c r="M15" s="100">
        <v>9.75</v>
      </c>
      <c r="O15" s="114">
        <f>_xll.qlCalendarAdvance("NullCalendar",$C$3,B15)</f>
        <v>43141</v>
      </c>
      <c r="P15" s="117">
        <f>(O15-$C$3)/365</f>
        <v>0.33698630136986302</v>
      </c>
      <c r="Q15" s="125">
        <f>Q$33</f>
        <v>-0.25</v>
      </c>
      <c r="R15" s="126">
        <f>R$33</f>
        <v>0</v>
      </c>
      <c r="S15" s="126">
        <f>S$33</f>
        <v>0.25</v>
      </c>
      <c r="T15" s="126">
        <f>T$33</f>
        <v>0.5</v>
      </c>
      <c r="U15" s="126">
        <f>U$33</f>
        <v>0.75</v>
      </c>
      <c r="V15" s="127">
        <f>V$33</f>
        <v>1</v>
      </c>
      <c r="W15" s="126">
        <f>W$33</f>
        <v>1.25</v>
      </c>
      <c r="X15" s="126">
        <f>X$33</f>
        <v>1.5</v>
      </c>
      <c r="Y15" s="126">
        <f>Y$33</f>
        <v>1.75</v>
      </c>
      <c r="Z15" s="126">
        <f>Z$33</f>
        <v>2</v>
      </c>
      <c r="AA15" s="128">
        <f>AA$33</f>
        <v>2.25</v>
      </c>
      <c r="AC15" s="140">
        <v>2</v>
      </c>
      <c r="AD15" s="140">
        <f>I_ValuationDate!$C$12</f>
        <v>1</v>
      </c>
      <c r="AE15" s="144">
        <v>6.8692845709085362E-2</v>
      </c>
      <c r="AF15" s="145">
        <v>0.7</v>
      </c>
      <c r="AG15" s="145">
        <v>0.1641956171987218</v>
      </c>
      <c r="AH15" s="146">
        <v>0.99276937706996249</v>
      </c>
      <c r="AI15" s="155" t="str">
        <f t="array" ref="AI15">_xll.qlSabrInterpolatedSmileSection(,O15,AD15,Q15:AA15,FALSE,H15%,C15:M15%,AE15,AF15,AH15,AG15,AE$6,AF$6,AH$6,AG$6,TRUE,,,"Actual/365 (Fixed)",AC15,FALSE)</f>
        <v>obj_00657#0004</v>
      </c>
      <c r="AJ15" s="156">
        <f>_xll.qlSabrInterpolatedSmileSectionMaxError(AI15)</f>
        <v>1.7411142328202178E-2</v>
      </c>
      <c r="AK15" s="157">
        <f>_xll.qlSabrInterpolatedSmileSectionAlpha(AI15)</f>
        <v>0.10679362029784464</v>
      </c>
      <c r="AL15" s="156">
        <f>_xll.qlSabrInterpolatedSmileSectionBeta(AI15)</f>
        <v>0.7</v>
      </c>
      <c r="AM15" s="158">
        <f>_xll.qlSabrInterpolatedSmileSectionRho(AI15)</f>
        <v>0.27428055115352096</v>
      </c>
      <c r="AN15" s="159">
        <f>_xll.qlSabrInterpolatedSmileSectionNu(AI15)</f>
        <v>0.27356336339680087</v>
      </c>
      <c r="AO15" s="105" t="s">
        <v>62</v>
      </c>
    </row>
    <row r="16" spans="2:41">
      <c r="B16" s="105" t="s">
        <v>63</v>
      </c>
      <c r="C16" s="98">
        <v>8.1989999999999998</v>
      </c>
      <c r="D16" s="99">
        <v>7.9710000000000001</v>
      </c>
      <c r="E16" s="99">
        <v>7.8360000000000003</v>
      </c>
      <c r="F16" s="99">
        <v>7.6959999999999997</v>
      </c>
      <c r="G16" s="99">
        <v>7.6680000000000001</v>
      </c>
      <c r="H16" s="99">
        <v>7.7930000000000001</v>
      </c>
      <c r="I16" s="99">
        <v>8.1</v>
      </c>
      <c r="J16" s="99">
        <v>8.4619999999999997</v>
      </c>
      <c r="K16" s="99">
        <v>8.9</v>
      </c>
      <c r="L16" s="99">
        <v>9.3680000000000003</v>
      </c>
      <c r="M16" s="100">
        <v>9.8879999999999999</v>
      </c>
      <c r="O16" s="114">
        <f>_xll.qlCalendarAdvance("NullCalendar",$C$3,B16)</f>
        <v>43169</v>
      </c>
      <c r="P16" s="117">
        <f>(O16-$C$3)/365</f>
        <v>0.41369863013698632</v>
      </c>
      <c r="Q16" s="125">
        <f>Q$33</f>
        <v>-0.25</v>
      </c>
      <c r="R16" s="126">
        <f>R$33</f>
        <v>0</v>
      </c>
      <c r="S16" s="126">
        <f>S$33</f>
        <v>0.25</v>
      </c>
      <c r="T16" s="126">
        <f>T$33</f>
        <v>0.5</v>
      </c>
      <c r="U16" s="126">
        <f>U$33</f>
        <v>0.75</v>
      </c>
      <c r="V16" s="127">
        <f>V$33</f>
        <v>1</v>
      </c>
      <c r="W16" s="126">
        <f>W$33</f>
        <v>1.25</v>
      </c>
      <c r="X16" s="126">
        <f>X$33</f>
        <v>1.5</v>
      </c>
      <c r="Y16" s="126">
        <f>Y$33</f>
        <v>1.75</v>
      </c>
      <c r="Z16" s="126">
        <f>Z$33</f>
        <v>2</v>
      </c>
      <c r="AA16" s="128">
        <f>AA$33</f>
        <v>2.25</v>
      </c>
      <c r="AC16" s="140">
        <v>2</v>
      </c>
      <c r="AD16" s="140">
        <f>I_ValuationDate!$C$12</f>
        <v>1</v>
      </c>
      <c r="AE16" s="144">
        <v>6.9686634253308843E-2</v>
      </c>
      <c r="AF16" s="145">
        <v>0.7</v>
      </c>
      <c r="AG16" s="145">
        <v>0.1638816074898071</v>
      </c>
      <c r="AH16" s="146">
        <v>0.93955058254800128</v>
      </c>
      <c r="AI16" s="155" t="str">
        <f t="array" ref="AI16">_xll.qlSabrInterpolatedSmileSection(,O16,AD16,Q16:AA16,FALSE,H16%,C16:M16%,AE16,AF16,AH16,AG16,AE$6,AF$6,AH$6,AG$6,TRUE,,,"Actual/365 (Fixed)",AC16,FALSE)</f>
        <v>obj_0062e#0004</v>
      </c>
      <c r="AJ16" s="156">
        <f>_xll.qlSabrInterpolatedSmileSectionMaxError(AI16)</f>
        <v>1.5600521059138547E-2</v>
      </c>
      <c r="AK16" s="157">
        <f>_xll.qlSabrInterpolatedSmileSectionAlpha(AI16)</f>
        <v>0.10808318860121749</v>
      </c>
      <c r="AL16" s="156">
        <f>_xll.qlSabrInterpolatedSmileSectionBeta(AI16)</f>
        <v>0.7</v>
      </c>
      <c r="AM16" s="158">
        <f>_xll.qlSabrInterpolatedSmileSectionRho(AI16)</f>
        <v>0.29102367643180738</v>
      </c>
      <c r="AN16" s="159">
        <f>_xll.qlSabrInterpolatedSmileSectionNu(AI16)</f>
        <v>0.27064504383908861</v>
      </c>
      <c r="AO16" s="105" t="s">
        <v>63</v>
      </c>
    </row>
    <row r="17" spans="2:41">
      <c r="B17" s="105" t="s">
        <v>64</v>
      </c>
      <c r="C17" s="98">
        <v>8.2919999999999998</v>
      </c>
      <c r="D17" s="99">
        <v>8.0519999999999996</v>
      </c>
      <c r="E17" s="99">
        <v>7.9059999999999997</v>
      </c>
      <c r="F17" s="99">
        <v>7.7549999999999999</v>
      </c>
      <c r="G17" s="99">
        <v>7.7130000000000001</v>
      </c>
      <c r="H17" s="99">
        <v>7.8550000000000004</v>
      </c>
      <c r="I17" s="99">
        <v>8.1679999999999993</v>
      </c>
      <c r="J17" s="99">
        <v>8.5649999999999995</v>
      </c>
      <c r="K17" s="99">
        <v>9</v>
      </c>
      <c r="L17" s="99">
        <v>9.5069999999999997</v>
      </c>
      <c r="M17" s="100">
        <v>10.071</v>
      </c>
      <c r="O17" s="114">
        <f>_xll.qlCalendarAdvance("NullCalendar",$C$3,B17)</f>
        <v>43200</v>
      </c>
      <c r="P17" s="117">
        <f>(O17-$C$3)/365</f>
        <v>0.49863013698630138</v>
      </c>
      <c r="Q17" s="125">
        <f>Q$33</f>
        <v>-0.25</v>
      </c>
      <c r="R17" s="126">
        <f>R$33</f>
        <v>0</v>
      </c>
      <c r="S17" s="126">
        <f>S$33</f>
        <v>0.25</v>
      </c>
      <c r="T17" s="126">
        <f>T$33</f>
        <v>0.5</v>
      </c>
      <c r="U17" s="126">
        <f>U$33</f>
        <v>0.75</v>
      </c>
      <c r="V17" s="127">
        <f>V$33</f>
        <v>1</v>
      </c>
      <c r="W17" s="126">
        <f>W$33</f>
        <v>1.25</v>
      </c>
      <c r="X17" s="126">
        <f>X$33</f>
        <v>1.5</v>
      </c>
      <c r="Y17" s="126">
        <f>Y$33</f>
        <v>1.75</v>
      </c>
      <c r="Z17" s="126">
        <f>Z$33</f>
        <v>2</v>
      </c>
      <c r="AA17" s="128">
        <f>AA$33</f>
        <v>2.25</v>
      </c>
      <c r="AC17" s="140">
        <v>2</v>
      </c>
      <c r="AD17" s="140">
        <f>I_ValuationDate!$C$12</f>
        <v>1</v>
      </c>
      <c r="AE17" s="144">
        <v>7.0307764108871268E-2</v>
      </c>
      <c r="AF17" s="145">
        <v>0.7</v>
      </c>
      <c r="AG17" s="145">
        <v>0.17052618959716567</v>
      </c>
      <c r="AH17" s="146">
        <v>0.87671318905183571</v>
      </c>
      <c r="AI17" s="155" t="str">
        <f t="array" ref="AI17">_xll.qlSabrInterpolatedSmileSection(,O17,AD17,Q17:AA17,FALSE,H17%,C17:M17%,AE17,AF17,AH17,AG17,AE$6,AF$6,AH$6,AG$6,TRUE,,,"Actual/365 (Fixed)",AC17,FALSE)</f>
        <v>obj_00662#0004</v>
      </c>
      <c r="AJ17" s="156">
        <f>_xll.qlSabrInterpolatedSmileSectionMaxError(AI17)</f>
        <v>1.4504939812312934E-2</v>
      </c>
      <c r="AK17" s="157">
        <f>_xll.qlSabrInterpolatedSmileSectionAlpha(AI17)</f>
        <v>0.10887483085963029</v>
      </c>
      <c r="AL17" s="156">
        <f>_xll.qlSabrInterpolatedSmileSectionBeta(AI17)</f>
        <v>0.7</v>
      </c>
      <c r="AM17" s="158">
        <f>_xll.qlSabrInterpolatedSmileSectionRho(AI17)</f>
        <v>0.30368647283007388</v>
      </c>
      <c r="AN17" s="159">
        <f>_xll.qlSabrInterpolatedSmileSectionNu(AI17)</f>
        <v>0.27024268220537317</v>
      </c>
      <c r="AO17" s="105" t="s">
        <v>64</v>
      </c>
    </row>
    <row r="18" spans="2:41">
      <c r="B18" s="105" t="s">
        <v>65</v>
      </c>
      <c r="C18" s="98">
        <v>8.3689999999999998</v>
      </c>
      <c r="D18" s="99">
        <v>8.1329999999999991</v>
      </c>
      <c r="E18" s="99">
        <v>7.9829999999999997</v>
      </c>
      <c r="F18" s="99">
        <v>7.843</v>
      </c>
      <c r="G18" s="99">
        <v>7.8360000000000003</v>
      </c>
      <c r="H18" s="99">
        <v>7.9829999999999997</v>
      </c>
      <c r="I18" s="99">
        <v>8.3640000000000008</v>
      </c>
      <c r="J18" s="99">
        <v>8.7880000000000003</v>
      </c>
      <c r="K18" s="99">
        <v>9.31</v>
      </c>
      <c r="L18" s="99">
        <v>9.8330000000000002</v>
      </c>
      <c r="M18" s="100">
        <v>10.443</v>
      </c>
      <c r="O18" s="114">
        <f>_xll.qlCalendarAdvance("NullCalendar",$C$3,B18)</f>
        <v>43291</v>
      </c>
      <c r="P18" s="117">
        <f>(O18-$C$3)/365</f>
        <v>0.74794520547945209</v>
      </c>
      <c r="Q18" s="125">
        <f>Q$33</f>
        <v>-0.25</v>
      </c>
      <c r="R18" s="126">
        <f>R$33</f>
        <v>0</v>
      </c>
      <c r="S18" s="126">
        <f>S$33</f>
        <v>0.25</v>
      </c>
      <c r="T18" s="126">
        <f>T$33</f>
        <v>0.5</v>
      </c>
      <c r="U18" s="126">
        <f>U$33</f>
        <v>0.75</v>
      </c>
      <c r="V18" s="127">
        <f>V$33</f>
        <v>1</v>
      </c>
      <c r="W18" s="126">
        <f>W$33</f>
        <v>1.25</v>
      </c>
      <c r="X18" s="126">
        <f>X$33</f>
        <v>1.5</v>
      </c>
      <c r="Y18" s="126">
        <f>Y$33</f>
        <v>1.75</v>
      </c>
      <c r="Z18" s="126">
        <f>Z$33</f>
        <v>2</v>
      </c>
      <c r="AA18" s="128">
        <f>AA$33</f>
        <v>2.25</v>
      </c>
      <c r="AC18" s="140">
        <v>2</v>
      </c>
      <c r="AD18" s="140">
        <f>I_ValuationDate!$C$12</f>
        <v>1</v>
      </c>
      <c r="AE18" s="144">
        <v>7.140257381739841E-2</v>
      </c>
      <c r="AF18" s="145">
        <v>0.7</v>
      </c>
      <c r="AG18" s="145">
        <v>0.15798164575417137</v>
      </c>
      <c r="AH18" s="146">
        <v>0.7629423965204154</v>
      </c>
      <c r="AI18" s="155" t="str">
        <f t="array" ref="AI18">_xll.qlSabrInterpolatedSmileSection(,O18,AD18,Q18:AA18,FALSE,H18%,C18:M18%,AE18,AF18,AH18,AG18,AE$6,AF$6,AH$6,AG$6,TRUE,,,"Actual/365 (Fixed)",AC18,FALSE)</f>
        <v>obj_0065e#0004</v>
      </c>
      <c r="AJ18" s="156">
        <f>_xll.qlSabrInterpolatedSmileSectionMaxError(AI18)</f>
        <v>1.6888043352685747E-2</v>
      </c>
      <c r="AK18" s="157">
        <f>_xll.qlSabrInterpolatedSmileSectionAlpha(AI18)</f>
        <v>0.11050427154122341</v>
      </c>
      <c r="AL18" s="156">
        <f>_xll.qlSabrInterpolatedSmileSectionBeta(AI18)</f>
        <v>0.7</v>
      </c>
      <c r="AM18" s="158">
        <f>_xll.qlSabrInterpolatedSmileSectionRho(AI18)</f>
        <v>0.31661551581290154</v>
      </c>
      <c r="AN18" s="159">
        <f>_xll.qlSabrInterpolatedSmileSectionNu(AI18)</f>
        <v>0.29233221008079185</v>
      </c>
      <c r="AO18" s="105" t="s">
        <v>65</v>
      </c>
    </row>
    <row r="19" spans="2:41">
      <c r="B19" s="105" t="s">
        <v>66</v>
      </c>
      <c r="C19" s="98">
        <v>8.5850000000000009</v>
      </c>
      <c r="D19" s="99">
        <v>8.3030000000000008</v>
      </c>
      <c r="E19" s="99">
        <v>8.1170000000000009</v>
      </c>
      <c r="F19" s="99">
        <v>7.9459999999999997</v>
      </c>
      <c r="G19" s="99">
        <v>7.9340000000000002</v>
      </c>
      <c r="H19" s="99">
        <v>8.0920000000000005</v>
      </c>
      <c r="I19" s="99">
        <v>8.516</v>
      </c>
      <c r="J19" s="99">
        <v>8.9939999999999998</v>
      </c>
      <c r="K19" s="99">
        <v>9.59</v>
      </c>
      <c r="L19" s="99">
        <v>10.212</v>
      </c>
      <c r="M19" s="100">
        <v>10.907</v>
      </c>
      <c r="O19" s="114">
        <f>_xll.qlCalendarAdvance("NullCalendar",$C$3,B19)</f>
        <v>43383</v>
      </c>
      <c r="P19" s="117">
        <f>(O19-$C$3)/365</f>
        <v>1</v>
      </c>
      <c r="Q19" s="125">
        <f>Q$33</f>
        <v>-0.25</v>
      </c>
      <c r="R19" s="126">
        <f>R$33</f>
        <v>0</v>
      </c>
      <c r="S19" s="126">
        <f>S$33</f>
        <v>0.25</v>
      </c>
      <c r="T19" s="126">
        <f>T$33</f>
        <v>0.5</v>
      </c>
      <c r="U19" s="126">
        <f>U$33</f>
        <v>0.75</v>
      </c>
      <c r="V19" s="127">
        <f>V$33</f>
        <v>1</v>
      </c>
      <c r="W19" s="126">
        <f>W$33</f>
        <v>1.25</v>
      </c>
      <c r="X19" s="126">
        <f>X$33</f>
        <v>1.5</v>
      </c>
      <c r="Y19" s="126">
        <f>Y$33</f>
        <v>1.75</v>
      </c>
      <c r="Z19" s="126">
        <f>Z$33</f>
        <v>2</v>
      </c>
      <c r="AA19" s="128">
        <f>AA$33</f>
        <v>2.25</v>
      </c>
      <c r="AC19" s="140">
        <v>2</v>
      </c>
      <c r="AD19" s="140">
        <f>I_ValuationDate!$C$12</f>
        <v>1</v>
      </c>
      <c r="AE19" s="144">
        <v>7.2078139589299359E-2</v>
      </c>
      <c r="AF19" s="145">
        <v>0.7</v>
      </c>
      <c r="AG19" s="145">
        <v>0.14891457993989682</v>
      </c>
      <c r="AH19" s="146">
        <v>0.69201049958741367</v>
      </c>
      <c r="AI19" s="155" t="str">
        <f t="array" ref="AI19">_xll.qlSabrInterpolatedSmileSection(,O19,AD19,Q19:AA19,FALSE,H19%,C19:M19%,AE19,AF19,AH19,AG19,AE$6,AF$6,AH$6,AG$6,TRUE,,,"Actual/365 (Fixed)",AC19,FALSE)</f>
        <v>obj_0065f#0004</v>
      </c>
      <c r="AJ19" s="156">
        <f>_xll.qlSabrInterpolatedSmileSectionMaxError(AI19)</f>
        <v>1.8264275972061622E-2</v>
      </c>
      <c r="AK19" s="157">
        <f>_xll.qlSabrInterpolatedSmileSectionAlpha(AI19)</f>
        <v>0.11165754089775752</v>
      </c>
      <c r="AL19" s="156">
        <f>_xll.qlSabrInterpolatedSmileSectionBeta(AI19)</f>
        <v>0.7</v>
      </c>
      <c r="AM19" s="158">
        <f>_xll.qlSabrInterpolatedSmileSectionRho(AI19)</f>
        <v>0.32440010386677276</v>
      </c>
      <c r="AN19" s="159">
        <f>_xll.qlSabrInterpolatedSmileSectionNu(AI19)</f>
        <v>0.31690541272111317</v>
      </c>
      <c r="AO19" s="105" t="s">
        <v>66</v>
      </c>
    </row>
    <row r="20" spans="2:41">
      <c r="B20" s="105" t="s">
        <v>67</v>
      </c>
      <c r="C20" s="98">
        <v>8.7710000000000008</v>
      </c>
      <c r="D20" s="99">
        <v>8.5109999999999992</v>
      </c>
      <c r="E20" s="99">
        <v>8.3409999999999993</v>
      </c>
      <c r="F20" s="99">
        <v>8.1850000000000005</v>
      </c>
      <c r="G20" s="99">
        <v>8.1929999999999996</v>
      </c>
      <c r="H20" s="99">
        <v>8.3550000000000004</v>
      </c>
      <c r="I20" s="99">
        <v>8.7880000000000003</v>
      </c>
      <c r="J20" s="99">
        <v>9.27</v>
      </c>
      <c r="K20" s="99">
        <v>9.84</v>
      </c>
      <c r="L20" s="99">
        <v>10.504</v>
      </c>
      <c r="M20" s="100">
        <v>11.192</v>
      </c>
      <c r="O20" s="114">
        <f>_xll.qlCalendarAdvance("NullCalendar",$C$3,B20)</f>
        <v>43565</v>
      </c>
      <c r="P20" s="117">
        <f>(O20-$C$3)/365</f>
        <v>1.4986301369863013</v>
      </c>
      <c r="Q20" s="125">
        <f>Q$33</f>
        <v>-0.25</v>
      </c>
      <c r="R20" s="126">
        <f>R$33</f>
        <v>0</v>
      </c>
      <c r="S20" s="126">
        <f>S$33</f>
        <v>0.25</v>
      </c>
      <c r="T20" s="126">
        <f>T$33</f>
        <v>0.5</v>
      </c>
      <c r="U20" s="126">
        <f>U$33</f>
        <v>0.75</v>
      </c>
      <c r="V20" s="127">
        <f>V$33</f>
        <v>1</v>
      </c>
      <c r="W20" s="126">
        <f>W$33</f>
        <v>1.25</v>
      </c>
      <c r="X20" s="126">
        <f>X$33</f>
        <v>1.5</v>
      </c>
      <c r="Y20" s="126">
        <f>Y$33</f>
        <v>1.75</v>
      </c>
      <c r="Z20" s="126">
        <f>Z$33</f>
        <v>2</v>
      </c>
      <c r="AA20" s="128">
        <f>AA$33</f>
        <v>2.25</v>
      </c>
      <c r="AC20" s="140">
        <v>2</v>
      </c>
      <c r="AD20" s="140">
        <f>I_ValuationDate!$C$12</f>
        <v>1</v>
      </c>
      <c r="AE20" s="144">
        <v>7.520166067301326E-2</v>
      </c>
      <c r="AF20" s="145">
        <v>0.7</v>
      </c>
      <c r="AG20" s="145">
        <v>0.12227292552657702</v>
      </c>
      <c r="AH20" s="146">
        <v>0.54621138939523028</v>
      </c>
      <c r="AI20" s="155" t="str">
        <f t="array" ref="AI20">_xll.qlSabrInterpolatedSmileSection(,O20,AD20,Q20:AA20,FALSE,H20%,C20:M20%,AE20,AF20,AH20,AG20,AE$6,AF$6,AH$6,AG$6,TRUE,,,"Actual/365 (Fixed)",AC20,FALSE)</f>
        <v>obj_0063f#0004</v>
      </c>
      <c r="AJ20" s="156">
        <f>_xll.qlSabrInterpolatedSmileSectionMaxError(AI20)</f>
        <v>1.7703105959726309E-2</v>
      </c>
      <c r="AK20" s="157">
        <f>_xll.qlSabrInterpolatedSmileSectionAlpha(AI20)</f>
        <v>0.11479837225582189</v>
      </c>
      <c r="AL20" s="156">
        <f>_xll.qlSabrInterpolatedSmileSectionBeta(AI20)</f>
        <v>0.7</v>
      </c>
      <c r="AM20" s="158">
        <f>_xll.qlSabrInterpolatedSmileSectionRho(AI20)</f>
        <v>0.34309223350719575</v>
      </c>
      <c r="AN20" s="159">
        <f>_xll.qlSabrInterpolatedSmileSectionNu(AI20)</f>
        <v>0.31769203640793875</v>
      </c>
      <c r="AO20" s="105" t="s">
        <v>67</v>
      </c>
    </row>
    <row r="21" spans="2:41">
      <c r="B21" s="105" t="s">
        <v>68</v>
      </c>
      <c r="C21" s="98">
        <v>8.8819999999999997</v>
      </c>
      <c r="D21" s="99">
        <v>8.6259999999999994</v>
      </c>
      <c r="E21" s="99">
        <v>8.4510000000000005</v>
      </c>
      <c r="F21" s="99">
        <v>8.298</v>
      </c>
      <c r="G21" s="99">
        <v>8.3130000000000006</v>
      </c>
      <c r="H21" s="99">
        <v>8.49</v>
      </c>
      <c r="I21" s="99">
        <v>8.9380000000000006</v>
      </c>
      <c r="J21" s="99">
        <v>9.4380000000000006</v>
      </c>
      <c r="K21" s="99">
        <v>10.209</v>
      </c>
      <c r="L21" s="99">
        <v>10.734</v>
      </c>
      <c r="M21" s="100">
        <v>11.439</v>
      </c>
      <c r="O21" s="114">
        <f>_xll.qlCalendarAdvance("NullCalendar",$C$3,B21)</f>
        <v>43748</v>
      </c>
      <c r="P21" s="117">
        <f>(O21-$C$3)/365</f>
        <v>2</v>
      </c>
      <c r="Q21" s="125">
        <f>Q$33</f>
        <v>-0.25</v>
      </c>
      <c r="R21" s="126">
        <f>R$33</f>
        <v>0</v>
      </c>
      <c r="S21" s="126">
        <f>S$33</f>
        <v>0.25</v>
      </c>
      <c r="T21" s="126">
        <f>T$33</f>
        <v>0.5</v>
      </c>
      <c r="U21" s="126">
        <f>U$33</f>
        <v>0.75</v>
      </c>
      <c r="V21" s="127">
        <f>V$33</f>
        <v>1</v>
      </c>
      <c r="W21" s="126">
        <f>W$33</f>
        <v>1.25</v>
      </c>
      <c r="X21" s="126">
        <f>X$33</f>
        <v>1.5</v>
      </c>
      <c r="Y21" s="126">
        <f>Y$33</f>
        <v>1.75</v>
      </c>
      <c r="Z21" s="126">
        <f>Z$33</f>
        <v>2</v>
      </c>
      <c r="AA21" s="128">
        <f>AA$33</f>
        <v>2.25</v>
      </c>
      <c r="AC21" s="140">
        <v>2</v>
      </c>
      <c r="AD21" s="140">
        <f>I_ValuationDate!$C$12</f>
        <v>1</v>
      </c>
      <c r="AE21" s="144">
        <v>7.6759318060925993E-2</v>
      </c>
      <c r="AF21" s="145">
        <v>0.7</v>
      </c>
      <c r="AG21" s="145">
        <v>0.1081955801652924</v>
      </c>
      <c r="AH21" s="146">
        <v>0.47706324738210776</v>
      </c>
      <c r="AI21" s="155" t="str">
        <f t="array" ref="AI21">_xll.qlSabrInterpolatedSmileSection(,O21,AD21,Q21:AA21,FALSE,H21%,C21:M21%,AE21,AF21,AH21,AG21,AE$6,AF$6,AH$6,AG$6,TRUE,,,"Actual/365 (Fixed)",AC21,FALSE)</f>
        <v>obj_0064d#0004</v>
      </c>
      <c r="AJ21" s="156">
        <f>_xll.qlSabrInterpolatedSmileSectionMaxError(AI21)</f>
        <v>1.7908759040167699E-2</v>
      </c>
      <c r="AK21" s="157">
        <f>_xll.qlSabrInterpolatedSmileSectionAlpha(AI21)</f>
        <v>0.11600724347740388</v>
      </c>
      <c r="AL21" s="156">
        <f>_xll.qlSabrInterpolatedSmileSectionBeta(AI21)</f>
        <v>0.7</v>
      </c>
      <c r="AM21" s="158">
        <f>_xll.qlSabrInterpolatedSmileSectionRho(AI21)</f>
        <v>0.36477664044811248</v>
      </c>
      <c r="AN21" s="159">
        <f>_xll.qlSabrInterpolatedSmileSectionNu(AI21)</f>
        <v>0.32900489440244446</v>
      </c>
      <c r="AO21" s="105" t="s">
        <v>68</v>
      </c>
    </row>
    <row r="22" spans="2:41">
      <c r="B22" s="105" t="s">
        <v>69</v>
      </c>
      <c r="C22" s="98">
        <v>8.9890000000000008</v>
      </c>
      <c r="D22" s="99">
        <v>8.7579999999999991</v>
      </c>
      <c r="E22" s="99">
        <v>8.5909999999999993</v>
      </c>
      <c r="F22" s="99">
        <v>8.4610000000000003</v>
      </c>
      <c r="G22" s="99">
        <v>8.4879999999999995</v>
      </c>
      <c r="H22" s="99">
        <v>8.673</v>
      </c>
      <c r="I22" s="99">
        <v>9.1329999999999991</v>
      </c>
      <c r="J22" s="99">
        <v>9.6489999999999991</v>
      </c>
      <c r="K22" s="99">
        <v>10.423999999999999</v>
      </c>
      <c r="L22" s="99">
        <v>10.958</v>
      </c>
      <c r="M22" s="100">
        <v>11.654999999999999</v>
      </c>
      <c r="O22" s="114">
        <f>_xll.qlCalendarAdvance("NullCalendar",$C$3,B22)</f>
        <v>44114</v>
      </c>
      <c r="P22" s="117">
        <f>(O22-$C$3)/365</f>
        <v>3.0027397260273974</v>
      </c>
      <c r="Q22" s="125">
        <f>Q$33</f>
        <v>-0.25</v>
      </c>
      <c r="R22" s="126">
        <f>R$33</f>
        <v>0</v>
      </c>
      <c r="S22" s="126">
        <f>S$33</f>
        <v>0.25</v>
      </c>
      <c r="T22" s="126">
        <f>T$33</f>
        <v>0.5</v>
      </c>
      <c r="U22" s="126">
        <f>U$33</f>
        <v>0.75</v>
      </c>
      <c r="V22" s="127">
        <f>V$33</f>
        <v>1</v>
      </c>
      <c r="W22" s="126">
        <f>W$33</f>
        <v>1.25</v>
      </c>
      <c r="X22" s="126">
        <f>X$33</f>
        <v>1.5</v>
      </c>
      <c r="Y22" s="126">
        <f>Y$33</f>
        <v>1.75</v>
      </c>
      <c r="Z22" s="126">
        <f>Z$33</f>
        <v>2</v>
      </c>
      <c r="AA22" s="128">
        <f>AA$33</f>
        <v>2.25</v>
      </c>
      <c r="AC22" s="140">
        <v>2</v>
      </c>
      <c r="AD22" s="140">
        <f>I_ValuationDate!$C$12</f>
        <v>1</v>
      </c>
      <c r="AE22" s="144">
        <v>8.1138569762371784E-2</v>
      </c>
      <c r="AF22" s="145">
        <v>0.7</v>
      </c>
      <c r="AG22" s="145">
        <v>6.0724095136522278E-2</v>
      </c>
      <c r="AH22" s="146">
        <v>0.38109633458214792</v>
      </c>
      <c r="AI22" s="155" t="str">
        <f t="array" ref="AI22">_xll.qlSabrInterpolatedSmileSection(,O22,AD22,Q22:AA22,FALSE,H22%,C22:M22%,AE22,AF22,AH22,AG22,AE$6,AF$6,AH$6,AG$6,TRUE,,,"Actual/365 (Fixed)",AC22,FALSE)</f>
        <v>obj_00665#0004</v>
      </c>
      <c r="AJ22" s="156">
        <f>_xll.qlSabrInterpolatedSmileSectionMaxError(AI22)</f>
        <v>1.5401647710511876E-2</v>
      </c>
      <c r="AK22" s="157">
        <f>_xll.qlSabrInterpolatedSmileSectionAlpha(AI22)</f>
        <v>0.11791304228782827</v>
      </c>
      <c r="AL22" s="156">
        <f>_xll.qlSabrInterpolatedSmileSectionBeta(AI22)</f>
        <v>0.7</v>
      </c>
      <c r="AM22" s="158">
        <f>_xll.qlSabrInterpolatedSmileSectionRho(AI22)</f>
        <v>0.40063956736424466</v>
      </c>
      <c r="AN22" s="159">
        <f>_xll.qlSabrInterpolatedSmileSectionNu(AI22)</f>
        <v>0.32013079634276809</v>
      </c>
      <c r="AO22" s="105" t="s">
        <v>69</v>
      </c>
    </row>
    <row r="23" spans="2:41">
      <c r="B23" s="105" t="s">
        <v>70</v>
      </c>
      <c r="C23" s="98">
        <v>9.1219999999999999</v>
      </c>
      <c r="D23" s="99">
        <v>8.8919999999999995</v>
      </c>
      <c r="E23" s="99">
        <v>8.7260000000000009</v>
      </c>
      <c r="F23" s="99">
        <v>8.5950000000000006</v>
      </c>
      <c r="G23" s="99">
        <v>8.6270000000000007</v>
      </c>
      <c r="H23" s="99">
        <v>8.8049999999999997</v>
      </c>
      <c r="I23" s="99">
        <v>9.2769999999999992</v>
      </c>
      <c r="J23" s="99">
        <v>9.8049999999999997</v>
      </c>
      <c r="K23" s="99">
        <v>10.589</v>
      </c>
      <c r="L23" s="99">
        <v>11.117000000000001</v>
      </c>
      <c r="M23" s="100">
        <v>11.815</v>
      </c>
      <c r="O23" s="114">
        <f>_xll.qlCalendarAdvance("NullCalendar",$C$3,B23)</f>
        <v>44479</v>
      </c>
      <c r="P23" s="117">
        <f>(O23-$C$3)/365</f>
        <v>4.0027397260273974</v>
      </c>
      <c r="Q23" s="125">
        <f>Q$33</f>
        <v>-0.25</v>
      </c>
      <c r="R23" s="126">
        <f>R$33</f>
        <v>0</v>
      </c>
      <c r="S23" s="126">
        <f>S$33</f>
        <v>0.25</v>
      </c>
      <c r="T23" s="126">
        <f>T$33</f>
        <v>0.5</v>
      </c>
      <c r="U23" s="126">
        <f>U$33</f>
        <v>0.75</v>
      </c>
      <c r="V23" s="127">
        <f>V$33</f>
        <v>1</v>
      </c>
      <c r="W23" s="126">
        <f>W$33</f>
        <v>1.25</v>
      </c>
      <c r="X23" s="126">
        <f>X$33</f>
        <v>1.5</v>
      </c>
      <c r="Y23" s="126">
        <f>Y$33</f>
        <v>1.75</v>
      </c>
      <c r="Z23" s="126">
        <f>Z$33</f>
        <v>2</v>
      </c>
      <c r="AA23" s="128">
        <f>AA$33</f>
        <v>2.25</v>
      </c>
      <c r="AC23" s="140">
        <v>2</v>
      </c>
      <c r="AD23" s="140">
        <f>I_ValuationDate!$C$12</f>
        <v>1</v>
      </c>
      <c r="AE23" s="144">
        <v>8.5091887966612365E-2</v>
      </c>
      <c r="AF23" s="145">
        <v>0.7</v>
      </c>
      <c r="AG23" s="145">
        <v>3.2814225257234625E-2</v>
      </c>
      <c r="AH23" s="146">
        <v>0.32287253598612942</v>
      </c>
      <c r="AI23" s="155" t="str">
        <f t="array" ref="AI23">_xll.qlSabrInterpolatedSmileSection(,O23,AD23,Q23:AA23,FALSE,H23%,C23:M23%,AE23,AF23,AH23,AG23,AE$6,AF$6,AH$6,AG$6,TRUE,,,"Actual/365 (Fixed)",AC23,FALSE)</f>
        <v>obj_00653#0004</v>
      </c>
      <c r="AJ23" s="156">
        <f>_xll.qlSabrInterpolatedSmileSectionMaxError(AI23)</f>
        <v>1.308750198946261E-2</v>
      </c>
      <c r="AK23" s="157">
        <f>_xll.qlSabrInterpolatedSmileSectionAlpha(AI23)</f>
        <v>0.11931512805624678</v>
      </c>
      <c r="AL23" s="156">
        <f>_xll.qlSabrInterpolatedSmileSectionBeta(AI23)</f>
        <v>0.7</v>
      </c>
      <c r="AM23" s="158">
        <f>_xll.qlSabrInterpolatedSmileSectionRho(AI23)</f>
        <v>0.42468318213006601</v>
      </c>
      <c r="AN23" s="159">
        <f>_xll.qlSabrInterpolatedSmileSectionNu(AI23)</f>
        <v>0.31223828145202837</v>
      </c>
      <c r="AO23" s="105" t="s">
        <v>70</v>
      </c>
    </row>
    <row r="24" spans="2:41">
      <c r="B24" s="105" t="s">
        <v>71</v>
      </c>
      <c r="C24" s="98">
        <v>9.3409999999999993</v>
      </c>
      <c r="D24" s="99">
        <v>9.0820000000000007</v>
      </c>
      <c r="E24" s="99">
        <v>8.8870000000000005</v>
      </c>
      <c r="F24" s="99">
        <v>8.7309999999999999</v>
      </c>
      <c r="G24" s="99">
        <v>8.76</v>
      </c>
      <c r="H24" s="99">
        <v>8.93</v>
      </c>
      <c r="I24" s="99">
        <v>9.41</v>
      </c>
      <c r="J24" s="99">
        <v>9.9540000000000006</v>
      </c>
      <c r="K24" s="99">
        <v>10.772</v>
      </c>
      <c r="L24" s="99">
        <v>11.327</v>
      </c>
      <c r="M24" s="100">
        <v>12.052</v>
      </c>
      <c r="O24" s="114">
        <f>_xll.qlCalendarAdvance("NullCalendar",$C$3,B24)</f>
        <v>44844</v>
      </c>
      <c r="P24" s="117">
        <f>(O24-$C$3)/365</f>
        <v>5.0027397260273974</v>
      </c>
      <c r="Q24" s="125">
        <f>Q$33</f>
        <v>-0.25</v>
      </c>
      <c r="R24" s="126">
        <f>R$33</f>
        <v>0</v>
      </c>
      <c r="S24" s="126">
        <f>S$33</f>
        <v>0.25</v>
      </c>
      <c r="T24" s="126">
        <f>T$33</f>
        <v>0.5</v>
      </c>
      <c r="U24" s="126">
        <f>U$33</f>
        <v>0.75</v>
      </c>
      <c r="V24" s="127">
        <f>V$33</f>
        <v>1</v>
      </c>
      <c r="W24" s="126">
        <f>W$33</f>
        <v>1.25</v>
      </c>
      <c r="X24" s="126">
        <f>X$33</f>
        <v>1.5</v>
      </c>
      <c r="Y24" s="126">
        <f>Y$33</f>
        <v>1.75</v>
      </c>
      <c r="Z24" s="126">
        <f>Z$33</f>
        <v>2</v>
      </c>
      <c r="AA24" s="128">
        <f>AA$33</f>
        <v>2.25</v>
      </c>
      <c r="AC24" s="140">
        <v>2</v>
      </c>
      <c r="AD24" s="140">
        <f>I_ValuationDate!$C$12</f>
        <v>1</v>
      </c>
      <c r="AE24" s="144">
        <v>8.838374420436991E-2</v>
      </c>
      <c r="AF24" s="145">
        <v>0.7</v>
      </c>
      <c r="AG24" s="145">
        <v>2.5198165658626964E-2</v>
      </c>
      <c r="AH24" s="146">
        <v>0.28660648187627935</v>
      </c>
      <c r="AI24" s="155" t="str">
        <f t="array" ref="AI24">_xll.qlSabrInterpolatedSmileSection(,O24,AD24,Q24:AA24,FALSE,H24%,C24:M24%,AE24,AF24,AH24,AG24,AE$6,AF$6,AH$6,AG$6,TRUE,,,"Actual/365 (Fixed)",AC24,FALSE)</f>
        <v>obj_00658#0004</v>
      </c>
      <c r="AJ24" s="156">
        <f>_xll.qlSabrInterpolatedSmileSectionMaxError(AI24)</f>
        <v>1.1418147616215374E-2</v>
      </c>
      <c r="AK24" s="157">
        <f>_xll.qlSabrInterpolatedSmileSectionAlpha(AI24)</f>
        <v>0.12037740319615833</v>
      </c>
      <c r="AL24" s="156">
        <f>_xll.qlSabrInterpolatedSmileSectionBeta(AI24)</f>
        <v>0.7</v>
      </c>
      <c r="AM24" s="158">
        <f>_xll.qlSabrInterpolatedSmileSectionRho(AI24)</f>
        <v>0.43884926883113712</v>
      </c>
      <c r="AN24" s="159">
        <f>_xll.qlSabrInterpolatedSmileSectionNu(AI24)</f>
        <v>0.31270629419187923</v>
      </c>
      <c r="AO24" s="105" t="s">
        <v>71</v>
      </c>
    </row>
    <row r="25" spans="2:41">
      <c r="B25" s="105" t="s">
        <v>72</v>
      </c>
      <c r="C25" s="98">
        <v>9.5299999999999994</v>
      </c>
      <c r="D25" s="99">
        <v>9.2569999999999997</v>
      </c>
      <c r="E25" s="99">
        <v>9.0830000000000002</v>
      </c>
      <c r="F25" s="99">
        <v>8.9209999999999994</v>
      </c>
      <c r="G25" s="99">
        <v>8.9350000000000005</v>
      </c>
      <c r="H25" s="99">
        <v>9.0719999999999992</v>
      </c>
      <c r="I25" s="99">
        <v>9.516</v>
      </c>
      <c r="J25" s="99">
        <v>10.052</v>
      </c>
      <c r="K25" s="99">
        <v>10.842000000000001</v>
      </c>
      <c r="L25" s="99">
        <v>11.397</v>
      </c>
      <c r="M25" s="100">
        <v>12.095000000000001</v>
      </c>
      <c r="O25" s="114">
        <f>_xll.qlCalendarAdvance("NullCalendar",$C$3,B25)</f>
        <v>45209</v>
      </c>
      <c r="P25" s="117">
        <f>(O25-$C$3)/365</f>
        <v>6.0027397260273974</v>
      </c>
      <c r="Q25" s="125">
        <f>Q$33</f>
        <v>-0.25</v>
      </c>
      <c r="R25" s="126">
        <f>R$33</f>
        <v>0</v>
      </c>
      <c r="S25" s="126">
        <f>S$33</f>
        <v>0.25</v>
      </c>
      <c r="T25" s="126">
        <f>T$33</f>
        <v>0.5</v>
      </c>
      <c r="U25" s="126">
        <f>U$33</f>
        <v>0.75</v>
      </c>
      <c r="V25" s="127">
        <f>V$33</f>
        <v>1</v>
      </c>
      <c r="W25" s="126">
        <f>W$33</f>
        <v>1.25</v>
      </c>
      <c r="X25" s="126">
        <f>X$33</f>
        <v>1.5</v>
      </c>
      <c r="Y25" s="126">
        <f>Y$33</f>
        <v>1.75</v>
      </c>
      <c r="Z25" s="126">
        <f>Z$33</f>
        <v>2</v>
      </c>
      <c r="AA25" s="128">
        <f>AA$33</f>
        <v>2.25</v>
      </c>
      <c r="AC25" s="140">
        <v>2</v>
      </c>
      <c r="AD25" s="140">
        <f>I_ValuationDate!$C$12</f>
        <v>1</v>
      </c>
      <c r="AE25" s="144">
        <v>8.9624814645010292E-2</v>
      </c>
      <c r="AF25" s="145">
        <v>0.7</v>
      </c>
      <c r="AG25" s="145">
        <v>3.2037711763331672E-2</v>
      </c>
      <c r="AH25" s="146">
        <v>0.26168631984052831</v>
      </c>
      <c r="AI25" s="155" t="str">
        <f t="array" ref="AI25">_xll.qlSabrInterpolatedSmileSection(,O25,AD25,Q25:AA25,FALSE,H25%,C25:M25%,AE25,AF25,AH25,AG25,AE$6,AF$6,AH$6,AG$6,TRUE,,,"Actual/365 (Fixed)",AC25,FALSE)</f>
        <v>obj_00630#0004</v>
      </c>
      <c r="AJ25" s="156">
        <f>_xll.qlSabrInterpolatedSmileSectionMaxError(AI25)</f>
        <v>9.8174853713353383E-3</v>
      </c>
      <c r="AK25" s="157">
        <f>_xll.qlSabrInterpolatedSmileSectionAlpha(AI25)</f>
        <v>0.12192129632120638</v>
      </c>
      <c r="AL25" s="156">
        <f>_xll.qlSabrInterpolatedSmileSectionBeta(AI25)</f>
        <v>0.7</v>
      </c>
      <c r="AM25" s="158">
        <f>_xll.qlSabrInterpolatedSmileSectionRho(AI25)</f>
        <v>0.43734521954053235</v>
      </c>
      <c r="AN25" s="159">
        <f>_xll.qlSabrInterpolatedSmileSectionNu(AI25)</f>
        <v>0.30162216402270425</v>
      </c>
      <c r="AO25" s="105" t="s">
        <v>72</v>
      </c>
    </row>
    <row r="26" spans="2:41">
      <c r="B26" s="105" t="s">
        <v>73</v>
      </c>
      <c r="C26" s="98">
        <v>9.6630000000000003</v>
      </c>
      <c r="D26" s="99">
        <v>9.3949999999999996</v>
      </c>
      <c r="E26" s="99">
        <v>9.2149999999999999</v>
      </c>
      <c r="F26" s="99">
        <v>9.0410000000000004</v>
      </c>
      <c r="G26" s="99">
        <v>9.0589999999999993</v>
      </c>
      <c r="H26" s="99">
        <v>9.1750000000000007</v>
      </c>
      <c r="I26" s="99">
        <v>9.5920000000000005</v>
      </c>
      <c r="J26" s="99">
        <v>10.134</v>
      </c>
      <c r="K26" s="99">
        <v>10.897</v>
      </c>
      <c r="L26" s="99">
        <v>11.435</v>
      </c>
      <c r="M26" s="100">
        <v>12.13</v>
      </c>
      <c r="O26" s="114">
        <f>_xll.qlCalendarAdvance("NullCalendar",$C$3,B26)</f>
        <v>45575</v>
      </c>
      <c r="P26" s="117">
        <f>(O26-$C$3)/365</f>
        <v>7.0054794520547947</v>
      </c>
      <c r="Q26" s="125">
        <f>Q$33</f>
        <v>-0.25</v>
      </c>
      <c r="R26" s="126">
        <f>R$33</f>
        <v>0</v>
      </c>
      <c r="S26" s="126">
        <f>S$33</f>
        <v>0.25</v>
      </c>
      <c r="T26" s="126">
        <f>T$33</f>
        <v>0.5</v>
      </c>
      <c r="U26" s="126">
        <f>U$33</f>
        <v>0.75</v>
      </c>
      <c r="V26" s="127">
        <f>V$33</f>
        <v>1</v>
      </c>
      <c r="W26" s="126">
        <f>W$33</f>
        <v>1.25</v>
      </c>
      <c r="X26" s="126">
        <f>X$33</f>
        <v>1.5</v>
      </c>
      <c r="Y26" s="126">
        <f>Y$33</f>
        <v>1.75</v>
      </c>
      <c r="Z26" s="126">
        <f>Z$33</f>
        <v>2</v>
      </c>
      <c r="AA26" s="128">
        <f>AA$33</f>
        <v>2.25</v>
      </c>
      <c r="AC26" s="140">
        <v>2</v>
      </c>
      <c r="AD26" s="140">
        <f>I_ValuationDate!$C$12</f>
        <v>1</v>
      </c>
      <c r="AE26" s="144">
        <v>9.0551487818139667E-2</v>
      </c>
      <c r="AF26" s="145">
        <v>0.7</v>
      </c>
      <c r="AG26" s="145">
        <v>3.6961729944901961E-2</v>
      </c>
      <c r="AH26" s="146">
        <v>0.24167653869772132</v>
      </c>
      <c r="AI26" s="155" t="str">
        <f t="array" ref="AI26">_xll.qlSabrInterpolatedSmileSection(,O26,AD26,Q26:AA26,FALSE,H26%,C26:M26%,AE26,AF26,AH26,AG26,AE$6,AF$6,AH$6,AG$6,TRUE,,,"Actual/365 (Fixed)",AC26,FALSE)</f>
        <v>obj_00648#0004</v>
      </c>
      <c r="AJ26" s="156">
        <f>_xll.qlSabrInterpolatedSmileSectionMaxError(AI26)</f>
        <v>8.6267333283708697E-3</v>
      </c>
      <c r="AK26" s="157">
        <f>_xll.qlSabrInterpolatedSmileSectionAlpha(AI26)</f>
        <v>0.12286922212362134</v>
      </c>
      <c r="AL26" s="156">
        <f>_xll.qlSabrInterpolatedSmileSectionBeta(AI26)</f>
        <v>0.7</v>
      </c>
      <c r="AM26" s="158">
        <f>_xll.qlSabrInterpolatedSmileSectionRho(AI26)</f>
        <v>0.43755530405747284</v>
      </c>
      <c r="AN26" s="159">
        <f>_xll.qlSabrInterpolatedSmileSectionNu(AI26)</f>
        <v>0.29321328006180458</v>
      </c>
      <c r="AO26" s="105" t="s">
        <v>73</v>
      </c>
    </row>
    <row r="27" spans="2:41">
      <c r="B27" s="105" t="s">
        <v>74</v>
      </c>
      <c r="C27" s="98">
        <v>10.141999999999999</v>
      </c>
      <c r="D27" s="99">
        <v>9.81</v>
      </c>
      <c r="E27" s="99">
        <v>9.5779999999999994</v>
      </c>
      <c r="F27" s="99">
        <v>9.3539999999999992</v>
      </c>
      <c r="G27" s="99">
        <v>9.3379999999999992</v>
      </c>
      <c r="H27" s="99">
        <v>9.44</v>
      </c>
      <c r="I27" s="99">
        <v>9.8829999999999991</v>
      </c>
      <c r="J27" s="99">
        <v>10.436</v>
      </c>
      <c r="K27" s="99">
        <v>11.273</v>
      </c>
      <c r="L27" s="99">
        <v>11.815</v>
      </c>
      <c r="M27" s="100">
        <v>12.555</v>
      </c>
      <c r="O27" s="114">
        <f>_xll.qlCalendarAdvance("NullCalendar",$C$3,B27)</f>
        <v>46670</v>
      </c>
      <c r="P27" s="117">
        <f>(O27-$C$3)/365</f>
        <v>10.005479452054795</v>
      </c>
      <c r="Q27" s="125">
        <f>Q$33</f>
        <v>-0.25</v>
      </c>
      <c r="R27" s="126">
        <f>R$33</f>
        <v>0</v>
      </c>
      <c r="S27" s="126">
        <f>S$33</f>
        <v>0.25</v>
      </c>
      <c r="T27" s="126">
        <f>T$33</f>
        <v>0.5</v>
      </c>
      <c r="U27" s="126">
        <f>U$33</f>
        <v>0.75</v>
      </c>
      <c r="V27" s="127">
        <f>V$33</f>
        <v>1</v>
      </c>
      <c r="W27" s="126">
        <f>W$33</f>
        <v>1.25</v>
      </c>
      <c r="X27" s="126">
        <f>X$33</f>
        <v>1.5</v>
      </c>
      <c r="Y27" s="126">
        <f>Y$33</f>
        <v>1.75</v>
      </c>
      <c r="Z27" s="126">
        <f>Z$33</f>
        <v>2</v>
      </c>
      <c r="AA27" s="128">
        <f>AA$33</f>
        <v>2.25</v>
      </c>
      <c r="AC27" s="140">
        <v>2</v>
      </c>
      <c r="AD27" s="140">
        <f>I_ValuationDate!$C$12</f>
        <v>1</v>
      </c>
      <c r="AE27" s="144">
        <v>9.3208323222814277E-2</v>
      </c>
      <c r="AF27" s="145">
        <v>0.7</v>
      </c>
      <c r="AG27" s="145">
        <v>3.4114006064861452E-2</v>
      </c>
      <c r="AH27" s="146">
        <v>0.20214695929279791</v>
      </c>
      <c r="AI27" s="155" t="str">
        <f t="array" ref="AI27">_xll.qlSabrInterpolatedSmileSection(,O27,AD27,Q27:AA27,FALSE,H27%,C27:M27%,AE27,AF27,AH27,AG27,AE$6,AF$6,AH$6,AG$6,TRUE,,,"Actual/365 (Fixed)",AC27,FALSE)</f>
        <v>obj_00635#0004</v>
      </c>
      <c r="AJ27" s="156">
        <f>_xll.qlSabrInterpolatedSmileSectionMaxError(AI27)</f>
        <v>7.0405678209898431E-3</v>
      </c>
      <c r="AK27" s="157">
        <f>_xll.qlSabrInterpolatedSmileSectionAlpha(AI27)</f>
        <v>0.12421905762425001</v>
      </c>
      <c r="AL27" s="156">
        <f>_xll.qlSabrInterpolatedSmileSectionBeta(AI27)</f>
        <v>0.7</v>
      </c>
      <c r="AM27" s="158">
        <f>_xll.qlSabrInterpolatedSmileSectionRho(AI27)</f>
        <v>0.44180885815184573</v>
      </c>
      <c r="AN27" s="159">
        <f>_xll.qlSabrInterpolatedSmileSectionNu(AI27)</f>
        <v>0.29634416541074404</v>
      </c>
      <c r="AO27" s="105" t="s">
        <v>74</v>
      </c>
    </row>
    <row r="28" spans="2:41">
      <c r="B28" s="105" t="s">
        <v>75</v>
      </c>
      <c r="C28" s="98">
        <v>10.121</v>
      </c>
      <c r="D28" s="99">
        <v>9.7959999999999994</v>
      </c>
      <c r="E28" s="99">
        <v>9.6159999999999997</v>
      </c>
      <c r="F28" s="99">
        <v>9.4450000000000003</v>
      </c>
      <c r="G28" s="99">
        <v>9.3979999999999997</v>
      </c>
      <c r="H28" s="99">
        <v>9.4290000000000003</v>
      </c>
      <c r="I28" s="99">
        <v>9.7609999999999992</v>
      </c>
      <c r="J28" s="99">
        <v>10.301</v>
      </c>
      <c r="K28" s="99">
        <v>11.212</v>
      </c>
      <c r="L28" s="99">
        <v>11.859</v>
      </c>
      <c r="M28" s="100">
        <v>12.595000000000001</v>
      </c>
      <c r="O28" s="114">
        <f>_xll.qlCalendarAdvance("NullCalendar",$C$3,B28)</f>
        <v>48497</v>
      </c>
      <c r="P28" s="117">
        <f>(O28-$C$3)/365</f>
        <v>15.010958904109589</v>
      </c>
      <c r="Q28" s="125">
        <f>Q$33</f>
        <v>-0.25</v>
      </c>
      <c r="R28" s="126">
        <f>R$33</f>
        <v>0</v>
      </c>
      <c r="S28" s="126">
        <f>S$33</f>
        <v>0.25</v>
      </c>
      <c r="T28" s="126">
        <f>T$33</f>
        <v>0.5</v>
      </c>
      <c r="U28" s="126">
        <f>U$33</f>
        <v>0.75</v>
      </c>
      <c r="V28" s="127">
        <f>V$33</f>
        <v>1</v>
      </c>
      <c r="W28" s="126">
        <f>W$33</f>
        <v>1.25</v>
      </c>
      <c r="X28" s="126">
        <f>X$33</f>
        <v>1.5</v>
      </c>
      <c r="Y28" s="126">
        <f>Y$33</f>
        <v>1.75</v>
      </c>
      <c r="Z28" s="126">
        <f>Z$33</f>
        <v>2</v>
      </c>
      <c r="AA28" s="128">
        <f>AA$33</f>
        <v>2.25</v>
      </c>
      <c r="AC28" s="140">
        <v>2</v>
      </c>
      <c r="AD28" s="140">
        <f>I_ValuationDate!$C$12</f>
        <v>1</v>
      </c>
      <c r="AE28" s="144">
        <v>9.380961496144237E-2</v>
      </c>
      <c r="AF28" s="145">
        <v>0.7</v>
      </c>
      <c r="AG28" s="145">
        <v>0.11636043339906402</v>
      </c>
      <c r="AH28" s="146">
        <v>0.14559481447674599</v>
      </c>
      <c r="AI28" s="155" t="str">
        <f t="array" ref="AI28">_xll.qlSabrInterpolatedSmileSection(,O28,AD28,Q28:AA28,FALSE,H28%,C28:M28%,AE28,AF28,AH28,AG28,AE$6,AF$6,AH$6,AG$6,TRUE,,,"Actual/365 (Fixed)",AC28,FALSE)</f>
        <v>obj_00663#0004</v>
      </c>
      <c r="AJ28" s="156">
        <f>_xll.qlSabrInterpolatedSmileSectionMaxError(AI28)</f>
        <v>6.7469256612062156E-3</v>
      </c>
      <c r="AK28" s="157">
        <f>_xll.qlSabrInterpolatedSmileSectionAlpha(AI28)</f>
        <v>0.12108988920471586</v>
      </c>
      <c r="AL28" s="156">
        <f>_xll.qlSabrInterpolatedSmileSectionBeta(AI28)</f>
        <v>0.7</v>
      </c>
      <c r="AM28" s="158">
        <f>_xll.qlSabrInterpolatedSmileSectionRho(AI28)</f>
        <v>0.4438448036164005</v>
      </c>
      <c r="AN28" s="159">
        <f>_xll.qlSabrInterpolatedSmileSectionNu(AI28)</f>
        <v>0.28471020674849123</v>
      </c>
      <c r="AO28" s="105" t="s">
        <v>75</v>
      </c>
    </row>
    <row r="29" spans="2:41">
      <c r="B29" s="105" t="s">
        <v>28</v>
      </c>
      <c r="C29" s="98">
        <v>10.103999999999999</v>
      </c>
      <c r="D29" s="99">
        <v>9.7840000000000007</v>
      </c>
      <c r="E29" s="99">
        <v>9.609</v>
      </c>
      <c r="F29" s="99">
        <v>9.4440000000000008</v>
      </c>
      <c r="G29" s="99">
        <v>9.3979999999999997</v>
      </c>
      <c r="H29" s="99">
        <v>9.4209999999999994</v>
      </c>
      <c r="I29" s="99">
        <v>9.7370000000000001</v>
      </c>
      <c r="J29" s="99">
        <v>10.295999999999999</v>
      </c>
      <c r="K29" s="99">
        <v>11.237</v>
      </c>
      <c r="L29" s="99">
        <v>11.896000000000001</v>
      </c>
      <c r="M29" s="100">
        <v>12.627000000000001</v>
      </c>
      <c r="O29" s="114">
        <f>_xll.qlCalendarAdvance("NullCalendar",$C$3,B29)</f>
        <v>50323</v>
      </c>
      <c r="P29" s="117">
        <f>(O29-$C$3)/365</f>
        <v>20.013698630136986</v>
      </c>
      <c r="Q29" s="125">
        <f>Q$33</f>
        <v>-0.25</v>
      </c>
      <c r="R29" s="126">
        <f>R$33</f>
        <v>0</v>
      </c>
      <c r="S29" s="126">
        <f>S$33</f>
        <v>0.25</v>
      </c>
      <c r="T29" s="126">
        <f>T$33</f>
        <v>0.5</v>
      </c>
      <c r="U29" s="126">
        <f>U$33</f>
        <v>0.75</v>
      </c>
      <c r="V29" s="127">
        <f>V$33</f>
        <v>1</v>
      </c>
      <c r="W29" s="126">
        <f>W$33</f>
        <v>1.25</v>
      </c>
      <c r="X29" s="126">
        <f>X$33</f>
        <v>1.5</v>
      </c>
      <c r="Y29" s="126">
        <f>Y$33</f>
        <v>1.75</v>
      </c>
      <c r="Z29" s="126">
        <f>Z$33</f>
        <v>2</v>
      </c>
      <c r="AA29" s="128">
        <f>AA$33</f>
        <v>2.25</v>
      </c>
      <c r="AC29" s="140">
        <v>2</v>
      </c>
      <c r="AD29" s="140">
        <f>I_ValuationDate!$C$12</f>
        <v>1</v>
      </c>
      <c r="AE29" s="144">
        <v>9.4100366121516343E-2</v>
      </c>
      <c r="AF29" s="145">
        <v>0.7</v>
      </c>
      <c r="AG29" s="145">
        <v>0.18786695086949567</v>
      </c>
      <c r="AH29" s="146">
        <v>0.1134983558956654</v>
      </c>
      <c r="AI29" s="155" t="str">
        <f t="array" ref="AI29">_xll.qlSabrInterpolatedSmileSection(,O29,AD29,Q29:AA29,FALSE,H29%,C29:M29%,AE29,AF29,AH29,AG29,AE$6,AF$6,AH$6,AG$6,TRUE,,,"Actual/365 (Fixed)",AC29,FALSE)</f>
        <v>obj_00641#0004</v>
      </c>
      <c r="AJ29" s="156">
        <f>_xll.qlSabrInterpolatedSmileSectionMaxError(AI29)</f>
        <v>6.3322890369306994E-3</v>
      </c>
      <c r="AK29" s="157">
        <f>_xll.qlSabrInterpolatedSmileSectionAlpha(AI29)</f>
        <v>0.11839566208801475</v>
      </c>
      <c r="AL29" s="156">
        <f>_xll.qlSabrInterpolatedSmileSectionBeta(AI29)</f>
        <v>0.7</v>
      </c>
      <c r="AM29" s="158">
        <f>_xll.qlSabrInterpolatedSmileSectionRho(AI29)</f>
        <v>0.45283021305746568</v>
      </c>
      <c r="AN29" s="159">
        <f>_xll.qlSabrInterpolatedSmileSectionNu(AI29)</f>
        <v>0.27735957821179158</v>
      </c>
      <c r="AO29" s="105" t="s">
        <v>28</v>
      </c>
    </row>
    <row r="30" spans="2:41">
      <c r="B30" s="106" t="s">
        <v>76</v>
      </c>
      <c r="C30" s="101">
        <v>10.089</v>
      </c>
      <c r="D30" s="102">
        <v>9.7739999999999991</v>
      </c>
      <c r="E30" s="102">
        <v>9.6029999999999998</v>
      </c>
      <c r="F30" s="102">
        <v>9.4429999999999996</v>
      </c>
      <c r="G30" s="102">
        <v>9.3979999999999997</v>
      </c>
      <c r="H30" s="102">
        <v>9.4149999999999991</v>
      </c>
      <c r="I30" s="102">
        <v>9.7140000000000004</v>
      </c>
      <c r="J30" s="102">
        <v>10.29</v>
      </c>
      <c r="K30" s="102">
        <v>11.257999999999999</v>
      </c>
      <c r="L30" s="102">
        <v>11.928000000000001</v>
      </c>
      <c r="M30" s="103">
        <v>12.654999999999999</v>
      </c>
      <c r="O30" s="115">
        <f>_xll.qlCalendarAdvance("NullCalendar",$C$3,B30)</f>
        <v>52149</v>
      </c>
      <c r="P30" s="118">
        <f>(O30-$C$3)/365</f>
        <v>25.016438356164382</v>
      </c>
      <c r="Q30" s="129">
        <f>Q$33</f>
        <v>-0.25</v>
      </c>
      <c r="R30" s="130">
        <f>R$33</f>
        <v>0</v>
      </c>
      <c r="S30" s="130">
        <f>S$33</f>
        <v>0.25</v>
      </c>
      <c r="T30" s="130">
        <f>T$33</f>
        <v>0.5</v>
      </c>
      <c r="U30" s="130">
        <f>U$33</f>
        <v>0.75</v>
      </c>
      <c r="V30" s="131">
        <f>V$33</f>
        <v>1</v>
      </c>
      <c r="W30" s="130">
        <f>W$33</f>
        <v>1.25</v>
      </c>
      <c r="X30" s="130">
        <f>X$33</f>
        <v>1.5</v>
      </c>
      <c r="Y30" s="130">
        <f>Y$33</f>
        <v>1.75</v>
      </c>
      <c r="Z30" s="130">
        <f>Z$33</f>
        <v>2</v>
      </c>
      <c r="AA30" s="132">
        <f>AA$33</f>
        <v>2.25</v>
      </c>
      <c r="AC30" s="141">
        <v>2</v>
      </c>
      <c r="AD30" s="141">
        <f>I_ValuationDate!$C$12</f>
        <v>1</v>
      </c>
      <c r="AE30" s="147">
        <v>9.4229293741096759E-2</v>
      </c>
      <c r="AF30" s="148">
        <v>0.7</v>
      </c>
      <c r="AG30" s="148">
        <v>0.26049269075169851</v>
      </c>
      <c r="AH30" s="22">
        <v>9.1500637729160089E-2</v>
      </c>
      <c r="AI30" s="155" t="str">
        <f t="array" ref="AI30">_xll.qlSabrInterpolatedSmileSection(,O30,AD30,Q30:AA30,FALSE,H30%,C30:M30%,AE30,AF30,AH30,AG30,AE$6,AF$6,AH$6,AG$6,TRUE,,,"Actual/365 (Fixed)",AC30,FALSE)</f>
        <v>obj_00661#0004</v>
      </c>
      <c r="AJ30" s="161">
        <f>_xll.qlSabrInterpolatedSmileSectionMaxError(AI30)</f>
        <v>6.1349649845998666E-3</v>
      </c>
      <c r="AK30" s="162">
        <f>_xll.qlSabrInterpolatedSmileSectionAlpha(AI30)</f>
        <v>0.1159381189968674</v>
      </c>
      <c r="AL30" s="161">
        <f>_xll.qlSabrInterpolatedSmileSectionBeta(AI30)</f>
        <v>0.7</v>
      </c>
      <c r="AM30" s="163">
        <f>_xll.qlSabrInterpolatedSmileSectionRho(AI30)</f>
        <v>0.45906369994305246</v>
      </c>
      <c r="AN30" s="164">
        <f>_xll.qlSabrInterpolatedSmileSectionNu(AI30)</f>
        <v>0.27149241697792043</v>
      </c>
      <c r="AO30" s="106" t="s">
        <v>76</v>
      </c>
    </row>
    <row r="32" spans="2:41">
      <c r="Q32">
        <v>-5</v>
      </c>
      <c r="R32">
        <v>-4</v>
      </c>
      <c r="S32">
        <v>-3</v>
      </c>
      <c r="T32">
        <v>-2</v>
      </c>
      <c r="U32">
        <v>-1</v>
      </c>
      <c r="V32">
        <v>0</v>
      </c>
      <c r="W32">
        <v>1</v>
      </c>
      <c r="X32">
        <v>2</v>
      </c>
      <c r="Y32">
        <v>3</v>
      </c>
      <c r="Z32">
        <v>4</v>
      </c>
      <c r="AA32">
        <v>5</v>
      </c>
    </row>
    <row r="33" spans="2:27">
      <c r="B33" s="108" t="s">
        <v>92</v>
      </c>
      <c r="C33" s="149" t="str">
        <f>_xll.qlSmiledSurface(,AI8:AI21,C3,"NullCalendar","Following","Act/365 (Fixed)")</f>
        <v>obj_00670#0004</v>
      </c>
      <c r="Q33">
        <f>$AD$8+Q32*0.25</f>
        <v>-0.25</v>
      </c>
      <c r="R33">
        <f>$AD$8+R32*0.25</f>
        <v>0</v>
      </c>
      <c r="S33">
        <f>$AD$8+S32*0.25</f>
        <v>0.25</v>
      </c>
      <c r="T33">
        <f>$AD$8+T32*0.25</f>
        <v>0.5</v>
      </c>
      <c r="U33">
        <f>$AD$8+U32*0.25</f>
        <v>0.75</v>
      </c>
      <c r="V33">
        <f>$AD$8+V32*0.25</f>
        <v>1</v>
      </c>
      <c r="W33">
        <f>$AD$8+W32*0.25</f>
        <v>1.25</v>
      </c>
      <c r="X33">
        <f>$AD$8+X32*0.25</f>
        <v>1.5</v>
      </c>
      <c r="Y33">
        <f>$AD$8+Y32*0.25</f>
        <v>1.75</v>
      </c>
      <c r="Z33">
        <f>$AD$8+Z32*0.25</f>
        <v>2</v>
      </c>
      <c r="AA33">
        <f>$AD$8+AA32*0.25</f>
        <v>2.25</v>
      </c>
    </row>
    <row r="34" spans="2:27">
      <c r="Q34" s="365">
        <f>$AC$8+Q33</f>
        <v>1.75</v>
      </c>
      <c r="R34" s="365">
        <f>$AC$8+R33</f>
        <v>2</v>
      </c>
      <c r="S34" s="365">
        <f>$AC$8+S33</f>
        <v>2.25</v>
      </c>
      <c r="T34" s="365">
        <f>$AC$8+T33</f>
        <v>2.5</v>
      </c>
      <c r="U34" s="365">
        <f>$AC$8+U33</f>
        <v>2.75</v>
      </c>
      <c r="V34" s="365">
        <f>$AC$8+V33</f>
        <v>3</v>
      </c>
      <c r="W34" s="365">
        <f>$AC$8+W33</f>
        <v>3.25</v>
      </c>
      <c r="X34" s="365">
        <f>$AC$8+X33</f>
        <v>3.5</v>
      </c>
      <c r="Y34" s="365">
        <f>$AC$8+Y33</f>
        <v>3.75</v>
      </c>
      <c r="Z34" s="365">
        <f>$AC$8+Z33</f>
        <v>4</v>
      </c>
      <c r="AA34" s="365">
        <f>$AC$8+AA33</f>
        <v>4.25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1:X268"/>
  <sheetViews>
    <sheetView showGridLines="0" tabSelected="1" topLeftCell="A24" zoomScale="85" zoomScaleNormal="85" workbookViewId="0">
      <selection activeCell="E41" sqref="E41"/>
    </sheetView>
  </sheetViews>
  <sheetFormatPr defaultRowHeight="13.8"/>
  <cols>
    <col min="1" max="1" width="6.109375" customWidth="1"/>
    <col min="2" max="2" width="18.33203125" bestFit="1" customWidth="1"/>
    <col min="4" max="4" width="10.109375" bestFit="1" customWidth="1"/>
    <col min="5" max="5" width="7" bestFit="1" customWidth="1"/>
    <col min="6" max="6" width="7.88671875" customWidth="1"/>
    <col min="8" max="8" width="14" bestFit="1" customWidth="1"/>
    <col min="9" max="9" width="14.44140625" bestFit="1" customWidth="1"/>
    <col min="12" max="13" width="11.109375" customWidth="1"/>
    <col min="14" max="14" width="13" customWidth="1"/>
    <col min="15" max="18" width="14.77734375" customWidth="1"/>
    <col min="19" max="19" width="60.109375" bestFit="1" customWidth="1"/>
    <col min="20" max="24" width="14.77734375" customWidth="1"/>
  </cols>
  <sheetData>
    <row r="1" spans="2:24">
      <c r="M1" s="108" t="s">
        <v>239</v>
      </c>
      <c r="N1" s="108" t="s">
        <v>231</v>
      </c>
    </row>
    <row r="2" spans="2:24">
      <c r="B2" s="1" t="s">
        <v>0</v>
      </c>
      <c r="C2" s="2"/>
      <c r="D2" s="3">
        <f>_xll.qlSettingsEvaluationDate(I_ValuationDate!C3)</f>
        <v>43018</v>
      </c>
      <c r="E2" s="215"/>
      <c r="F2" s="215"/>
    </row>
    <row r="4" spans="2:24">
      <c r="B4" s="4" t="s">
        <v>23</v>
      </c>
      <c r="C4" s="5"/>
      <c r="D4" s="6" t="str">
        <f>I_ValuationDate!D5</f>
        <v>obj_00011#0002</v>
      </c>
      <c r="E4" s="214"/>
      <c r="F4" s="214"/>
      <c r="H4" s="32" t="s">
        <v>1</v>
      </c>
      <c r="I4" s="32" t="s">
        <v>2</v>
      </c>
    </row>
    <row r="5" spans="2:24">
      <c r="B5" s="7" t="s">
        <v>5</v>
      </c>
      <c r="C5" s="8"/>
      <c r="D5" s="9" t="str">
        <f>I_ValuationDate!D6</f>
        <v>obj_00014#0002</v>
      </c>
      <c r="E5" s="214"/>
      <c r="F5" s="214"/>
      <c r="H5" s="33" t="s">
        <v>231</v>
      </c>
      <c r="I5" s="34" t="str">
        <f>_xll.qlRealMCAsset(,,C21)</f>
        <v>obj_00020#0007</v>
      </c>
    </row>
    <row r="6" spans="2:24">
      <c r="B6" s="10" t="s">
        <v>6</v>
      </c>
      <c r="C6" s="11"/>
      <c r="D6" s="12" t="str">
        <f>I_ValuationDate!D7</f>
        <v>obj_0000d#0002</v>
      </c>
      <c r="E6" s="214"/>
      <c r="F6" s="214"/>
      <c r="H6" s="35" t="s">
        <v>235</v>
      </c>
      <c r="I6" s="36" t="str">
        <f>_xll.qlRealMCAsset(,,C22)</f>
        <v>obj_00019#0005</v>
      </c>
    </row>
    <row r="7" spans="2:24">
      <c r="B7" s="10" t="s">
        <v>136</v>
      </c>
      <c r="C7" s="11"/>
      <c r="D7" s="12" t="str">
        <f>I_ValuationDate!D8</f>
        <v>obj_00018#0002</v>
      </c>
      <c r="E7" s="214"/>
      <c r="F7" s="214"/>
      <c r="H7" s="35"/>
      <c r="I7" s="36"/>
    </row>
    <row r="8" spans="2:24">
      <c r="H8" s="35"/>
      <c r="I8" s="36"/>
    </row>
    <row r="9" spans="2:24">
      <c r="B9" s="13" t="s">
        <v>232</v>
      </c>
      <c r="C9" s="14">
        <v>0.2</v>
      </c>
      <c r="D9" s="93" t="str">
        <f>II_VolSurface_GasWinter!C32</f>
        <v>obj_0066b#0003</v>
      </c>
      <c r="E9" s="216"/>
      <c r="F9" s="216"/>
      <c r="H9" s="35"/>
      <c r="I9" s="36"/>
    </row>
    <row r="10" spans="2:24">
      <c r="B10" s="15" t="s">
        <v>236</v>
      </c>
      <c r="C10" s="16">
        <v>0.3</v>
      </c>
      <c r="D10" s="12" t="str">
        <f>II_VolSurface_GasSummer!D33</f>
        <v>obj_00666#0003</v>
      </c>
      <c r="E10" s="214"/>
      <c r="F10" s="214"/>
      <c r="H10" s="35"/>
      <c r="I10" s="36"/>
      <c r="K10" s="1" t="s">
        <v>31</v>
      </c>
      <c r="L10" s="2"/>
      <c r="M10" s="47"/>
      <c r="N10" s="4" t="s">
        <v>31</v>
      </c>
      <c r="O10" s="19"/>
      <c r="P10" s="19"/>
      <c r="Q10" s="19"/>
      <c r="R10" s="19"/>
      <c r="S10" s="19"/>
      <c r="T10" s="19"/>
      <c r="U10" s="19"/>
      <c r="V10" s="19"/>
      <c r="W10" s="19"/>
      <c r="X10" s="40"/>
    </row>
    <row r="11" spans="2:24">
      <c r="B11" s="15" t="s">
        <v>137</v>
      </c>
      <c r="C11" s="16">
        <v>0.3</v>
      </c>
      <c r="D11" s="12" t="str">
        <f>II_VolSurface_Calender!C33</f>
        <v>obj_00670#0004</v>
      </c>
      <c r="E11" s="214"/>
      <c r="F11" s="214"/>
      <c r="H11" s="35"/>
      <c r="I11" s="36"/>
      <c r="K11" s="49" t="s">
        <v>25</v>
      </c>
      <c r="L11" s="50" t="s">
        <v>30</v>
      </c>
      <c r="M11" s="50" t="s">
        <v>4</v>
      </c>
      <c r="N11" s="72">
        <f t="array" aca="1" ref="N11:X11" ca="1">N19:X19</f>
        <v>-0.05</v>
      </c>
      <c r="O11" s="73">
        <f ca="1"/>
        <v>-0.1</v>
      </c>
      <c r="P11" s="73">
        <f ca="1"/>
        <v>-0.15</v>
      </c>
      <c r="Q11" s="73">
        <f ca="1"/>
        <v>-0.25</v>
      </c>
      <c r="R11" s="73">
        <f ca="1"/>
        <v>-0.35</v>
      </c>
      <c r="S11" s="73" t="str">
        <f ca="1"/>
        <v>ATM</v>
      </c>
      <c r="T11" s="73">
        <f ca="1"/>
        <v>0.35</v>
      </c>
      <c r="U11" s="73">
        <f ca="1"/>
        <v>0.25</v>
      </c>
      <c r="V11" s="73">
        <f ca="1"/>
        <v>0.15</v>
      </c>
      <c r="W11" s="73">
        <f ca="1"/>
        <v>0.1</v>
      </c>
      <c r="X11" s="62">
        <f ca="1"/>
        <v>0.05</v>
      </c>
    </row>
    <row r="12" spans="2:24">
      <c r="H12" s="35"/>
      <c r="I12" s="36"/>
      <c r="K12" s="70" t="str">
        <f t="array" ref="K12:K16">K20:K24</f>
        <v>1m</v>
      </c>
      <c r="L12" s="57">
        <f>_xll.qlCalendarAdvance("NullCalendar",$D$2,K12)</f>
        <v>43049</v>
      </c>
      <c r="M12" s="58" t="str">
        <f>TEXT(L12,"[$-en-EN]TTMMMJJJ")</f>
        <v>10Nov2017</v>
      </c>
      <c r="N12" s="65">
        <f t="array" aca="1" ref="N12:X12" ca="1">INDIRECT("II_VolSurface_"&amp;N1&amp;"!Q12:AA12")</f>
        <v>18.400363131786797</v>
      </c>
      <c r="O12" s="66">
        <f ca="1"/>
        <v>18.540807269318982</v>
      </c>
      <c r="P12" s="66">
        <f ca="1"/>
        <v>18.63179713829674</v>
      </c>
      <c r="Q12" s="66">
        <f ca="1"/>
        <v>18.762688143930536</v>
      </c>
      <c r="R12" s="66">
        <f ca="1"/>
        <v>18.865367431835978</v>
      </c>
      <c r="S12" s="66">
        <f ca="1"/>
        <v>19</v>
      </c>
      <c r="T12" s="66">
        <f ca="1"/>
        <v>19.149851237431371</v>
      </c>
      <c r="U12" s="66">
        <f ca="1"/>
        <v>19.269473701884575</v>
      </c>
      <c r="V12" s="66">
        <f ca="1"/>
        <v>19.427989331821276</v>
      </c>
      <c r="W12" s="66">
        <f ca="1"/>
        <v>19.551088328954712</v>
      </c>
      <c r="X12" s="52">
        <f ca="1"/>
        <v>19.738547256676142</v>
      </c>
    </row>
    <row r="13" spans="2:24">
      <c r="B13" s="220" t="s">
        <v>7</v>
      </c>
      <c r="C13" s="307">
        <v>1</v>
      </c>
      <c r="D13" s="313">
        <v>0.3</v>
      </c>
      <c r="E13" s="308">
        <v>0</v>
      </c>
      <c r="F13" s="366">
        <f>II_VolSurface_GasWinter!E74</f>
        <v>0</v>
      </c>
      <c r="H13" s="35"/>
      <c r="I13" s="36"/>
      <c r="K13" s="71" t="str">
        <v>3m</v>
      </c>
      <c r="L13" s="59">
        <f>_xll.qlCalendarAdvance("NullCalendar",$D$2,K13)</f>
        <v>43110</v>
      </c>
      <c r="M13" s="60" t="str">
        <f>TEXT(L13,"[$-en-EN]TTMMMJJJ")</f>
        <v>10Jan2018</v>
      </c>
      <c r="N13" s="65">
        <f t="array" aca="1" ref="N13:X13" ca="1">INDIRECT("II_VolSurface_"&amp;N1&amp;"!Q14:AA14")</f>
        <v>17.934772818300967</v>
      </c>
      <c r="O13" s="48">
        <f ca="1"/>
        <v>18.185969663315415</v>
      </c>
      <c r="P13" s="48">
        <f ca="1"/>
        <v>18.352933880637437</v>
      </c>
      <c r="Q13" s="48">
        <f ca="1"/>
        <v>18.585247547054053</v>
      </c>
      <c r="R13" s="48">
        <f ca="1"/>
        <v>18.767266089398895</v>
      </c>
      <c r="S13" s="48">
        <f ca="1"/>
        <v>19</v>
      </c>
      <c r="T13" s="48">
        <f ca="1"/>
        <v>19.271057752308405</v>
      </c>
      <c r="U13" s="48">
        <f ca="1"/>
        <v>19.48680564026056</v>
      </c>
      <c r="V13" s="48">
        <f ca="1"/>
        <v>19.780822446316368</v>
      </c>
      <c r="W13" s="48">
        <f ca="1"/>
        <v>20.009629106478577</v>
      </c>
      <c r="X13" s="54">
        <f ca="1"/>
        <v>20.361489640902946</v>
      </c>
    </row>
    <row r="14" spans="2:24">
      <c r="C14" s="221">
        <f>D13</f>
        <v>0.3</v>
      </c>
      <c r="D14" s="217">
        <v>1</v>
      </c>
      <c r="E14" s="217">
        <v>0</v>
      </c>
      <c r="F14" s="222">
        <v>0</v>
      </c>
      <c r="H14" s="35"/>
      <c r="I14" s="36"/>
      <c r="K14" s="71" t="str">
        <v>6m</v>
      </c>
      <c r="L14" s="59">
        <f>_xll.qlCalendarAdvance("NullCalendar",$D$2,K14)</f>
        <v>43200</v>
      </c>
      <c r="M14" s="60" t="str">
        <f>TEXT(L14,"[$-en-EN]TTMMMJJJ")</f>
        <v>10Apr2018</v>
      </c>
      <c r="N14" s="67">
        <f t="array" aca="1" ref="N14:X16" ca="1">INDIRECT("II_VolSurface_"&amp;N1&amp;"!Q17:AA19")</f>
        <v>17.339775333047331</v>
      </c>
      <c r="O14" s="48">
        <f ca="1"/>
        <v>17.756575887971554</v>
      </c>
      <c r="P14" s="48">
        <f ca="1"/>
        <v>18.022955635235029</v>
      </c>
      <c r="Q14" s="48">
        <f ca="1"/>
        <v>18.377975183754671</v>
      </c>
      <c r="R14" s="48">
        <f ca="1"/>
        <v>18.6568222462538</v>
      </c>
      <c r="S14" s="48">
        <f ca="1"/>
        <v>19</v>
      </c>
      <c r="T14" s="48">
        <f ca="1"/>
        <v>19.416821506937918</v>
      </c>
      <c r="U14" s="48">
        <f ca="1"/>
        <v>19.747533067786716</v>
      </c>
      <c r="V14" s="48">
        <f ca="1"/>
        <v>20.209004237187784</v>
      </c>
      <c r="W14" s="48">
        <f ca="1"/>
        <v>20.582876302525289</v>
      </c>
      <c r="X14" s="54">
        <f ca="1"/>
        <v>21.169500369086101</v>
      </c>
    </row>
    <row r="15" spans="2:24">
      <c r="C15" s="309">
        <v>0</v>
      </c>
      <c r="D15" s="217">
        <v>0</v>
      </c>
      <c r="E15" s="217">
        <v>1</v>
      </c>
      <c r="F15" s="222">
        <v>0</v>
      </c>
      <c r="H15" s="35"/>
      <c r="I15" s="36"/>
      <c r="K15" s="71" t="str">
        <v>9m</v>
      </c>
      <c r="L15" s="59">
        <f>_xll.qlCalendarAdvance("NullCalendar",$D$2,K15)</f>
        <v>43291</v>
      </c>
      <c r="M15" s="60" t="str">
        <f>TEXT(L15,"[$-en-EN]TTMMMJJJ")</f>
        <v>10Jul2018</v>
      </c>
      <c r="N15" s="67">
        <f ca="1"/>
        <v>16.908955130566476</v>
      </c>
      <c r="O15" s="48">
        <f ca="1"/>
        <v>17.434094911699557</v>
      </c>
      <c r="P15" s="48">
        <f ca="1"/>
        <v>17.779693583661135</v>
      </c>
      <c r="Q15" s="48">
        <f ca="1"/>
        <v>18.232577722889861</v>
      </c>
      <c r="R15" s="48">
        <f ca="1"/>
        <v>18.579536653798879</v>
      </c>
      <c r="S15" s="48">
        <f ca="1"/>
        <v>19</v>
      </c>
      <c r="T15" s="48">
        <f ca="1"/>
        <v>19.532607976788878</v>
      </c>
      <c r="U15" s="48">
        <f ca="1"/>
        <v>19.953575129421946</v>
      </c>
      <c r="V15" s="48">
        <f ca="1"/>
        <v>20.53993209155761</v>
      </c>
      <c r="W15" s="48">
        <f ca="1"/>
        <v>21.04431725050615</v>
      </c>
      <c r="X15" s="54">
        <f ca="1"/>
        <v>21.828001923616391</v>
      </c>
    </row>
    <row r="16" spans="2:24">
      <c r="C16" s="367">
        <f>II_VolSurface_GasWinter!E74</f>
        <v>0</v>
      </c>
      <c r="D16" s="223">
        <v>0</v>
      </c>
      <c r="E16" s="223">
        <v>0</v>
      </c>
      <c r="F16" s="17">
        <v>1</v>
      </c>
      <c r="H16" s="35"/>
      <c r="I16" s="36"/>
      <c r="K16" s="72" t="str">
        <v>1y</v>
      </c>
      <c r="L16" s="61">
        <f>_xll.qlCalendarAdvance("NullCalendar",$D$2,K16)</f>
        <v>43383</v>
      </c>
      <c r="M16" s="62" t="str">
        <f>TEXT(L16,"[$-en-EN]TTMMMJJJ")</f>
        <v>10Oct2018</v>
      </c>
      <c r="N16" s="68">
        <f ca="1"/>
        <v>16.503357749198891</v>
      </c>
      <c r="O16" s="69">
        <f ca="1"/>
        <v>17.162276542492911</v>
      </c>
      <c r="P16" s="69">
        <f ca="1"/>
        <v>17.582898432974424</v>
      </c>
      <c r="Q16" s="69">
        <f ca="1"/>
        <v>18.109289379430802</v>
      </c>
      <c r="R16" s="69">
        <f ca="1"/>
        <v>18.514560443164001</v>
      </c>
      <c r="S16" s="69">
        <f ca="1"/>
        <v>19</v>
      </c>
      <c r="T16" s="69">
        <f ca="1"/>
        <v>19.635181936613922</v>
      </c>
      <c r="U16" s="69">
        <f ca="1"/>
        <v>20.134378011391775</v>
      </c>
      <c r="V16" s="69">
        <f ca="1"/>
        <v>20.852936078448547</v>
      </c>
      <c r="W16" s="69">
        <f ca="1"/>
        <v>21.455841077521512</v>
      </c>
      <c r="X16" s="56">
        <f ca="1"/>
        <v>22.417549725498461</v>
      </c>
    </row>
    <row r="17" spans="2:24">
      <c r="E17" s="214"/>
      <c r="F17" s="214"/>
      <c r="H17" s="35"/>
      <c r="I17" s="36"/>
    </row>
    <row r="18" spans="2:24">
      <c r="B18" s="4" t="s">
        <v>233</v>
      </c>
      <c r="C18" s="19"/>
      <c r="D18" s="20">
        <f>II_VolSurface_GasWinter!C38</f>
        <v>19</v>
      </c>
      <c r="E18" s="214"/>
      <c r="F18" s="214"/>
      <c r="H18" s="37"/>
      <c r="I18" s="38"/>
      <c r="K18" s="1" t="s">
        <v>34</v>
      </c>
      <c r="L18" s="2"/>
      <c r="M18" s="47"/>
      <c r="N18" s="4" t="s">
        <v>31</v>
      </c>
      <c r="O18" s="19"/>
      <c r="P18" s="19"/>
      <c r="Q18" s="19"/>
      <c r="R18" s="19"/>
      <c r="S18" s="19"/>
      <c r="T18" s="19"/>
      <c r="U18" s="19"/>
      <c r="V18" s="19"/>
      <c r="W18" s="19"/>
      <c r="X18" s="40"/>
    </row>
    <row r="19" spans="2:24">
      <c r="B19" s="10" t="s">
        <v>237</v>
      </c>
      <c r="C19" s="21"/>
      <c r="D19" s="22">
        <f>II_VolSurface_GasSummer!C38</f>
        <v>18</v>
      </c>
      <c r="K19" s="49" t="s">
        <v>25</v>
      </c>
      <c r="L19" s="50" t="s">
        <v>30</v>
      </c>
      <c r="M19" s="50" t="s">
        <v>4</v>
      </c>
      <c r="N19" s="55">
        <f t="array" aca="1" ref="N19:X19" ca="1">INDIRECT("II_VolSurface_"&amp;N1&amp;"!Q7:AA7")</f>
        <v>-0.05</v>
      </c>
      <c r="O19" s="63">
        <f ca="1"/>
        <v>-0.1</v>
      </c>
      <c r="P19" s="63">
        <f ca="1"/>
        <v>-0.15</v>
      </c>
      <c r="Q19" s="63">
        <f ca="1"/>
        <v>-0.25</v>
      </c>
      <c r="R19" s="63">
        <f ca="1"/>
        <v>-0.35</v>
      </c>
      <c r="S19" s="63" t="str">
        <f ca="1"/>
        <v>ATM</v>
      </c>
      <c r="T19" s="63">
        <f ca="1"/>
        <v>0.35</v>
      </c>
      <c r="U19" s="63">
        <f ca="1"/>
        <v>0.25</v>
      </c>
      <c r="V19" s="63">
        <f ca="1"/>
        <v>0.15</v>
      </c>
      <c r="W19" s="63">
        <f ca="1"/>
        <v>0.1</v>
      </c>
      <c r="X19" s="64">
        <f ca="1"/>
        <v>0.05</v>
      </c>
    </row>
    <row r="20" spans="2:24">
      <c r="E20" s="214"/>
      <c r="F20" s="214"/>
      <c r="K20" s="51" t="s">
        <v>22</v>
      </c>
      <c r="L20" s="57">
        <f>_xll.qlCalendarAdvance("NullCalendar",$D$2,K20)</f>
        <v>43049</v>
      </c>
      <c r="M20" s="58" t="str">
        <f>TEXT(L20,"[$-en-EN]TTMMMJJJ")</f>
        <v>10Nov2017</v>
      </c>
      <c r="N20" s="65" t="str">
        <f ca="1">$M20&amp;TEXT(N12*1000,"0000")</f>
        <v>10Nov201718400</v>
      </c>
      <c r="O20" s="66" t="str">
        <f ca="1">$M20&amp;TEXT(O12*1000,"0000")</f>
        <v>10Nov201718541</v>
      </c>
      <c r="P20" s="66" t="str">
        <f ca="1">$M20&amp;TEXT(P12*1000,"0000")</f>
        <v>10Nov201718632</v>
      </c>
      <c r="Q20" s="66" t="str">
        <f ca="1">$M20&amp;TEXT(Q12*1000,"0000")</f>
        <v>10Nov201718763</v>
      </c>
      <c r="R20" s="66" t="str">
        <f ca="1">$M20&amp;TEXT(R12*1000,"0000")</f>
        <v>10Nov201718865</v>
      </c>
      <c r="S20" s="66" t="str">
        <f ca="1">$M20&amp;TEXT(S12*1000,"0000")</f>
        <v>10Nov201719000</v>
      </c>
      <c r="T20" s="66" t="str">
        <f ca="1">$M20&amp;TEXT(T12*1000,"0000")</f>
        <v>10Nov201719150</v>
      </c>
      <c r="U20" s="66" t="str">
        <f ca="1">$M20&amp;TEXT(U12*1000,"0000")</f>
        <v>10Nov201719269</v>
      </c>
      <c r="V20" s="66" t="str">
        <f ca="1">$M20&amp;TEXT(V12*1000,"0000")</f>
        <v>10Nov201719428</v>
      </c>
      <c r="W20" s="66" t="str">
        <f ca="1">$M20&amp;TEXT(W12*1000,"0000")</f>
        <v>10Nov201719551</v>
      </c>
      <c r="X20" s="52" t="str">
        <f ca="1">$M20&amp;TEXT(X12*1000,"0000")</f>
        <v>10Nov201719739</v>
      </c>
    </row>
    <row r="21" spans="2:24">
      <c r="B21" s="4" t="s">
        <v>234</v>
      </c>
      <c r="C21" s="23" t="s">
        <v>231</v>
      </c>
      <c r="D21" s="6" t="str">
        <f>II_VolSurface_GasWinter!C95</f>
        <v>obj_0066f#0004</v>
      </c>
      <c r="K21" s="53" t="s">
        <v>29</v>
      </c>
      <c r="L21" s="59">
        <f>_xll.qlCalendarAdvance("NullCalendar",$D$2,K21)</f>
        <v>43110</v>
      </c>
      <c r="M21" s="60" t="str">
        <f>TEXT(L21,"[$-en-EN]TTMMMJJJ")</f>
        <v>10Jan2018</v>
      </c>
      <c r="N21" s="67" t="str">
        <f ca="1">$M21&amp;TEXT(N13*1000,"0000")</f>
        <v>10Jan201817935</v>
      </c>
      <c r="O21" s="48" t="str">
        <f ca="1">$M21&amp;TEXT(O13*1000,"0000")</f>
        <v>10Jan201818186</v>
      </c>
      <c r="P21" s="48" t="str">
        <f ca="1">$M21&amp;TEXT(P13*1000,"0000")</f>
        <v>10Jan201818353</v>
      </c>
      <c r="Q21" s="48" t="str">
        <f ca="1">$M21&amp;TEXT(Q13*1000,"0000")</f>
        <v>10Jan201818585</v>
      </c>
      <c r="R21" s="48" t="str">
        <f ca="1">$M21&amp;TEXT(R13*1000,"0000")</f>
        <v>10Jan201818767</v>
      </c>
      <c r="S21" s="48" t="str">
        <f ca="1">$M21&amp;TEXT(S13*1000,"0000")</f>
        <v>10Jan201819000</v>
      </c>
      <c r="T21" s="48" t="str">
        <f ca="1">$M21&amp;TEXT(T13*1000,"0000")</f>
        <v>10Jan201819271</v>
      </c>
      <c r="U21" s="48" t="str">
        <f ca="1">$M21&amp;TEXT(U13*1000,"0000")</f>
        <v>10Jan201819487</v>
      </c>
      <c r="V21" s="48" t="str">
        <f ca="1">$M21&amp;TEXT(V13*1000,"0000")</f>
        <v>10Jan201819781</v>
      </c>
      <c r="W21" s="48" t="str">
        <f ca="1">$M21&amp;TEXT(W13*1000,"0000")</f>
        <v>10Jan201820010</v>
      </c>
      <c r="X21" s="54" t="str">
        <f ca="1">$M21&amp;TEXT(X13*1000,"0000")</f>
        <v>10Jan201820361</v>
      </c>
    </row>
    <row r="22" spans="2:24">
      <c r="B22" s="15" t="s">
        <v>238</v>
      </c>
      <c r="C22" s="24" t="s">
        <v>235</v>
      </c>
      <c r="D22" s="12" t="str">
        <f>II_VolSurface_GasSummer!C95</f>
        <v>obj_0066a#0003</v>
      </c>
      <c r="K22" s="53" t="s">
        <v>32</v>
      </c>
      <c r="L22" s="59">
        <f>_xll.qlCalendarAdvance("NullCalendar",$D$2,K22)</f>
        <v>43200</v>
      </c>
      <c r="M22" s="60" t="str">
        <f>TEXT(L22,"[$-en-EN]TTMMMJJJ")</f>
        <v>10Apr2018</v>
      </c>
      <c r="N22" s="67" t="str">
        <f ca="1">$M22&amp;TEXT(N14*1000,"0000")</f>
        <v>10Apr201817340</v>
      </c>
      <c r="O22" s="48" t="str">
        <f ca="1">$M22&amp;TEXT(O14*1000,"0000")</f>
        <v>10Apr201817757</v>
      </c>
      <c r="P22" s="48" t="str">
        <f ca="1">$M22&amp;TEXT(P14*1000,"0000")</f>
        <v>10Apr201818023</v>
      </c>
      <c r="Q22" s="48" t="str">
        <f ca="1">$M22&amp;TEXT(Q14*1000,"0000")</f>
        <v>10Apr201818378</v>
      </c>
      <c r="R22" s="48" t="str">
        <f ca="1">$M22&amp;TEXT(R14*1000,"0000")</f>
        <v>10Apr201818657</v>
      </c>
      <c r="S22" s="48" t="str">
        <f ca="1">$M22&amp;TEXT(S14*1000,"0000")</f>
        <v>10Apr201819000</v>
      </c>
      <c r="T22" s="48" t="str">
        <f ca="1">$M22&amp;TEXT(T14*1000,"0000")</f>
        <v>10Apr201819417</v>
      </c>
      <c r="U22" s="48" t="str">
        <f ca="1">$M22&amp;TEXT(U14*1000,"0000")</f>
        <v>10Apr201819748</v>
      </c>
      <c r="V22" s="48" t="str">
        <f ca="1">$M22&amp;TEXT(V14*1000,"0000")</f>
        <v>10Apr201820209</v>
      </c>
      <c r="W22" s="48" t="str">
        <f ca="1">$M22&amp;TEXT(W14*1000,"0000")</f>
        <v>10Apr201820583</v>
      </c>
      <c r="X22" s="54" t="str">
        <f ca="1">$M22&amp;TEXT(X14*1000,"0000")</f>
        <v>10Apr201821170</v>
      </c>
    </row>
    <row r="23" spans="2:24">
      <c r="E23" s="218"/>
      <c r="F23" s="218"/>
      <c r="K23" s="53" t="s">
        <v>33</v>
      </c>
      <c r="L23" s="59">
        <f>_xll.qlCalendarAdvance("NullCalendar",$D$2,K23)</f>
        <v>43291</v>
      </c>
      <c r="M23" s="60" t="str">
        <f>TEXT(L23,"[$-en-EN]TTMMMJJJ")</f>
        <v>10Jul2018</v>
      </c>
      <c r="N23" s="67" t="str">
        <f ca="1">$M23&amp;TEXT(N15*1000,"0000")</f>
        <v>10Jul201816909</v>
      </c>
      <c r="O23" s="48" t="str">
        <f ca="1">$M23&amp;TEXT(O15*1000,"0000")</f>
        <v>10Jul201817434</v>
      </c>
      <c r="P23" s="48" t="str">
        <f ca="1">$M23&amp;TEXT(P15*1000,"0000")</f>
        <v>10Jul201817780</v>
      </c>
      <c r="Q23" s="48" t="str">
        <f ca="1">$M23&amp;TEXT(Q15*1000,"0000")</f>
        <v>10Jul201818233</v>
      </c>
      <c r="R23" s="48" t="str">
        <f ca="1">$M23&amp;TEXT(R15*1000,"0000")</f>
        <v>10Jul201818580</v>
      </c>
      <c r="S23" s="48" t="str">
        <f ca="1">$M23&amp;TEXT(S15*1000,"0000")</f>
        <v>10Jul201819000</v>
      </c>
      <c r="T23" s="48" t="str">
        <f ca="1">$M23&amp;TEXT(T15*1000,"0000")</f>
        <v>10Jul201819533</v>
      </c>
      <c r="U23" s="48" t="str">
        <f ca="1">$M23&amp;TEXT(U15*1000,"0000")</f>
        <v>10Jul201819954</v>
      </c>
      <c r="V23" s="48" t="str">
        <f ca="1">$M23&amp;TEXT(V15*1000,"0000")</f>
        <v>10Jul201820540</v>
      </c>
      <c r="W23" s="48" t="str">
        <f ca="1">$M23&amp;TEXT(W15*1000,"0000")</f>
        <v>10Jul201821044</v>
      </c>
      <c r="X23" s="54" t="str">
        <f ca="1">$M23&amp;TEXT(X15*1000,"0000")</f>
        <v>10Jul201821828</v>
      </c>
    </row>
    <row r="24" spans="2:24">
      <c r="B24" s="236" t="s">
        <v>8</v>
      </c>
      <c r="C24" s="318"/>
      <c r="D24" s="320" t="str">
        <f>_xll.qlMultiAssetSLVModel(,D4,C21:C22,D21:D22,C13:F16)</f>
        <v>obj_00679#0006</v>
      </c>
      <c r="E24" s="218"/>
      <c r="K24" s="55" t="s">
        <v>24</v>
      </c>
      <c r="L24" s="61">
        <f>_xll.qlCalendarAdvance("NullCalendar",$D$2,K24)</f>
        <v>43383</v>
      </c>
      <c r="M24" s="62" t="str">
        <f>TEXT(L24,"[$-en-EN]TTMMMJJJ")</f>
        <v>10Oct2018</v>
      </c>
      <c r="N24" s="68" t="str">
        <f ca="1">$M24&amp;TEXT(N16*1000,"0000")</f>
        <v>10Oct201816503</v>
      </c>
      <c r="O24" s="69" t="str">
        <f ca="1">$M24&amp;TEXT(O16*1000,"0000")</f>
        <v>10Oct201817162</v>
      </c>
      <c r="P24" s="69" t="str">
        <f ca="1">$M24&amp;TEXT(P16*1000,"0000")</f>
        <v>10Oct201817583</v>
      </c>
      <c r="Q24" s="69" t="str">
        <f ca="1">$M24&amp;TEXT(Q16*1000,"0000")</f>
        <v>10Oct201818109</v>
      </c>
      <c r="R24" s="69" t="str">
        <f ca="1">$M24&amp;TEXT(R16*1000,"0000")</f>
        <v>10Oct201818515</v>
      </c>
      <c r="S24" s="69" t="str">
        <f ca="1">$M24&amp;TEXT(S16*1000,"0000")</f>
        <v>10Oct201819000</v>
      </c>
      <c r="T24" s="69" t="str">
        <f ca="1">$M24&amp;TEXT(T16*1000,"0000")</f>
        <v>10Oct201819635</v>
      </c>
      <c r="U24" s="69" t="str">
        <f ca="1">$M24&amp;TEXT(U16*1000,"0000")</f>
        <v>10Oct201820134</v>
      </c>
      <c r="V24" s="69" t="str">
        <f ca="1">$M24&amp;TEXT(V16*1000,"0000")</f>
        <v>10Oct201820853</v>
      </c>
      <c r="W24" s="69" t="str">
        <f ca="1">$M24&amp;TEXT(W16*1000,"0000")</f>
        <v>10Oct201821456</v>
      </c>
      <c r="X24" s="56" t="str">
        <f ca="1">$M24&amp;TEXT(X16*1000,"0000")</f>
        <v>10Oct201822418</v>
      </c>
    </row>
    <row r="25" spans="2:24">
      <c r="J25" s="44"/>
    </row>
    <row r="26" spans="2:24">
      <c r="J26" s="44"/>
      <c r="K26" s="1" t="s">
        <v>35</v>
      </c>
      <c r="L26" s="2"/>
      <c r="M26" s="47"/>
      <c r="N26" s="4" t="s">
        <v>31</v>
      </c>
      <c r="O26" s="19"/>
      <c r="P26" s="19"/>
      <c r="Q26" s="19"/>
      <c r="R26" s="19"/>
      <c r="S26" s="19"/>
      <c r="T26" s="19"/>
      <c r="U26" s="19"/>
      <c r="V26" s="19"/>
      <c r="W26" s="19"/>
      <c r="X26" s="40"/>
    </row>
    <row r="27" spans="2:24">
      <c r="B27" s="4" t="s">
        <v>9</v>
      </c>
      <c r="C27" s="19"/>
      <c r="D27" s="25" t="s">
        <v>21</v>
      </c>
      <c r="J27" s="44"/>
      <c r="K27" s="49" t="s">
        <v>25</v>
      </c>
      <c r="L27" s="50" t="s">
        <v>30</v>
      </c>
      <c r="M27" s="50" t="s">
        <v>4</v>
      </c>
      <c r="N27" s="72">
        <f ca="1">N19</f>
        <v>-0.05</v>
      </c>
      <c r="O27" s="73">
        <f ca="1">O19</f>
        <v>-0.1</v>
      </c>
      <c r="P27" s="73">
        <f ca="1">P19</f>
        <v>-0.15</v>
      </c>
      <c r="Q27" s="73">
        <f ca="1">Q19</f>
        <v>-0.25</v>
      </c>
      <c r="R27" s="73">
        <f ca="1">R19</f>
        <v>-0.35</v>
      </c>
      <c r="S27" s="73" t="str">
        <f ca="1">S19</f>
        <v>ATM</v>
      </c>
      <c r="T27" s="73">
        <f ca="1">T19</f>
        <v>0.35</v>
      </c>
      <c r="U27" s="73">
        <f ca="1">U19</f>
        <v>0.25</v>
      </c>
      <c r="V27" s="73">
        <f ca="1">V19</f>
        <v>0.15</v>
      </c>
      <c r="W27" s="73">
        <f ca="1">W19</f>
        <v>0.1</v>
      </c>
      <c r="X27" s="62">
        <f ca="1">X19</f>
        <v>0.05</v>
      </c>
    </row>
    <row r="28" spans="2:24">
      <c r="B28" s="7" t="s">
        <v>10</v>
      </c>
      <c r="C28" s="26"/>
      <c r="D28" s="27" t="s">
        <v>90</v>
      </c>
      <c r="J28" s="44"/>
      <c r="K28" s="70" t="str">
        <f>K20</f>
        <v>1m</v>
      </c>
      <c r="L28" s="57">
        <f>_xll.qlCalendarAdvance("NullCalendar",$D$2,K28)</f>
        <v>43049</v>
      </c>
      <c r="M28" s="58" t="str">
        <f>TEXT(L28,"[$-en-EN]TTMMMJJJ")</f>
        <v>10Nov2017</v>
      </c>
      <c r="N28" s="65" t="str">
        <f ca="1">"C"&amp;N20&amp;"=Pay(Max("&amp;$N$1&amp;"("&amp;$M28&amp;")-"&amp;N12&amp;",0.0),"&amp;$M28&amp;")"</f>
        <v>C10Nov201718400=Pay(Max(GasWinter(10Nov2017)-18.4003631317868,0.0),10Nov2017)</v>
      </c>
      <c r="O28" s="66" t="str">
        <f ca="1">"C"&amp;O20&amp;"=Pay(Max("&amp;$N$1&amp;"("&amp;$M28&amp;")-"&amp;O12&amp;",0.0),"&amp;$M28&amp;")"</f>
        <v>C10Nov201718541=Pay(Max(GasWinter(10Nov2017)-18.540807269319,0.0),10Nov2017)</v>
      </c>
      <c r="P28" s="66" t="str">
        <f ca="1">"C"&amp;P20&amp;"=Pay(Max("&amp;$N$1&amp;"("&amp;$M28&amp;")-"&amp;P12&amp;",0.0),"&amp;$M28&amp;")"</f>
        <v>C10Nov201718632=Pay(Max(GasWinter(10Nov2017)-18.6317971382967,0.0),10Nov2017)</v>
      </c>
      <c r="Q28" s="66" t="str">
        <f ca="1">"C"&amp;Q20&amp;"=Pay(Max("&amp;$N$1&amp;"("&amp;$M28&amp;")-"&amp;Q12&amp;",0.0),"&amp;$M28&amp;")"</f>
        <v>C10Nov201718763=Pay(Max(GasWinter(10Nov2017)-18.7626881439305,0.0),10Nov2017)</v>
      </c>
      <c r="R28" s="66" t="str">
        <f ca="1">"C"&amp;R20&amp;"=Pay(Max("&amp;$N$1&amp;"("&amp;$M28&amp;")-"&amp;R12&amp;",0.0),"&amp;$M28&amp;")"</f>
        <v>C10Nov201718865=Pay(Max(GasWinter(10Nov2017)-18.865367431836,0.0),10Nov2017)</v>
      </c>
      <c r="S28" s="66" t="str">
        <f ca="1">"C"&amp;S20&amp;"=Pay(Max("&amp;$N$1&amp;"("&amp;$M28&amp;")-"&amp;S12&amp;",0.0),"&amp;$M28&amp;")"</f>
        <v>C10Nov201719000=Pay(Max(GasWinter(10Nov2017)-19,0.0),10Nov2017)</v>
      </c>
      <c r="T28" s="66" t="str">
        <f ca="1">"C"&amp;T20&amp;"=Pay(Max("&amp;$N$1&amp;"("&amp;$M28&amp;")-"&amp;T12&amp;",0.0),"&amp;$M28&amp;")"</f>
        <v>C10Nov201719150=Pay(Max(GasWinter(10Nov2017)-19.1498512374314,0.0),10Nov2017)</v>
      </c>
      <c r="U28" s="66" t="str">
        <f ca="1">"C"&amp;U20&amp;"=Pay(Max("&amp;$N$1&amp;"("&amp;$M28&amp;")-"&amp;U12&amp;",0.0),"&amp;$M28&amp;")"</f>
        <v>C10Nov201719269=Pay(Max(GasWinter(10Nov2017)-19.2694737018846,0.0),10Nov2017)</v>
      </c>
      <c r="V28" s="66" t="str">
        <f ca="1">"C"&amp;V20&amp;"=Pay(Max("&amp;$N$1&amp;"("&amp;$M28&amp;")-"&amp;V12&amp;",0.0),"&amp;$M28&amp;")"</f>
        <v>C10Nov201719428=Pay(Max(GasWinter(10Nov2017)-19.4279893318213,0.0),10Nov2017)</v>
      </c>
      <c r="W28" s="66" t="str">
        <f ca="1">"C"&amp;W20&amp;"=Pay(Max("&amp;$N$1&amp;"("&amp;$M28&amp;")-"&amp;W12&amp;",0.0),"&amp;$M28&amp;")"</f>
        <v>C10Nov201719551=Pay(Max(GasWinter(10Nov2017)-19.5510883289547,0.0),10Nov2017)</v>
      </c>
      <c r="X28" s="52" t="str">
        <f ca="1">"C"&amp;X20&amp;"=Pay(Max("&amp;$N$1&amp;"("&amp;$M28&amp;")-"&amp;X12&amp;",0.0),"&amp;$M28&amp;")"</f>
        <v>C10Nov201719739=Pay(Max(GasWinter(10Nov2017)-19.7385472566761,0.0),10Nov2017)</v>
      </c>
    </row>
    <row r="29" spans="2:24">
      <c r="B29" s="7" t="s">
        <v>11</v>
      </c>
      <c r="C29" s="26"/>
      <c r="D29" s="9" t="str">
        <f>_xll.qlSchedule(,D2,D27,D28)</f>
        <v>obj_0001b#0005</v>
      </c>
      <c r="J29" s="44"/>
      <c r="K29" s="71" t="str">
        <f>K21</f>
        <v>3m</v>
      </c>
      <c r="L29" s="59">
        <f>_xll.qlCalendarAdvance("NullCalendar",$D$2,K29)</f>
        <v>43110</v>
      </c>
      <c r="M29" s="60" t="str">
        <f>TEXT(L29,"[$-en-EN]TTMMMJJJ")</f>
        <v>10Jan2018</v>
      </c>
      <c r="N29" s="67" t="str">
        <f ca="1">"C"&amp;N21&amp;"=Pay(Max("&amp;$N$1&amp;"("&amp;$M29&amp;")-"&amp;N13&amp;",0.0),"&amp;$M29&amp;")"</f>
        <v>C10Jan201817935=Pay(Max(GasWinter(10Jan2018)-17.934772818301,0.0),10Jan2018)</v>
      </c>
      <c r="O29" s="48" t="str">
        <f ca="1">"C"&amp;O21&amp;"=Pay(Max("&amp;$N$1&amp;"("&amp;$M29&amp;")-"&amp;O13&amp;",0.0),"&amp;$M29&amp;")"</f>
        <v>C10Jan201818186=Pay(Max(GasWinter(10Jan2018)-18.1859696633154,0.0),10Jan2018)</v>
      </c>
      <c r="P29" s="48" t="str">
        <f ca="1">"C"&amp;P21&amp;"=Pay(Max("&amp;$N$1&amp;"("&amp;$M29&amp;")-"&amp;P13&amp;",0.0),"&amp;$M29&amp;")"</f>
        <v>C10Jan201818353=Pay(Max(GasWinter(10Jan2018)-18.3529338806374,0.0),10Jan2018)</v>
      </c>
      <c r="Q29" s="48" t="str">
        <f ca="1">"C"&amp;Q21&amp;"=Pay(Max("&amp;$N$1&amp;"("&amp;$M29&amp;")-"&amp;Q13&amp;",0.0),"&amp;$M29&amp;")"</f>
        <v>C10Jan201818585=Pay(Max(GasWinter(10Jan2018)-18.5852475470541,0.0),10Jan2018)</v>
      </c>
      <c r="R29" s="48" t="str">
        <f ca="1">"C"&amp;R21&amp;"=Pay(Max("&amp;$N$1&amp;"("&amp;$M29&amp;")-"&amp;R13&amp;",0.0),"&amp;$M29&amp;")"</f>
        <v>C10Jan201818767=Pay(Max(GasWinter(10Jan2018)-18.7672660893989,0.0),10Jan2018)</v>
      </c>
      <c r="S29" s="48" t="str">
        <f ca="1">"C"&amp;S21&amp;"=Pay(Max("&amp;$N$1&amp;"("&amp;$M29&amp;")-"&amp;S13&amp;",0.0),"&amp;$M29&amp;")"</f>
        <v>C10Jan201819000=Pay(Max(GasWinter(10Jan2018)-19,0.0),10Jan2018)</v>
      </c>
      <c r="T29" s="48" t="str">
        <f ca="1">"C"&amp;T21&amp;"=Pay(Max("&amp;$N$1&amp;"("&amp;$M29&amp;")-"&amp;T13&amp;",0.0),"&amp;$M29&amp;")"</f>
        <v>C10Jan201819271=Pay(Max(GasWinter(10Jan2018)-19.2710577523084,0.0),10Jan2018)</v>
      </c>
      <c r="U29" s="48" t="str">
        <f ca="1">"C"&amp;U21&amp;"=Pay(Max("&amp;$N$1&amp;"("&amp;$M29&amp;")-"&amp;U13&amp;",0.0),"&amp;$M29&amp;")"</f>
        <v>C10Jan201819487=Pay(Max(GasWinter(10Jan2018)-19.4868056402606,0.0),10Jan2018)</v>
      </c>
      <c r="V29" s="48" t="str">
        <f ca="1">"C"&amp;V21&amp;"=Pay(Max("&amp;$N$1&amp;"("&amp;$M29&amp;")-"&amp;V13&amp;",0.0),"&amp;$M29&amp;")"</f>
        <v>C10Jan201819781=Pay(Max(GasWinter(10Jan2018)-19.7808224463164,0.0),10Jan2018)</v>
      </c>
      <c r="W29" s="48" t="str">
        <f ca="1">"C"&amp;W21&amp;"=Pay(Max("&amp;$N$1&amp;"("&amp;$M29&amp;")-"&amp;W13&amp;",0.0),"&amp;$M29&amp;")"</f>
        <v>C10Jan201820010=Pay(Max(GasWinter(10Jan2018)-20.0096291064786,0.0),10Jan2018)</v>
      </c>
      <c r="X29" s="54" t="str">
        <f ca="1">"C"&amp;X21&amp;"=Pay(Max("&amp;$N$1&amp;"("&amp;$M29&amp;")-"&amp;X13&amp;",0.0),"&amp;$M29&amp;")"</f>
        <v>C10Jan201820361=Pay(Max(GasWinter(10Jan2018)-20.3614896409029,0.0),10Jan2018)</v>
      </c>
    </row>
    <row r="30" spans="2:24">
      <c r="B30" s="7" t="s">
        <v>12</v>
      </c>
      <c r="C30" s="26"/>
      <c r="D30" s="28">
        <v>40000</v>
      </c>
      <c r="J30" s="44"/>
      <c r="K30" s="71" t="str">
        <f>K22</f>
        <v>6m</v>
      </c>
      <c r="L30" s="59">
        <f>_xll.qlCalendarAdvance("NullCalendar",$D$2,K30)</f>
        <v>43200</v>
      </c>
      <c r="M30" s="60" t="str">
        <f>TEXT(L30,"[$-en-EN]TTMMMJJJ")</f>
        <v>10Apr2018</v>
      </c>
      <c r="N30" s="67" t="str">
        <f ca="1">"C"&amp;N22&amp;"=Pay(Max("&amp;$N$1&amp;"("&amp;$M30&amp;")-"&amp;N14&amp;",0.0),"&amp;$M30&amp;")"</f>
        <v>C10Apr201817340=Pay(Max(GasWinter(10Apr2018)-17.3397753330473,0.0),10Apr2018)</v>
      </c>
      <c r="O30" s="48" t="str">
        <f ca="1">"C"&amp;O22&amp;"=Pay(Max("&amp;$N$1&amp;"("&amp;$M30&amp;")-"&amp;O14&amp;",0.0),"&amp;$M30&amp;")"</f>
        <v>C10Apr201817757=Pay(Max(GasWinter(10Apr2018)-17.7565758879716,0.0),10Apr2018)</v>
      </c>
      <c r="P30" s="48" t="str">
        <f ca="1">"C"&amp;P22&amp;"=Pay(Max("&amp;$N$1&amp;"("&amp;$M30&amp;")-"&amp;P14&amp;",0.0),"&amp;$M30&amp;")"</f>
        <v>C10Apr201818023=Pay(Max(GasWinter(10Apr2018)-18.022955635235,0.0),10Apr2018)</v>
      </c>
      <c r="Q30" s="48" t="str">
        <f ca="1">"C"&amp;Q22&amp;"=Pay(Max("&amp;$N$1&amp;"("&amp;$M30&amp;")-"&amp;Q14&amp;",0.0),"&amp;$M30&amp;")"</f>
        <v>C10Apr201818378=Pay(Max(GasWinter(10Apr2018)-18.3779751837547,0.0),10Apr2018)</v>
      </c>
      <c r="R30" s="48" t="str">
        <f ca="1">"C"&amp;R22&amp;"=Pay(Max("&amp;$N$1&amp;"("&amp;$M30&amp;")-"&amp;R14&amp;",0.0),"&amp;$M30&amp;")"</f>
        <v>C10Apr201818657=Pay(Max(GasWinter(10Apr2018)-18.6568222462538,0.0),10Apr2018)</v>
      </c>
      <c r="S30" s="48" t="str">
        <f ca="1">"C"&amp;S22&amp;"=Pay(Max("&amp;$N$1&amp;"("&amp;$M30&amp;")-"&amp;S14&amp;",0.0),"&amp;$M30&amp;")"</f>
        <v>C10Apr201819000=Pay(Max(GasWinter(10Apr2018)-19,0.0),10Apr2018)</v>
      </c>
      <c r="T30" s="48" t="str">
        <f ca="1">"C"&amp;T22&amp;"=Pay(Max("&amp;$N$1&amp;"("&amp;$M30&amp;")-"&amp;T14&amp;",0.0),"&amp;$M30&amp;")"</f>
        <v>C10Apr201819417=Pay(Max(GasWinter(10Apr2018)-19.4168215069379,0.0),10Apr2018)</v>
      </c>
      <c r="U30" s="48" t="str">
        <f ca="1">"C"&amp;U22&amp;"=Pay(Max("&amp;$N$1&amp;"("&amp;$M30&amp;")-"&amp;U14&amp;",0.0),"&amp;$M30&amp;")"</f>
        <v>C10Apr201819748=Pay(Max(GasWinter(10Apr2018)-19.7475330677867,0.0),10Apr2018)</v>
      </c>
      <c r="V30" s="48" t="str">
        <f ca="1">"C"&amp;V22&amp;"=Pay(Max("&amp;$N$1&amp;"("&amp;$M30&amp;")-"&amp;V14&amp;",0.0),"&amp;$M30&amp;")"</f>
        <v>C10Apr201820209=Pay(Max(GasWinter(10Apr2018)-20.2090042371878,0.0),10Apr2018)</v>
      </c>
      <c r="W30" s="48" t="str">
        <f ca="1">"C"&amp;W22&amp;"=Pay(Max("&amp;$N$1&amp;"("&amp;$M30&amp;")-"&amp;W14&amp;",0.0),"&amp;$M30&amp;")"</f>
        <v>C10Apr201820583=Pay(Max(GasWinter(10Apr2018)-20.5828763025253,0.0),10Apr2018)</v>
      </c>
      <c r="X30" s="54" t="str">
        <f ca="1">"C"&amp;X22&amp;"=Pay(Max("&amp;$N$1&amp;"("&amp;$M30&amp;")-"&amp;X14&amp;",0.0),"&amp;$M30&amp;")"</f>
        <v>C10Apr201821170=Pay(Max(GasWinter(10Apr2018)-21.1695003690861,0.0),10Apr2018)</v>
      </c>
    </row>
    <row r="31" spans="2:24">
      <c r="B31" s="7" t="s">
        <v>13</v>
      </c>
      <c r="C31" s="26"/>
      <c r="D31" s="28">
        <v>1</v>
      </c>
      <c r="E31" s="219"/>
      <c r="F31" s="219"/>
      <c r="J31" s="44"/>
      <c r="K31" s="71" t="str">
        <f>K23</f>
        <v>9m</v>
      </c>
      <c r="L31" s="59">
        <f>_xll.qlCalendarAdvance("NullCalendar",$D$2,K31)</f>
        <v>43291</v>
      </c>
      <c r="M31" s="60" t="str">
        <f>TEXT(L31,"[$-en-EN]TTMMMJJJ")</f>
        <v>10Jul2018</v>
      </c>
      <c r="N31" s="67" t="str">
        <f ca="1">"C"&amp;N23&amp;"=Pay(Max("&amp;$N$1&amp;"("&amp;$M31&amp;")-"&amp;N15&amp;",0.0),"&amp;$M31&amp;")"</f>
        <v>C10Jul201816909=Pay(Max(GasWinter(10Jul2018)-16.9089551305665,0.0),10Jul2018)</v>
      </c>
      <c r="O31" s="48" t="str">
        <f ca="1">"C"&amp;O23&amp;"=Pay(Max("&amp;$N$1&amp;"("&amp;$M31&amp;")-"&amp;O15&amp;",0.0),"&amp;$M31&amp;")"</f>
        <v>C10Jul201817434=Pay(Max(GasWinter(10Jul2018)-17.4340949116996,0.0),10Jul2018)</v>
      </c>
      <c r="P31" s="48" t="str">
        <f ca="1">"C"&amp;P23&amp;"=Pay(Max("&amp;$N$1&amp;"("&amp;$M31&amp;")-"&amp;P15&amp;",0.0),"&amp;$M31&amp;")"</f>
        <v>C10Jul201817780=Pay(Max(GasWinter(10Jul2018)-17.7796935836611,0.0),10Jul2018)</v>
      </c>
      <c r="Q31" s="48" t="str">
        <f ca="1">"C"&amp;Q23&amp;"=Pay(Max("&amp;$N$1&amp;"("&amp;$M31&amp;")-"&amp;Q15&amp;",0.0),"&amp;$M31&amp;")"</f>
        <v>C10Jul201818233=Pay(Max(GasWinter(10Jul2018)-18.2325777228899,0.0),10Jul2018)</v>
      </c>
      <c r="R31" s="48" t="str">
        <f ca="1">"C"&amp;R23&amp;"=Pay(Max("&amp;$N$1&amp;"("&amp;$M31&amp;")-"&amp;R15&amp;",0.0),"&amp;$M31&amp;")"</f>
        <v>C10Jul201818580=Pay(Max(GasWinter(10Jul2018)-18.5795366537989,0.0),10Jul2018)</v>
      </c>
      <c r="S31" s="48" t="str">
        <f ca="1">"C"&amp;S23&amp;"=Pay(Max("&amp;$N$1&amp;"("&amp;$M31&amp;")-"&amp;S15&amp;",0.0),"&amp;$M31&amp;")"</f>
        <v>C10Jul201819000=Pay(Max(GasWinter(10Jul2018)-19,0.0),10Jul2018)</v>
      </c>
      <c r="T31" s="48" t="str">
        <f ca="1">"C"&amp;T23&amp;"=Pay(Max("&amp;$N$1&amp;"("&amp;$M31&amp;")-"&amp;T15&amp;",0.0),"&amp;$M31&amp;")"</f>
        <v>C10Jul201819533=Pay(Max(GasWinter(10Jul2018)-19.5326079767889,0.0),10Jul2018)</v>
      </c>
      <c r="U31" s="48" t="str">
        <f ca="1">"C"&amp;U23&amp;"=Pay(Max("&amp;$N$1&amp;"("&amp;$M31&amp;")-"&amp;U15&amp;",0.0),"&amp;$M31&amp;")"</f>
        <v>C10Jul201819954=Pay(Max(GasWinter(10Jul2018)-19.9535751294219,0.0),10Jul2018)</v>
      </c>
      <c r="V31" s="48" t="str">
        <f ca="1">"C"&amp;V23&amp;"=Pay(Max("&amp;$N$1&amp;"("&amp;$M31&amp;")-"&amp;V15&amp;",0.0),"&amp;$M31&amp;")"</f>
        <v>C10Jul201820540=Pay(Max(GasWinter(10Jul2018)-20.5399320915576,0.0),10Jul2018)</v>
      </c>
      <c r="W31" s="48" t="str">
        <f ca="1">"C"&amp;W23&amp;"=Pay(Max("&amp;$N$1&amp;"("&amp;$M31&amp;")-"&amp;W15&amp;",0.0),"&amp;$M31&amp;")"</f>
        <v>C10Jul201821044=Pay(Max(GasWinter(10Jul2018)-21.0443172505062,0.0),10Jul2018)</v>
      </c>
      <c r="X31" s="54" t="str">
        <f ca="1">"C"&amp;X23&amp;"=Pay(Max("&amp;$N$1&amp;"("&amp;$M31&amp;")-"&amp;X15&amp;",0.0),"&amp;$M31&amp;")"</f>
        <v>C10Jul201821828=Pay(Max(GasWinter(10Jul2018)-21.8280019236164,0.0),10Jul2018)</v>
      </c>
    </row>
    <row r="32" spans="2:24">
      <c r="B32" s="7" t="s">
        <v>14</v>
      </c>
      <c r="C32" s="26"/>
      <c r="D32" s="27" t="b">
        <v>1</v>
      </c>
      <c r="J32" s="44"/>
      <c r="K32" s="72" t="str">
        <f>K24</f>
        <v>1y</v>
      </c>
      <c r="L32" s="61">
        <f>_xll.qlCalendarAdvance("NullCalendar",$D$2,K32)</f>
        <v>43383</v>
      </c>
      <c r="M32" s="62" t="str">
        <f>TEXT(L32,"[$-en-EN]TTMMMJJJ")</f>
        <v>10Oct2018</v>
      </c>
      <c r="N32" s="68" t="str">
        <f ca="1">"C"&amp;N24&amp;"=Pay(Max("&amp;$N$1&amp;"("&amp;$M32&amp;")-"&amp;N16&amp;",0.0),"&amp;$M32&amp;")"</f>
        <v>C10Oct201816503=Pay(Max(GasWinter(10Oct2018)-16.5033577491989,0.0),10Oct2018)</v>
      </c>
      <c r="O32" s="69" t="str">
        <f ca="1">"C"&amp;O24&amp;"=Pay(Max("&amp;$N$1&amp;"("&amp;$M32&amp;")-"&amp;O16&amp;",0.0),"&amp;$M32&amp;")"</f>
        <v>C10Oct201817162=Pay(Max(GasWinter(10Oct2018)-17.1622765424929,0.0),10Oct2018)</v>
      </c>
      <c r="P32" s="69" t="str">
        <f ca="1">"C"&amp;P24&amp;"=Pay(Max("&amp;$N$1&amp;"("&amp;$M32&amp;")-"&amp;P16&amp;",0.0),"&amp;$M32&amp;")"</f>
        <v>C10Oct201817583=Pay(Max(GasWinter(10Oct2018)-17.5828984329744,0.0),10Oct2018)</v>
      </c>
      <c r="Q32" s="69" t="str">
        <f ca="1">"C"&amp;Q24&amp;"=Pay(Max("&amp;$N$1&amp;"("&amp;$M32&amp;")-"&amp;Q16&amp;",0.0),"&amp;$M32&amp;")"</f>
        <v>C10Oct201818109=Pay(Max(GasWinter(10Oct2018)-18.1092893794308,0.0),10Oct2018)</v>
      </c>
      <c r="R32" s="69" t="str">
        <f ca="1">"C"&amp;R24&amp;"=Pay(Max("&amp;$N$1&amp;"("&amp;$M32&amp;")-"&amp;R16&amp;",0.0),"&amp;$M32&amp;")"</f>
        <v>C10Oct201818515=Pay(Max(GasWinter(10Oct2018)-18.514560443164,0.0),10Oct2018)</v>
      </c>
      <c r="S32" s="69" t="str">
        <f ca="1">"C"&amp;S24&amp;"=Pay(Max("&amp;$N$1&amp;"("&amp;$M32&amp;")-"&amp;S16&amp;",0.0),"&amp;$M32&amp;")"</f>
        <v>C10Oct201819000=Pay(Max(GasWinter(10Oct2018)-19,0.0),10Oct2018)</v>
      </c>
      <c r="T32" s="69" t="str">
        <f ca="1">"C"&amp;T24&amp;"=Pay(Max("&amp;$N$1&amp;"("&amp;$M32&amp;")-"&amp;T16&amp;",0.0),"&amp;$M32&amp;")"</f>
        <v>C10Oct201819635=Pay(Max(GasWinter(10Oct2018)-19.6351819366139,0.0),10Oct2018)</v>
      </c>
      <c r="U32" s="69" t="str">
        <f ca="1">"C"&amp;U24&amp;"=Pay(Max("&amp;$N$1&amp;"("&amp;$M32&amp;")-"&amp;U16&amp;",0.0),"&amp;$M32&amp;")"</f>
        <v>C10Oct201820134=Pay(Max(GasWinter(10Oct2018)-20.1343780113918,0.0),10Oct2018)</v>
      </c>
      <c r="V32" s="69" t="str">
        <f ca="1">"C"&amp;V24&amp;"=Pay(Max("&amp;$N$1&amp;"("&amp;$M32&amp;")-"&amp;V16&amp;",0.0),"&amp;$M32&amp;")"</f>
        <v>C10Oct201820853=Pay(Max(GasWinter(10Oct2018)-20.8529360784485,0.0),10Oct2018)</v>
      </c>
      <c r="W32" s="69" t="str">
        <f ca="1">"C"&amp;W24&amp;"=Pay(Max("&amp;$N$1&amp;"("&amp;$M32&amp;")-"&amp;W16&amp;",0.0),"&amp;$M32&amp;")"</f>
        <v>C10Oct201821456=Pay(Max(GasWinter(10Oct2018)-21.4558410775215,0.0),10Oct2018)</v>
      </c>
      <c r="X32" s="56" t="str">
        <f ca="1">"C"&amp;X24&amp;"=Pay(Max("&amp;$N$1&amp;"("&amp;$M32&amp;")-"&amp;X16&amp;",0.0),"&amp;$M32&amp;")"</f>
        <v>C10Oct201822418=Pay(Max(GasWinter(10Oct2018)-22.4175497254985,0.0),10Oct2018)</v>
      </c>
    </row>
    <row r="33" spans="2:24">
      <c r="B33" s="7" t="s">
        <v>15</v>
      </c>
      <c r="C33" s="26"/>
      <c r="D33" s="27" t="b">
        <v>1</v>
      </c>
      <c r="J33" s="44"/>
    </row>
    <row r="34" spans="2:24">
      <c r="B34" s="7" t="s">
        <v>16</v>
      </c>
      <c r="C34" s="26"/>
      <c r="D34" s="27" t="b">
        <v>0</v>
      </c>
      <c r="E34" t="str">
        <f>_xll.ohRangeRetrieveError(D36)</f>
        <v/>
      </c>
      <c r="K34" s="1" t="s">
        <v>36</v>
      </c>
      <c r="L34" s="2"/>
      <c r="M34" s="47"/>
      <c r="N34" s="4" t="s">
        <v>31</v>
      </c>
      <c r="O34" s="19"/>
      <c r="P34" s="19"/>
      <c r="Q34" s="19"/>
      <c r="R34" s="19"/>
      <c r="S34" s="19"/>
      <c r="T34" s="19"/>
      <c r="U34" s="19"/>
      <c r="V34" s="19"/>
      <c r="W34" s="19"/>
      <c r="X34" s="40"/>
    </row>
    <row r="35" spans="2:24">
      <c r="B35" s="10" t="s">
        <v>17</v>
      </c>
      <c r="C35" s="21"/>
      <c r="D35" s="213" t="str">
        <f>_xll.qlRealMCSimulation(,D24,B40:B97,B40:B97,D30,D31,D32,D33,D34)</f>
        <v>obj_0067a#0007</v>
      </c>
      <c r="K35" s="49" t="s">
        <v>25</v>
      </c>
      <c r="L35" s="50" t="s">
        <v>30</v>
      </c>
      <c r="M35" s="50" t="s">
        <v>4</v>
      </c>
      <c r="N35" s="72">
        <f ca="1">N27</f>
        <v>-0.05</v>
      </c>
      <c r="O35" s="73">
        <f ca="1">O27</f>
        <v>-0.1</v>
      </c>
      <c r="P35" s="73">
        <f ca="1">P27</f>
        <v>-0.15</v>
      </c>
      <c r="Q35" s="73">
        <f ca="1">Q27</f>
        <v>-0.25</v>
      </c>
      <c r="R35" s="73">
        <f ca="1">R27</f>
        <v>-0.35</v>
      </c>
      <c r="S35" s="73" t="str">
        <f ca="1">S27</f>
        <v>ATM</v>
      </c>
      <c r="T35" s="73">
        <f ca="1">T27</f>
        <v>0.35</v>
      </c>
      <c r="U35" s="73">
        <f ca="1">U27</f>
        <v>0.25</v>
      </c>
      <c r="V35" s="73">
        <f ca="1">V27</f>
        <v>0.15</v>
      </c>
      <c r="W35" s="73">
        <f ca="1">W27</f>
        <v>0.1</v>
      </c>
      <c r="X35" s="62">
        <f ca="1">X27</f>
        <v>0.05</v>
      </c>
    </row>
    <row r="36" spans="2:24">
      <c r="B36" s="13" t="s">
        <v>18</v>
      </c>
      <c r="C36" s="19"/>
      <c r="D36" s="226" t="b">
        <f>_xll.qlRealMCSimulationSimulate(D35)</f>
        <v>1</v>
      </c>
      <c r="K36" s="70" t="str">
        <f>K28</f>
        <v>1m</v>
      </c>
      <c r="L36" s="57">
        <f>_xll.qlCalendarAdvance("NullCalendar",$D$2,K36)</f>
        <v>43049</v>
      </c>
      <c r="M36" s="58" t="str">
        <f>TEXT(L36,"[$-en-EN]TTMMMJJJ")</f>
        <v>10Nov2017</v>
      </c>
      <c r="N36" s="65" t="str">
        <f ca="1">"P"&amp;N20&amp;"=Pay(Max("&amp;N12&amp;"-"&amp;$N$1&amp;"("&amp;$M36&amp;"),0.0),"&amp;$M36&amp;")"</f>
        <v>P10Nov201718400=Pay(Max(18.4003631317868-GasWinter(10Nov2017),0.0),10Nov2017)</v>
      </c>
      <c r="O36" s="66" t="str">
        <f ca="1">"P"&amp;O20&amp;"=Pay(Max("&amp;O12&amp;"-"&amp;$N$1&amp;"("&amp;$M36&amp;"),0.0),"&amp;$M36&amp;")"</f>
        <v>P10Nov201718541=Pay(Max(18.540807269319-GasWinter(10Nov2017),0.0),10Nov2017)</v>
      </c>
      <c r="P36" s="66" t="str">
        <f ca="1">"P"&amp;P20&amp;"=Pay(Max("&amp;P12&amp;"-"&amp;$N$1&amp;"("&amp;$M36&amp;"),0.0),"&amp;$M36&amp;")"</f>
        <v>P10Nov201718632=Pay(Max(18.6317971382967-GasWinter(10Nov2017),0.0),10Nov2017)</v>
      </c>
      <c r="Q36" s="66" t="str">
        <f ca="1">"P"&amp;Q20&amp;"=Pay(Max("&amp;Q12&amp;"-"&amp;$N$1&amp;"("&amp;$M36&amp;"),0.0),"&amp;$M36&amp;")"</f>
        <v>P10Nov201718763=Pay(Max(18.7626881439305-GasWinter(10Nov2017),0.0),10Nov2017)</v>
      </c>
      <c r="R36" s="66" t="str">
        <f ca="1">"P"&amp;R20&amp;"=Pay(Max("&amp;R12&amp;"-"&amp;$N$1&amp;"("&amp;$M36&amp;"),0.0),"&amp;$M36&amp;")"</f>
        <v>P10Nov201718865=Pay(Max(18.865367431836-GasWinter(10Nov2017),0.0),10Nov2017)</v>
      </c>
      <c r="S36" s="66" t="str">
        <f ca="1">"P"&amp;S20&amp;"=Pay(Max("&amp;S12&amp;"-"&amp;$N$1&amp;"("&amp;$M36&amp;"),0.0),"&amp;$M36&amp;")"</f>
        <v>P10Nov201719000=Pay(Max(19-GasWinter(10Nov2017),0.0),10Nov2017)</v>
      </c>
      <c r="T36" s="66" t="str">
        <f ca="1">"P"&amp;T20&amp;"=Pay(Max("&amp;T12&amp;"-"&amp;$N$1&amp;"("&amp;$M36&amp;"),0.0),"&amp;$M36&amp;")"</f>
        <v>P10Nov201719150=Pay(Max(19.1498512374314-GasWinter(10Nov2017),0.0),10Nov2017)</v>
      </c>
      <c r="U36" s="66" t="str">
        <f ca="1">"P"&amp;U20&amp;"=Pay(Max("&amp;U12&amp;"-"&amp;$N$1&amp;"("&amp;$M36&amp;"),0.0),"&amp;$M36&amp;")"</f>
        <v>P10Nov201719269=Pay(Max(19.2694737018846-GasWinter(10Nov2017),0.0),10Nov2017)</v>
      </c>
      <c r="V36" s="66" t="str">
        <f ca="1">"P"&amp;V20&amp;"=Pay(Max("&amp;V12&amp;"-"&amp;$N$1&amp;"("&amp;$M36&amp;"),0.0),"&amp;$M36&amp;")"</f>
        <v>P10Nov201719428=Pay(Max(19.4279893318213-GasWinter(10Nov2017),0.0),10Nov2017)</v>
      </c>
      <c r="W36" s="66" t="str">
        <f ca="1">"P"&amp;W20&amp;"=Pay(Max("&amp;W12&amp;"-"&amp;$N$1&amp;"("&amp;$M36&amp;"),0.0),"&amp;$M36&amp;")"</f>
        <v>P10Nov201719551=Pay(Max(19.5510883289547-GasWinter(10Nov2017),0.0),10Nov2017)</v>
      </c>
      <c r="X36" s="52" t="str">
        <f ca="1">"P"&amp;X20&amp;"=Pay(Max("&amp;X12&amp;"-"&amp;$N$1&amp;"("&amp;$M36&amp;"),0.0),"&amp;$M36&amp;")"</f>
        <v>P10Nov201719739=Pay(Max(19.7385472566761-GasWinter(10Nov2017),0.0),10Nov2017)</v>
      </c>
    </row>
    <row r="37" spans="2:24">
      <c r="B37" s="29" t="s">
        <v>19</v>
      </c>
      <c r="C37" s="26"/>
      <c r="D37" s="30" t="b">
        <v>1</v>
      </c>
      <c r="E37" s="18"/>
      <c r="F37" s="18"/>
      <c r="K37" s="71" t="str">
        <f>K29</f>
        <v>3m</v>
      </c>
      <c r="L37" s="59">
        <f>_xll.qlCalendarAdvance("NullCalendar",$D$2,K37)</f>
        <v>43110</v>
      </c>
      <c r="M37" s="60" t="str">
        <f>TEXT(L37,"[$-en-EN]TTMMMJJJ")</f>
        <v>10Jan2018</v>
      </c>
      <c r="N37" s="67" t="str">
        <f ca="1">"P"&amp;N21&amp;"=Pay(Max("&amp;N13&amp;"-"&amp;$N$1&amp;"("&amp;$M37&amp;"),0.0),"&amp;$M37&amp;")"</f>
        <v>P10Jan201817935=Pay(Max(17.934772818301-GasWinter(10Jan2018),0.0),10Jan2018)</v>
      </c>
      <c r="O37" s="48" t="str">
        <f ca="1">"P"&amp;O21&amp;"=Pay(Max("&amp;O13&amp;"-"&amp;$N$1&amp;"("&amp;$M37&amp;"),0.0),"&amp;$M37&amp;")"</f>
        <v>P10Jan201818186=Pay(Max(18.1859696633154-GasWinter(10Jan2018),0.0),10Jan2018)</v>
      </c>
      <c r="P37" s="48" t="str">
        <f ca="1">"P"&amp;P21&amp;"=Pay(Max("&amp;P13&amp;"-"&amp;$N$1&amp;"("&amp;$M37&amp;"),0.0),"&amp;$M37&amp;")"</f>
        <v>P10Jan201818353=Pay(Max(18.3529338806374-GasWinter(10Jan2018),0.0),10Jan2018)</v>
      </c>
      <c r="Q37" s="48" t="str">
        <f ca="1">"P"&amp;Q21&amp;"=Pay(Max("&amp;Q13&amp;"-"&amp;$N$1&amp;"("&amp;$M37&amp;"),0.0),"&amp;$M37&amp;")"</f>
        <v>P10Jan201818585=Pay(Max(18.5852475470541-GasWinter(10Jan2018),0.0),10Jan2018)</v>
      </c>
      <c r="R37" s="48" t="str">
        <f ca="1">"P"&amp;R21&amp;"=Pay(Max("&amp;R13&amp;"-"&amp;$N$1&amp;"("&amp;$M37&amp;"),0.0),"&amp;$M37&amp;")"</f>
        <v>P10Jan201818767=Pay(Max(18.7672660893989-GasWinter(10Jan2018),0.0),10Jan2018)</v>
      </c>
      <c r="S37" s="48" t="str">
        <f ca="1">"P"&amp;S21&amp;"=Pay(Max("&amp;S13&amp;"-"&amp;$N$1&amp;"("&amp;$M37&amp;"),0.0),"&amp;$M37&amp;")"</f>
        <v>P10Jan201819000=Pay(Max(19-GasWinter(10Jan2018),0.0),10Jan2018)</v>
      </c>
      <c r="T37" s="48" t="str">
        <f ca="1">"P"&amp;T21&amp;"=Pay(Max("&amp;T13&amp;"-"&amp;$N$1&amp;"("&amp;$M37&amp;"),0.0),"&amp;$M37&amp;")"</f>
        <v>P10Jan201819271=Pay(Max(19.2710577523084-GasWinter(10Jan2018),0.0),10Jan2018)</v>
      </c>
      <c r="U37" s="48" t="str">
        <f ca="1">"P"&amp;U21&amp;"=Pay(Max("&amp;U13&amp;"-"&amp;$N$1&amp;"("&amp;$M37&amp;"),0.0),"&amp;$M37&amp;")"</f>
        <v>P10Jan201819487=Pay(Max(19.4868056402606-GasWinter(10Jan2018),0.0),10Jan2018)</v>
      </c>
      <c r="V37" s="48" t="str">
        <f ca="1">"P"&amp;V21&amp;"=Pay(Max("&amp;V13&amp;"-"&amp;$N$1&amp;"("&amp;$M37&amp;"),0.0),"&amp;$M37&amp;")"</f>
        <v>P10Jan201819781=Pay(Max(19.7808224463164-GasWinter(10Jan2018),0.0),10Jan2018)</v>
      </c>
      <c r="W37" s="48" t="str">
        <f ca="1">"P"&amp;W21&amp;"=Pay(Max("&amp;W13&amp;"-"&amp;$N$1&amp;"("&amp;$M37&amp;"),0.0),"&amp;$M37&amp;")"</f>
        <v>P10Jan201820010=Pay(Max(20.0096291064786-GasWinter(10Jan2018),0.0),10Jan2018)</v>
      </c>
      <c r="X37" s="54" t="str">
        <f ca="1">"P"&amp;X21&amp;"=Pay(Max("&amp;X13&amp;"-"&amp;$N$1&amp;"("&amp;$M37&amp;"),0.0),"&amp;$M37&amp;")"</f>
        <v>P10Jan201820361=Pay(Max(20.3614896409029-GasWinter(10Jan2018),0.0),10Jan2018)</v>
      </c>
    </row>
    <row r="38" spans="2:24">
      <c r="B38" s="15" t="s">
        <v>20</v>
      </c>
      <c r="C38" s="21"/>
      <c r="D38" s="31" t="b">
        <f>IF(D37,_xll.qlRealMCSimulationCalcAssetAdjuster(D35,B40:B97,C21:C22,D36),"[DISABLED]")</f>
        <v>1</v>
      </c>
      <c r="E38" s="18"/>
      <c r="F38" s="18"/>
      <c r="K38" s="71" t="str">
        <f>K30</f>
        <v>6m</v>
      </c>
      <c r="L38" s="59">
        <f>_xll.qlCalendarAdvance("NullCalendar",$D$2,K38)</f>
        <v>43200</v>
      </c>
      <c r="M38" s="60" t="str">
        <f>TEXT(L38,"[$-en-EN]TTMMMJJJ")</f>
        <v>10Apr2018</v>
      </c>
      <c r="N38" s="67" t="str">
        <f ca="1">"P"&amp;N22&amp;"=Pay(Max("&amp;N14&amp;"-"&amp;$N$1&amp;"("&amp;$M38&amp;"),0.0),"&amp;$M38&amp;")"</f>
        <v>P10Apr201817340=Pay(Max(17.3397753330473-GasWinter(10Apr2018),0.0),10Apr2018)</v>
      </c>
      <c r="O38" s="48" t="str">
        <f ca="1">"P"&amp;O22&amp;"=Pay(Max("&amp;O14&amp;"-"&amp;$N$1&amp;"("&amp;$M38&amp;"),0.0),"&amp;$M38&amp;")"</f>
        <v>P10Apr201817757=Pay(Max(17.7565758879716-GasWinter(10Apr2018),0.0),10Apr2018)</v>
      </c>
      <c r="P38" s="48" t="str">
        <f ca="1">"P"&amp;P22&amp;"=Pay(Max("&amp;P14&amp;"-"&amp;$N$1&amp;"("&amp;$M38&amp;"),0.0),"&amp;$M38&amp;")"</f>
        <v>P10Apr201818023=Pay(Max(18.022955635235-GasWinter(10Apr2018),0.0),10Apr2018)</v>
      </c>
      <c r="Q38" s="48" t="str">
        <f ca="1">"P"&amp;Q22&amp;"=Pay(Max("&amp;Q14&amp;"-"&amp;$N$1&amp;"("&amp;$M38&amp;"),0.0),"&amp;$M38&amp;")"</f>
        <v>P10Apr201818378=Pay(Max(18.3779751837547-GasWinter(10Apr2018),0.0),10Apr2018)</v>
      </c>
      <c r="R38" s="48" t="str">
        <f ca="1">"P"&amp;R22&amp;"=Pay(Max("&amp;R14&amp;"-"&amp;$N$1&amp;"("&amp;$M38&amp;"),0.0),"&amp;$M38&amp;")"</f>
        <v>P10Apr201818657=Pay(Max(18.6568222462538-GasWinter(10Apr2018),0.0),10Apr2018)</v>
      </c>
      <c r="S38" s="48" t="str">
        <f ca="1">"P"&amp;S22&amp;"=Pay(Max("&amp;S14&amp;"-"&amp;$N$1&amp;"("&amp;$M38&amp;"),0.0),"&amp;$M38&amp;")"</f>
        <v>P10Apr201819000=Pay(Max(19-GasWinter(10Apr2018),0.0),10Apr2018)</v>
      </c>
      <c r="T38" s="48" t="str">
        <f ca="1">"P"&amp;T22&amp;"=Pay(Max("&amp;T14&amp;"-"&amp;$N$1&amp;"("&amp;$M38&amp;"),0.0),"&amp;$M38&amp;")"</f>
        <v>P10Apr201819417=Pay(Max(19.4168215069379-GasWinter(10Apr2018),0.0),10Apr2018)</v>
      </c>
      <c r="U38" s="48" t="str">
        <f ca="1">"P"&amp;U22&amp;"=Pay(Max("&amp;U14&amp;"-"&amp;$N$1&amp;"("&amp;$M38&amp;"),0.0),"&amp;$M38&amp;")"</f>
        <v>P10Apr201819748=Pay(Max(19.7475330677867-GasWinter(10Apr2018),0.0),10Apr2018)</v>
      </c>
      <c r="V38" s="48" t="str">
        <f ca="1">"P"&amp;V22&amp;"=Pay(Max("&amp;V14&amp;"-"&amp;$N$1&amp;"("&amp;$M38&amp;"),0.0),"&amp;$M38&amp;")"</f>
        <v>P10Apr201820209=Pay(Max(20.2090042371878-GasWinter(10Apr2018),0.0),10Apr2018)</v>
      </c>
      <c r="W38" s="48" t="str">
        <f ca="1">"P"&amp;W22&amp;"=Pay(Max("&amp;W14&amp;"-"&amp;$N$1&amp;"("&amp;$M38&amp;"),0.0),"&amp;$M38&amp;")"</f>
        <v>P10Apr201820583=Pay(Max(20.5828763025253-GasWinter(10Apr2018),0.0),10Apr2018)</v>
      </c>
      <c r="X38" s="54" t="str">
        <f ca="1">"P"&amp;X22&amp;"=Pay(Max("&amp;X14&amp;"-"&amp;$N$1&amp;"("&amp;$M38&amp;"),0.0),"&amp;$M38&amp;")"</f>
        <v>P10Apr201821170=Pay(Max(21.1695003690861-GasWinter(10Apr2018),0.0),10Apr2018)</v>
      </c>
    </row>
    <row r="39" spans="2:24">
      <c r="E39" s="18"/>
      <c r="F39" s="18"/>
      <c r="K39" s="71" t="str">
        <f>K31</f>
        <v>9m</v>
      </c>
      <c r="L39" s="59">
        <f>_xll.qlCalendarAdvance("NullCalendar",$D$2,K39)</f>
        <v>43291</v>
      </c>
      <c r="M39" s="60" t="str">
        <f>TEXT(L39,"[$-en-EN]TTMMMJJJ")</f>
        <v>10Jul2018</v>
      </c>
      <c r="N39" s="67" t="str">
        <f ca="1">"P"&amp;N23&amp;"=Pay(Max("&amp;N15&amp;"-"&amp;$N$1&amp;"("&amp;$M39&amp;"),0.0),"&amp;$M39&amp;")"</f>
        <v>P10Jul201816909=Pay(Max(16.9089551305665-GasWinter(10Jul2018),0.0),10Jul2018)</v>
      </c>
      <c r="O39" s="48" t="str">
        <f ca="1">"P"&amp;O23&amp;"=Pay(Max("&amp;O15&amp;"-"&amp;$N$1&amp;"("&amp;$M39&amp;"),0.0),"&amp;$M39&amp;")"</f>
        <v>P10Jul201817434=Pay(Max(17.4340949116996-GasWinter(10Jul2018),0.0),10Jul2018)</v>
      </c>
      <c r="P39" s="48" t="str">
        <f ca="1">"P"&amp;P23&amp;"=Pay(Max("&amp;P15&amp;"-"&amp;$N$1&amp;"("&amp;$M39&amp;"),0.0),"&amp;$M39&amp;")"</f>
        <v>P10Jul201817780=Pay(Max(17.7796935836611-GasWinter(10Jul2018),0.0),10Jul2018)</v>
      </c>
      <c r="Q39" s="48" t="str">
        <f ca="1">"P"&amp;Q23&amp;"=Pay(Max("&amp;Q15&amp;"-"&amp;$N$1&amp;"("&amp;$M39&amp;"),0.0),"&amp;$M39&amp;")"</f>
        <v>P10Jul201818233=Pay(Max(18.2325777228899-GasWinter(10Jul2018),0.0),10Jul2018)</v>
      </c>
      <c r="R39" s="48" t="str">
        <f ca="1">"P"&amp;R23&amp;"=Pay(Max("&amp;R15&amp;"-"&amp;$N$1&amp;"("&amp;$M39&amp;"),0.0),"&amp;$M39&amp;")"</f>
        <v>P10Jul201818580=Pay(Max(18.5795366537989-GasWinter(10Jul2018),0.0),10Jul2018)</v>
      </c>
      <c r="S39" s="48" t="str">
        <f ca="1">"P"&amp;S23&amp;"=Pay(Max("&amp;S15&amp;"-"&amp;$N$1&amp;"("&amp;$M39&amp;"),0.0),"&amp;$M39&amp;")"</f>
        <v>P10Jul201819000=Pay(Max(19-GasWinter(10Jul2018),0.0),10Jul2018)</v>
      </c>
      <c r="T39" s="48" t="str">
        <f ca="1">"P"&amp;T23&amp;"=Pay(Max("&amp;T15&amp;"-"&amp;$N$1&amp;"("&amp;$M39&amp;"),0.0),"&amp;$M39&amp;")"</f>
        <v>P10Jul201819533=Pay(Max(19.5326079767889-GasWinter(10Jul2018),0.0),10Jul2018)</v>
      </c>
      <c r="U39" s="48" t="str">
        <f ca="1">"P"&amp;U23&amp;"=Pay(Max("&amp;U15&amp;"-"&amp;$N$1&amp;"("&amp;$M39&amp;"),0.0),"&amp;$M39&amp;")"</f>
        <v>P10Jul201819954=Pay(Max(19.9535751294219-GasWinter(10Jul2018),0.0),10Jul2018)</v>
      </c>
      <c r="V39" s="48" t="str">
        <f ca="1">"P"&amp;V23&amp;"=Pay(Max("&amp;V15&amp;"-"&amp;$N$1&amp;"("&amp;$M39&amp;"),0.0),"&amp;$M39&amp;")"</f>
        <v>P10Jul201820540=Pay(Max(20.5399320915576-GasWinter(10Jul2018),0.0),10Jul2018)</v>
      </c>
      <c r="W39" s="48" t="str">
        <f ca="1">"P"&amp;W23&amp;"=Pay(Max("&amp;W15&amp;"-"&amp;$N$1&amp;"("&amp;$M39&amp;"),0.0),"&amp;$M39&amp;")"</f>
        <v>P10Jul201821044=Pay(Max(21.0443172505062-GasWinter(10Jul2018),0.0),10Jul2018)</v>
      </c>
      <c r="X39" s="54" t="str">
        <f ca="1">"P"&amp;X23&amp;"=Pay(Max("&amp;X15&amp;"-"&amp;$N$1&amp;"("&amp;$M39&amp;"),0.0),"&amp;$M39&amp;")"</f>
        <v>P10Jul201821828=Pay(Max(21.8280019236164-GasWinter(10Jul2018),0.0),10Jul2018)</v>
      </c>
    </row>
    <row r="40" spans="2:24">
      <c r="B40">
        <f t="array" ref="B40:B268">(_xll.qlScheduleDates(D29)-D2)/365</f>
        <v>0</v>
      </c>
      <c r="E40" s="18"/>
      <c r="F40" s="18"/>
      <c r="K40" s="72" t="str">
        <f>K32</f>
        <v>1y</v>
      </c>
      <c r="L40" s="61">
        <f>_xll.qlCalendarAdvance("NullCalendar",$D$2,K40)</f>
        <v>43383</v>
      </c>
      <c r="M40" s="62" t="str">
        <f>TEXT(L40,"[$-en-EN]TTMMMJJJ")</f>
        <v>10Oct2018</v>
      </c>
      <c r="N40" s="68" t="str">
        <f ca="1">"P"&amp;N24&amp;"=Pay(Max("&amp;N16&amp;"-"&amp;$N$1&amp;"("&amp;$M40&amp;"),0.0),"&amp;$M40&amp;")"</f>
        <v>P10Oct201816503=Pay(Max(16.5033577491989-GasWinter(10Oct2018),0.0),10Oct2018)</v>
      </c>
      <c r="O40" s="69" t="str">
        <f ca="1">"P"&amp;O24&amp;"=Pay(Max("&amp;O16&amp;"-"&amp;$N$1&amp;"("&amp;$M40&amp;"),0.0),"&amp;$M40&amp;")"</f>
        <v>P10Oct201817162=Pay(Max(17.1622765424929-GasWinter(10Oct2018),0.0),10Oct2018)</v>
      </c>
      <c r="P40" s="69" t="str">
        <f ca="1">"P"&amp;P24&amp;"=Pay(Max("&amp;P16&amp;"-"&amp;$N$1&amp;"("&amp;$M40&amp;"),0.0),"&amp;$M40&amp;")"</f>
        <v>P10Oct201817583=Pay(Max(17.5828984329744-GasWinter(10Oct2018),0.0),10Oct2018)</v>
      </c>
      <c r="Q40" s="69" t="str">
        <f ca="1">"P"&amp;Q24&amp;"=Pay(Max("&amp;Q16&amp;"-"&amp;$N$1&amp;"("&amp;$M40&amp;"),0.0),"&amp;$M40&amp;")"</f>
        <v>P10Oct201818109=Pay(Max(18.1092893794308-GasWinter(10Oct2018),0.0),10Oct2018)</v>
      </c>
      <c r="R40" s="69" t="str">
        <f ca="1">"P"&amp;R24&amp;"=Pay(Max("&amp;R16&amp;"-"&amp;$N$1&amp;"("&amp;$M40&amp;"),0.0),"&amp;$M40&amp;")"</f>
        <v>P10Oct201818515=Pay(Max(18.514560443164-GasWinter(10Oct2018),0.0),10Oct2018)</v>
      </c>
      <c r="S40" s="69" t="str">
        <f ca="1">"P"&amp;S24&amp;"=Pay(Max("&amp;S16&amp;"-"&amp;$N$1&amp;"("&amp;$M40&amp;"),0.0),"&amp;$M40&amp;")"</f>
        <v>P10Oct201819000=Pay(Max(19-GasWinter(10Oct2018),0.0),10Oct2018)</v>
      </c>
      <c r="T40" s="69" t="str">
        <f ca="1">"P"&amp;T24&amp;"=Pay(Max("&amp;T16&amp;"-"&amp;$N$1&amp;"("&amp;$M40&amp;"),0.0),"&amp;$M40&amp;")"</f>
        <v>P10Oct201819635=Pay(Max(19.6351819366139-GasWinter(10Oct2018),0.0),10Oct2018)</v>
      </c>
      <c r="U40" s="69" t="str">
        <f ca="1">"P"&amp;U24&amp;"=Pay(Max("&amp;U16&amp;"-"&amp;$N$1&amp;"("&amp;$M40&amp;"),0.0),"&amp;$M40&amp;")"</f>
        <v>P10Oct201820134=Pay(Max(20.1343780113918-GasWinter(10Oct2018),0.0),10Oct2018)</v>
      </c>
      <c r="V40" s="69" t="str">
        <f ca="1">"P"&amp;V24&amp;"=Pay(Max("&amp;V16&amp;"-"&amp;$N$1&amp;"("&amp;$M40&amp;"),0.0),"&amp;$M40&amp;")"</f>
        <v>P10Oct201820853=Pay(Max(20.8529360784485-GasWinter(10Oct2018),0.0),10Oct2018)</v>
      </c>
      <c r="W40" s="69" t="str">
        <f ca="1">"P"&amp;W24&amp;"=Pay(Max("&amp;W16&amp;"-"&amp;$N$1&amp;"("&amp;$M40&amp;"),0.0),"&amp;$M40&amp;")"</f>
        <v>P10Oct201821456=Pay(Max(21.4558410775215-GasWinter(10Oct2018),0.0),10Oct2018)</v>
      </c>
      <c r="X40" s="56" t="str">
        <f ca="1">"P"&amp;X24&amp;"=Pay(Max("&amp;X16&amp;"-"&amp;$N$1&amp;"("&amp;$M40&amp;"),0.0),"&amp;$M40&amp;")"</f>
        <v>P10Oct201822418=Pay(Max(22.4175497254985-GasWinter(10Oct2018),0.0),10Oct2018)</v>
      </c>
    </row>
    <row r="41" spans="2:24">
      <c r="B41">
        <v>1.0958904109589041E-2</v>
      </c>
      <c r="D41" s="18"/>
      <c r="E41" s="18"/>
      <c r="F41" s="18"/>
      <c r="H41" s="39" t="s">
        <v>37</v>
      </c>
      <c r="I41" s="43" t="str">
        <f ca="1">_xll.qlRealMCScript(,H5:H6,I5:I6,N28:X32,TRUE)</f>
        <v>obj_0067b#0006</v>
      </c>
      <c r="N41" s="224"/>
    </row>
    <row r="42" spans="2:24">
      <c r="B42">
        <v>3.0136986301369864E-2</v>
      </c>
      <c r="D42" s="18"/>
      <c r="E42" s="18"/>
      <c r="F42" s="18"/>
      <c r="H42" s="39" t="s">
        <v>38</v>
      </c>
      <c r="I42" s="43" t="str">
        <f ca="1">_xll.qlRealMCScript(,H5:H6,I5:I6,N36:X40,TRUE)</f>
        <v>obj_0067c#0006</v>
      </c>
      <c r="K42" s="1" t="s">
        <v>41</v>
      </c>
      <c r="L42" s="2"/>
      <c r="M42" s="47"/>
      <c r="N42" s="4" t="s">
        <v>31</v>
      </c>
      <c r="O42" s="19"/>
      <c r="P42" s="19"/>
      <c r="Q42" s="19"/>
      <c r="R42" s="19"/>
      <c r="S42" s="19"/>
      <c r="T42" s="19"/>
      <c r="U42" s="19"/>
      <c r="V42" s="19"/>
      <c r="W42" s="19"/>
      <c r="X42" s="40"/>
    </row>
    <row r="43" spans="2:24">
      <c r="B43">
        <v>4.9315068493150684E-2</v>
      </c>
      <c r="D43" s="18"/>
      <c r="E43" s="18"/>
      <c r="F43" s="18"/>
      <c r="K43" s="49" t="s">
        <v>25</v>
      </c>
      <c r="L43" s="50" t="s">
        <v>30</v>
      </c>
      <c r="M43" s="50" t="s">
        <v>4</v>
      </c>
      <c r="N43" s="72">
        <f ca="1">N35</f>
        <v>-0.05</v>
      </c>
      <c r="O43" s="73">
        <f ca="1">O35</f>
        <v>-0.1</v>
      </c>
      <c r="P43" s="73">
        <f ca="1">P35</f>
        <v>-0.15</v>
      </c>
      <c r="Q43" s="73">
        <f ca="1">Q35</f>
        <v>-0.25</v>
      </c>
      <c r="R43" s="73">
        <f ca="1">R35</f>
        <v>-0.35</v>
      </c>
      <c r="S43" s="73" t="str">
        <f ca="1">S35</f>
        <v>ATM</v>
      </c>
      <c r="T43" s="73">
        <f ca="1">T35</f>
        <v>0.35</v>
      </c>
      <c r="U43" s="73">
        <f ca="1">U35</f>
        <v>0.25</v>
      </c>
      <c r="V43" s="73">
        <f ca="1">V35</f>
        <v>0.15</v>
      </c>
      <c r="W43" s="73">
        <f ca="1">W35</f>
        <v>0.1</v>
      </c>
      <c r="X43" s="62">
        <f ca="1">X35</f>
        <v>0.05</v>
      </c>
    </row>
    <row r="44" spans="2:24">
      <c r="B44">
        <v>6.8493150684931503E-2</v>
      </c>
      <c r="D44" s="18"/>
      <c r="E44" s="18"/>
      <c r="F44" s="18"/>
      <c r="K44" s="70" t="str">
        <f>K36</f>
        <v>1m</v>
      </c>
      <c r="L44" s="57">
        <f>_xll.qlCalendarAdvance("NullCalendar",$D$2,K44)</f>
        <v>43049</v>
      </c>
      <c r="M44" s="58" t="str">
        <f>TEXT(L44,"[$-en-EN]TTMMMJJJ")</f>
        <v>10Nov2017</v>
      </c>
      <c r="N44" s="310">
        <f ca="1">_xll.qlRealMCScriptNPV($I$41,$D$35,"C"&amp;N20,$D$36:$D$38)</f>
        <v>0</v>
      </c>
      <c r="O44" s="75">
        <f ca="1">_xll.qlRealMCScriptNPV($I$41,$D$35,"C"&amp;O20,$D$36:$D$38)</f>
        <v>0</v>
      </c>
      <c r="P44" s="75">
        <f ca="1">_xll.qlRealMCScriptNPV($I$41,$D$35,"C"&amp;P20,$D$36:$D$38)</f>
        <v>0</v>
      </c>
      <c r="Q44" s="75">
        <f ca="1">_xll.qlRealMCScriptNPV($I$41,$D$35,"C"&amp;Q20,$D$36:$D$38)</f>
        <v>0</v>
      </c>
      <c r="R44" s="75">
        <f ca="1">_xll.qlRealMCScriptNPV($I$41,$D$35,"C"&amp;R20,$D$36:$D$38)</f>
        <v>0</v>
      </c>
      <c r="S44" s="75">
        <f ca="1">_xll.qlRealMCScriptNPV($I$41,$D$35,"C"&amp;S20,$D$36:$D$38)</f>
        <v>0</v>
      </c>
      <c r="T44" s="75">
        <f ca="1">_xll.qlRealMCScriptNPV($I$41,$D$35,"C"&amp;T20,$D$36:$D$38)</f>
        <v>0</v>
      </c>
      <c r="U44" s="75">
        <f ca="1">_xll.qlRealMCScriptNPV($I$41,$D$35,"C"&amp;U20,$D$36:$D$38)</f>
        <v>0</v>
      </c>
      <c r="V44" s="75">
        <f ca="1">_xll.qlRealMCScriptNPV($I$41,$D$35,"C"&amp;V20,$D$36:$D$38)</f>
        <v>0</v>
      </c>
      <c r="W44" s="75">
        <f ca="1">_xll.qlRealMCScriptNPV($I$41,$D$35,"C"&amp;W20,$D$36:$D$38)</f>
        <v>0</v>
      </c>
      <c r="X44" s="76">
        <f ca="1">_xll.qlRealMCScriptNPV($I$41,$D$35,"C"&amp;X20,$D$36:$D$38)</f>
        <v>0</v>
      </c>
    </row>
    <row r="45" spans="2:24">
      <c r="B45">
        <v>8.7671232876712329E-2</v>
      </c>
      <c r="D45" s="18"/>
      <c r="E45" s="18"/>
      <c r="F45" s="18"/>
      <c r="K45" s="71" t="str">
        <f>K37</f>
        <v>3m</v>
      </c>
      <c r="L45" s="59">
        <f>_xll.qlCalendarAdvance("NullCalendar",$D$2,K45)</f>
        <v>43110</v>
      </c>
      <c r="M45" s="60" t="str">
        <f>TEXT(L45,"[$-en-EN]TTMMMJJJ")</f>
        <v>10Jan2018</v>
      </c>
      <c r="N45" s="311">
        <f ca="1">_xll.qlRealMCScriptNPV($I$41,$D$35,"C"&amp;N21,$D$36:$D$38)</f>
        <v>0</v>
      </c>
      <c r="O45" s="78">
        <f ca="1">_xll.qlRealMCScriptNPV($I$41,$D$35,"C"&amp;O21,$D$36:$D$38)</f>
        <v>0</v>
      </c>
      <c r="P45" s="78">
        <f ca="1">_xll.qlRealMCScriptNPV($I$41,$D$35,"C"&amp;P21,$D$36:$D$38)</f>
        <v>0</v>
      </c>
      <c r="Q45" s="78">
        <f ca="1">_xll.qlRealMCScriptNPV($I$41,$D$35,"C"&amp;Q21,$D$36:$D$38)</f>
        <v>0</v>
      </c>
      <c r="R45" s="78">
        <f ca="1">_xll.qlRealMCScriptNPV($I$41,$D$35,"C"&amp;R21,$D$36:$D$38)</f>
        <v>0</v>
      </c>
      <c r="S45" s="78">
        <f ca="1">_xll.qlRealMCScriptNPV($I$41,$D$35,"C"&amp;S21,$D$36:$D$38)</f>
        <v>0</v>
      </c>
      <c r="T45" s="78">
        <f ca="1">_xll.qlRealMCScriptNPV($I$41,$D$35,"C"&amp;T21,$D$36:$D$38)</f>
        <v>0</v>
      </c>
      <c r="U45" s="78">
        <f ca="1">_xll.qlRealMCScriptNPV($I$41,$D$35,"C"&amp;U21,$D$36:$D$38)</f>
        <v>0</v>
      </c>
      <c r="V45" s="78">
        <f ca="1">_xll.qlRealMCScriptNPV($I$41,$D$35,"C"&amp;V21,$D$36:$D$38)</f>
        <v>0</v>
      </c>
      <c r="W45" s="78">
        <f ca="1">_xll.qlRealMCScriptNPV($I$41,$D$35,"C"&amp;W21,$D$36:$D$38)</f>
        <v>0</v>
      </c>
      <c r="X45" s="79">
        <f ca="1">_xll.qlRealMCScriptNPV($I$41,$D$35,"C"&amp;X21,$D$36:$D$38)</f>
        <v>0</v>
      </c>
    </row>
    <row r="46" spans="2:24">
      <c r="B46">
        <v>0.10684931506849316</v>
      </c>
      <c r="D46" s="18"/>
      <c r="E46" s="18"/>
      <c r="F46" s="18"/>
      <c r="K46" s="71" t="str">
        <f>K38</f>
        <v>6m</v>
      </c>
      <c r="L46" s="59">
        <f>_xll.qlCalendarAdvance("NullCalendar",$D$2,K46)</f>
        <v>43200</v>
      </c>
      <c r="M46" s="60" t="str">
        <f>TEXT(L46,"[$-en-EN]TTMMMJJJ")</f>
        <v>10Apr2018</v>
      </c>
      <c r="N46" s="311">
        <f ca="1">_xll.qlRealMCScriptNPV($I$41,$D$35,"C"&amp;N22,$D$36:$D$38)</f>
        <v>0</v>
      </c>
      <c r="O46" s="78">
        <f ca="1">_xll.qlRealMCScriptNPV($I$41,$D$35,"C"&amp;O22,$D$36:$D$38)</f>
        <v>0</v>
      </c>
      <c r="P46" s="78">
        <f ca="1">_xll.qlRealMCScriptNPV($I$41,$D$35,"C"&amp;P22,$D$36:$D$38)</f>
        <v>0</v>
      </c>
      <c r="Q46" s="78">
        <f ca="1">_xll.qlRealMCScriptNPV($I$41,$D$35,"C"&amp;Q22,$D$36:$D$38)</f>
        <v>0</v>
      </c>
      <c r="R46" s="78">
        <f ca="1">_xll.qlRealMCScriptNPV($I$41,$D$35,"C"&amp;R22,$D$36:$D$38)</f>
        <v>0</v>
      </c>
      <c r="S46" s="78">
        <f ca="1">_xll.qlRealMCScriptNPV($I$41,$D$35,"C"&amp;S22,$D$36:$D$38)</f>
        <v>0</v>
      </c>
      <c r="T46" s="78">
        <f ca="1">_xll.qlRealMCScriptNPV($I$41,$D$35,"C"&amp;T22,$D$36:$D$38)</f>
        <v>0</v>
      </c>
      <c r="U46" s="78">
        <f ca="1">_xll.qlRealMCScriptNPV($I$41,$D$35,"C"&amp;U22,$D$36:$D$38)</f>
        <v>0</v>
      </c>
      <c r="V46" s="78">
        <f ca="1">_xll.qlRealMCScriptNPV($I$41,$D$35,"C"&amp;V22,$D$36:$D$38)</f>
        <v>0</v>
      </c>
      <c r="W46" s="78">
        <f ca="1">_xll.qlRealMCScriptNPV($I$41,$D$35,"C"&amp;W22,$D$36:$D$38)</f>
        <v>0</v>
      </c>
      <c r="X46" s="79">
        <f ca="1">_xll.qlRealMCScriptNPV($I$41,$D$35,"C"&amp;X22,$D$36:$D$38)</f>
        <v>0</v>
      </c>
    </row>
    <row r="47" spans="2:24">
      <c r="B47">
        <v>0.12602739726027398</v>
      </c>
      <c r="D47" s="18"/>
      <c r="E47" s="18"/>
      <c r="F47" s="18"/>
      <c r="K47" s="71" t="str">
        <f>K39</f>
        <v>9m</v>
      </c>
      <c r="L47" s="59">
        <f>_xll.qlCalendarAdvance("NullCalendar",$D$2,K47)</f>
        <v>43291</v>
      </c>
      <c r="M47" s="60" t="str">
        <f>TEXT(L47,"[$-en-EN]TTMMMJJJ")</f>
        <v>10Jul2018</v>
      </c>
      <c r="N47" s="311">
        <f ca="1">_xll.qlRealMCScriptNPV($I$41,$D$35,"C"&amp;N23,$D$36:$D$38)</f>
        <v>0</v>
      </c>
      <c r="O47" s="78">
        <f ca="1">_xll.qlRealMCScriptNPV($I$41,$D$35,"C"&amp;O23,$D$36:$D$38)</f>
        <v>0</v>
      </c>
      <c r="P47" s="78">
        <f ca="1">_xll.qlRealMCScriptNPV($I$41,$D$35,"C"&amp;P23,$D$36:$D$38)</f>
        <v>0</v>
      </c>
      <c r="Q47" s="78">
        <f ca="1">_xll.qlRealMCScriptNPV($I$41,$D$35,"C"&amp;Q23,$D$36:$D$38)</f>
        <v>0</v>
      </c>
      <c r="R47" s="78">
        <f ca="1">_xll.qlRealMCScriptNPV($I$41,$D$35,"C"&amp;R23,$D$36:$D$38)</f>
        <v>0</v>
      </c>
      <c r="S47" s="78">
        <f ca="1">_xll.qlRealMCScriptNPV($I$41,$D$35,"C"&amp;S23,$D$36:$D$38)</f>
        <v>0</v>
      </c>
      <c r="T47" s="78">
        <f ca="1">_xll.qlRealMCScriptNPV($I$41,$D$35,"C"&amp;T23,$D$36:$D$38)</f>
        <v>0</v>
      </c>
      <c r="U47" s="78">
        <f ca="1">_xll.qlRealMCScriptNPV($I$41,$D$35,"C"&amp;U23,$D$36:$D$38)</f>
        <v>0</v>
      </c>
      <c r="V47" s="78">
        <f ca="1">_xll.qlRealMCScriptNPV($I$41,$D$35,"C"&amp;V23,$D$36:$D$38)</f>
        <v>0</v>
      </c>
      <c r="W47" s="78">
        <f ca="1">_xll.qlRealMCScriptNPV($I$41,$D$35,"C"&amp;W23,$D$36:$D$38)</f>
        <v>0</v>
      </c>
      <c r="X47" s="79">
        <f ca="1">_xll.qlRealMCScriptNPV($I$41,$D$35,"C"&amp;X23,$D$36:$D$38)</f>
        <v>0</v>
      </c>
    </row>
    <row r="48" spans="2:24">
      <c r="B48">
        <v>0.14520547945205478</v>
      </c>
      <c r="D48" s="18"/>
      <c r="E48" s="18"/>
      <c r="F48" s="18"/>
      <c r="K48" s="72" t="str">
        <f>K40</f>
        <v>1y</v>
      </c>
      <c r="L48" s="61">
        <f>_xll.qlCalendarAdvance("NullCalendar",$D$2,K48)</f>
        <v>43383</v>
      </c>
      <c r="M48" s="62" t="str">
        <f>TEXT(L48,"[$-en-EN]TTMMMJJJ")</f>
        <v>10Oct2018</v>
      </c>
      <c r="N48" s="312">
        <f ca="1">_xll.qlRealMCScriptNPV($I$41,$D$35,"C"&amp;N24,$D$36:$D$38)</f>
        <v>0</v>
      </c>
      <c r="O48" s="81">
        <f ca="1">_xll.qlRealMCScriptNPV($I$41,$D$35,"C"&amp;O24,$D$36:$D$38)</f>
        <v>0</v>
      </c>
      <c r="P48" s="81">
        <f ca="1">_xll.qlRealMCScriptNPV($I$41,$D$35,"C"&amp;P24,$D$36:$D$38)</f>
        <v>0</v>
      </c>
      <c r="Q48" s="81">
        <f ca="1">_xll.qlRealMCScriptNPV($I$41,$D$35,"C"&amp;Q24,$D$36:$D$38)</f>
        <v>0</v>
      </c>
      <c r="R48" s="81">
        <f ca="1">_xll.qlRealMCScriptNPV($I$41,$D$35,"C"&amp;R24,$D$36:$D$38)</f>
        <v>0</v>
      </c>
      <c r="S48" s="81">
        <f ca="1">_xll.qlRealMCScriptNPV($I$41,$D$35,"C"&amp;S24,$D$36:$D$38)</f>
        <v>0</v>
      </c>
      <c r="T48" s="81">
        <f ca="1">_xll.qlRealMCScriptNPV($I$41,$D$35,"C"&amp;T24,$D$36:$D$38)</f>
        <v>0</v>
      </c>
      <c r="U48" s="81">
        <f ca="1">_xll.qlRealMCScriptNPV($I$41,$D$35,"C"&amp;U24,$D$36:$D$38)</f>
        <v>0</v>
      </c>
      <c r="V48" s="81">
        <f ca="1">_xll.qlRealMCScriptNPV($I$41,$D$35,"C"&amp;V24,$D$36:$D$38)</f>
        <v>0</v>
      </c>
      <c r="W48" s="81">
        <f ca="1">_xll.qlRealMCScriptNPV($I$41,$D$35,"C"&amp;W24,$D$36:$D$38)</f>
        <v>0</v>
      </c>
      <c r="X48" s="82">
        <f ca="1">_xll.qlRealMCScriptNPV($I$41,$D$35,"C"&amp;X24,$D$36:$D$38)</f>
        <v>0</v>
      </c>
    </row>
    <row r="49" spans="2:24">
      <c r="B49">
        <v>0.16438356164383561</v>
      </c>
      <c r="D49" s="18"/>
      <c r="E49" s="18"/>
      <c r="F49" s="18"/>
    </row>
    <row r="50" spans="2:24">
      <c r="B50">
        <v>0.18356164383561643</v>
      </c>
      <c r="D50" s="18"/>
      <c r="E50" s="18"/>
      <c r="F50" s="18"/>
      <c r="K50" s="1" t="s">
        <v>42</v>
      </c>
      <c r="L50" s="2"/>
      <c r="M50" s="47"/>
      <c r="N50" s="4" t="s">
        <v>31</v>
      </c>
      <c r="O50" s="19"/>
      <c r="P50" s="19"/>
      <c r="Q50" s="19"/>
      <c r="R50" s="19"/>
      <c r="S50" s="19"/>
      <c r="T50" s="19"/>
      <c r="U50" s="19"/>
      <c r="V50" s="19"/>
      <c r="W50" s="19"/>
      <c r="X50" s="40"/>
    </row>
    <row r="51" spans="2:24">
      <c r="B51">
        <v>0.20273972602739726</v>
      </c>
      <c r="D51" s="18"/>
      <c r="K51" s="49" t="s">
        <v>25</v>
      </c>
      <c r="L51" s="50" t="s">
        <v>30</v>
      </c>
      <c r="M51" s="50" t="s">
        <v>4</v>
      </c>
      <c r="N51" s="72">
        <f ca="1">N43</f>
        <v>-0.05</v>
      </c>
      <c r="O51" s="73">
        <f ca="1">O43</f>
        <v>-0.1</v>
      </c>
      <c r="P51" s="73">
        <f ca="1">P43</f>
        <v>-0.15</v>
      </c>
      <c r="Q51" s="73">
        <f ca="1">Q43</f>
        <v>-0.25</v>
      </c>
      <c r="R51" s="73">
        <f ca="1">R43</f>
        <v>-0.35</v>
      </c>
      <c r="S51" s="73" t="str">
        <f ca="1">S43</f>
        <v>ATM</v>
      </c>
      <c r="T51" s="73">
        <f ca="1">T43</f>
        <v>0.35</v>
      </c>
      <c r="U51" s="73">
        <f ca="1">U43</f>
        <v>0.25</v>
      </c>
      <c r="V51" s="73">
        <f ca="1">V43</f>
        <v>0.15</v>
      </c>
      <c r="W51" s="73">
        <f ca="1">W43</f>
        <v>0.1</v>
      </c>
      <c r="X51" s="62">
        <f ca="1">X43</f>
        <v>0.05</v>
      </c>
    </row>
    <row r="52" spans="2:24">
      <c r="B52">
        <v>0.22191780821917809</v>
      </c>
      <c r="D52" s="18"/>
      <c r="K52" s="70" t="str">
        <f>K44</f>
        <v>1m</v>
      </c>
      <c r="L52" s="57">
        <f>_xll.qlCalendarAdvance("NullCalendar",$D$2,K52)</f>
        <v>43049</v>
      </c>
      <c r="M52" s="58" t="str">
        <f>TEXT(L52,"[$-en-EN]TTMMMJJJ")</f>
        <v>10Nov2017</v>
      </c>
      <c r="N52" s="74">
        <f ca="1">_xll.qlRealMCScriptNPV($I$42,$D$35,"P"&amp;N20,$D$36:$D$38)</f>
        <v>0</v>
      </c>
      <c r="O52" s="75">
        <f ca="1">_xll.qlRealMCScriptNPV($I$42,$D$35,"P"&amp;O20,$D$36:$D$38)</f>
        <v>0</v>
      </c>
      <c r="P52" s="75">
        <f ca="1">_xll.qlRealMCScriptNPV($I$42,$D$35,"P"&amp;P20,$D$36:$D$38)</f>
        <v>0</v>
      </c>
      <c r="Q52" s="75">
        <f ca="1">_xll.qlRealMCScriptNPV($I$42,$D$35,"P"&amp;Q20,$D$36:$D$38)</f>
        <v>0</v>
      </c>
      <c r="R52" s="75">
        <f ca="1">_xll.qlRealMCScriptNPV($I$42,$D$35,"P"&amp;R20,$D$36:$D$38)</f>
        <v>0</v>
      </c>
      <c r="S52" s="75">
        <f ca="1">_xll.qlRealMCScriptNPV($I$42,$D$35,"P"&amp;S20,$D$36:$D$38)</f>
        <v>0</v>
      </c>
      <c r="T52" s="75">
        <f ca="1">_xll.qlRealMCScriptNPV($I$42,$D$35,"P"&amp;T20,$D$36:$D$38)</f>
        <v>0</v>
      </c>
      <c r="U52" s="75">
        <f ca="1">_xll.qlRealMCScriptNPV($I$42,$D$35,"P"&amp;U20,$D$36:$D$38)</f>
        <v>0</v>
      </c>
      <c r="V52" s="75">
        <f ca="1">_xll.qlRealMCScriptNPV($I$42,$D$35,"P"&amp;V20,$D$36:$D$38)</f>
        <v>0</v>
      </c>
      <c r="W52" s="75">
        <f ca="1">_xll.qlRealMCScriptNPV($I$42,$D$35,"P"&amp;W20,$D$36:$D$38)</f>
        <v>0</v>
      </c>
      <c r="X52" s="76">
        <f ca="1">_xll.qlRealMCScriptNPV($I$42,$D$35,"P"&amp;X20,$D$36:$D$38)</f>
        <v>0</v>
      </c>
    </row>
    <row r="53" spans="2:24">
      <c r="B53">
        <v>0.24109589041095891</v>
      </c>
      <c r="D53" s="18"/>
      <c r="K53" s="71" t="str">
        <f>K45</f>
        <v>3m</v>
      </c>
      <c r="L53" s="59">
        <f>_xll.qlCalendarAdvance("NullCalendar",$D$2,K53)</f>
        <v>43110</v>
      </c>
      <c r="M53" s="60" t="str">
        <f>TEXT(L53,"[$-en-EN]TTMMMJJJ")</f>
        <v>10Jan2018</v>
      </c>
      <c r="N53" s="77">
        <f ca="1">_xll.qlRealMCScriptNPV($I$42,$D$35,"P"&amp;N21,$D$36:$D$38)</f>
        <v>0</v>
      </c>
      <c r="O53" s="78">
        <f ca="1">_xll.qlRealMCScriptNPV($I$42,$D$35,"P"&amp;O21,$D$36:$D$38)</f>
        <v>0</v>
      </c>
      <c r="P53" s="78">
        <f ca="1">_xll.qlRealMCScriptNPV($I$42,$D$35,"P"&amp;P21,$D$36:$D$38)</f>
        <v>0</v>
      </c>
      <c r="Q53" s="78">
        <f ca="1">_xll.qlRealMCScriptNPV($I$42,$D$35,"P"&amp;Q21,$D$36:$D$38)</f>
        <v>0</v>
      </c>
      <c r="R53" s="78">
        <f ca="1">_xll.qlRealMCScriptNPV($I$42,$D$35,"P"&amp;R21,$D$36:$D$38)</f>
        <v>0</v>
      </c>
      <c r="S53" s="78">
        <f ca="1">_xll.qlRealMCScriptNPV($I$42,$D$35,"P"&amp;S21,$D$36:$D$38)</f>
        <v>0</v>
      </c>
      <c r="T53" s="78">
        <f ca="1">_xll.qlRealMCScriptNPV($I$42,$D$35,"P"&amp;T21,$D$36:$D$38)</f>
        <v>0</v>
      </c>
      <c r="U53" s="78">
        <f ca="1">_xll.qlRealMCScriptNPV($I$42,$D$35,"P"&amp;U21,$D$36:$D$38)</f>
        <v>0</v>
      </c>
      <c r="V53" s="78">
        <f ca="1">_xll.qlRealMCScriptNPV($I$42,$D$35,"P"&amp;V21,$D$36:$D$38)</f>
        <v>0</v>
      </c>
      <c r="W53" s="78">
        <f ca="1">_xll.qlRealMCScriptNPV($I$42,$D$35,"P"&amp;W21,$D$36:$D$38)</f>
        <v>0</v>
      </c>
      <c r="X53" s="79">
        <f ca="1">_xll.qlRealMCScriptNPV($I$42,$D$35,"P"&amp;X21,$D$36:$D$38)</f>
        <v>0</v>
      </c>
    </row>
    <row r="54" spans="2:24">
      <c r="B54">
        <v>0.26027397260273971</v>
      </c>
      <c r="D54" s="18"/>
      <c r="K54" s="71" t="str">
        <f>K46</f>
        <v>6m</v>
      </c>
      <c r="L54" s="59">
        <f>_xll.qlCalendarAdvance("NullCalendar",$D$2,K54)</f>
        <v>43200</v>
      </c>
      <c r="M54" s="60" t="str">
        <f>TEXT(L54,"[$-en-EN]TTMMMJJJ")</f>
        <v>10Apr2018</v>
      </c>
      <c r="N54" s="77">
        <f ca="1">_xll.qlRealMCScriptNPV($I$42,$D$35,"P"&amp;N22,$D$36:$D$38)</f>
        <v>0</v>
      </c>
      <c r="O54" s="78">
        <f ca="1">_xll.qlRealMCScriptNPV($I$42,$D$35,"P"&amp;O22,$D$36:$D$38)</f>
        <v>0</v>
      </c>
      <c r="P54" s="78">
        <f ca="1">_xll.qlRealMCScriptNPV($I$42,$D$35,"P"&amp;P22,$D$36:$D$38)</f>
        <v>0</v>
      </c>
      <c r="Q54" s="78">
        <f ca="1">_xll.qlRealMCScriptNPV($I$42,$D$35,"P"&amp;Q22,$D$36:$D$38)</f>
        <v>0</v>
      </c>
      <c r="R54" s="78">
        <f ca="1">_xll.qlRealMCScriptNPV($I$42,$D$35,"P"&amp;R22,$D$36:$D$38)</f>
        <v>0</v>
      </c>
      <c r="S54" s="78">
        <f ca="1">_xll.qlRealMCScriptNPV($I$42,$D$35,"P"&amp;S22,$D$36:$D$38)</f>
        <v>0</v>
      </c>
      <c r="T54" s="78">
        <f ca="1">_xll.qlRealMCScriptNPV($I$42,$D$35,"P"&amp;T22,$D$36:$D$38)</f>
        <v>0</v>
      </c>
      <c r="U54" s="78">
        <f ca="1">_xll.qlRealMCScriptNPV($I$42,$D$35,"P"&amp;U22,$D$36:$D$38)</f>
        <v>0</v>
      </c>
      <c r="V54" s="78">
        <f ca="1">_xll.qlRealMCScriptNPV($I$42,$D$35,"P"&amp;V22,$D$36:$D$38)</f>
        <v>0</v>
      </c>
      <c r="W54" s="78">
        <f ca="1">_xll.qlRealMCScriptNPV($I$42,$D$35,"P"&amp;W22,$D$36:$D$38)</f>
        <v>0</v>
      </c>
      <c r="X54" s="79">
        <f ca="1">_xll.qlRealMCScriptNPV($I$42,$D$35,"P"&amp;X22,$D$36:$D$38)</f>
        <v>0</v>
      </c>
    </row>
    <row r="55" spans="2:24">
      <c r="B55">
        <v>0.27945205479452057</v>
      </c>
      <c r="K55" s="71" t="str">
        <f>K47</f>
        <v>9m</v>
      </c>
      <c r="L55" s="59">
        <f>_xll.qlCalendarAdvance("NullCalendar",$D$2,K55)</f>
        <v>43291</v>
      </c>
      <c r="M55" s="60" t="str">
        <f>TEXT(L55,"[$-en-EN]TTMMMJJJ")</f>
        <v>10Jul2018</v>
      </c>
      <c r="N55" s="77">
        <f ca="1">_xll.qlRealMCScriptNPV($I$42,$D$35,"P"&amp;N23,$D$36:$D$38)</f>
        <v>0</v>
      </c>
      <c r="O55" s="78">
        <f ca="1">_xll.qlRealMCScriptNPV($I$42,$D$35,"P"&amp;O23,$D$36:$D$38)</f>
        <v>0</v>
      </c>
      <c r="P55" s="78">
        <f ca="1">_xll.qlRealMCScriptNPV($I$42,$D$35,"P"&amp;P23,$D$36:$D$38)</f>
        <v>0</v>
      </c>
      <c r="Q55" s="78">
        <f ca="1">_xll.qlRealMCScriptNPV($I$42,$D$35,"P"&amp;Q23,$D$36:$D$38)</f>
        <v>0</v>
      </c>
      <c r="R55" s="78">
        <f ca="1">_xll.qlRealMCScriptNPV($I$42,$D$35,"P"&amp;R23,$D$36:$D$38)</f>
        <v>0</v>
      </c>
      <c r="S55" s="78">
        <f ca="1">_xll.qlRealMCScriptNPV($I$42,$D$35,"P"&amp;S23,$D$36:$D$38)</f>
        <v>0</v>
      </c>
      <c r="T55" s="78">
        <f ca="1">_xll.qlRealMCScriptNPV($I$42,$D$35,"P"&amp;T23,$D$36:$D$38)</f>
        <v>0</v>
      </c>
      <c r="U55" s="78">
        <f ca="1">_xll.qlRealMCScriptNPV($I$42,$D$35,"P"&amp;U23,$D$36:$D$38)</f>
        <v>0</v>
      </c>
      <c r="V55" s="78">
        <f ca="1">_xll.qlRealMCScriptNPV($I$42,$D$35,"P"&amp;V23,$D$36:$D$38)</f>
        <v>0</v>
      </c>
      <c r="W55" s="78">
        <f ca="1">_xll.qlRealMCScriptNPV($I$42,$D$35,"P"&amp;W23,$D$36:$D$38)</f>
        <v>0</v>
      </c>
      <c r="X55" s="79">
        <f ca="1">_xll.qlRealMCScriptNPV($I$42,$D$35,"P"&amp;X23,$D$36:$D$38)</f>
        <v>0</v>
      </c>
    </row>
    <row r="56" spans="2:24">
      <c r="B56">
        <v>0.29863013698630136</v>
      </c>
      <c r="K56" s="72" t="str">
        <f>K48</f>
        <v>1y</v>
      </c>
      <c r="L56" s="61">
        <f>_xll.qlCalendarAdvance("NullCalendar",$D$2,K56)</f>
        <v>43383</v>
      </c>
      <c r="M56" s="62" t="str">
        <f>TEXT(L56,"[$-en-EN]TTMMMJJJ")</f>
        <v>10Oct2018</v>
      </c>
      <c r="N56" s="80">
        <f ca="1">_xll.qlRealMCScriptNPV($I$42,$D$35,"P"&amp;N24,$D$36:$D$38)</f>
        <v>0</v>
      </c>
      <c r="O56" s="81">
        <f ca="1">_xll.qlRealMCScriptNPV($I$42,$D$35,"P"&amp;O24,$D$36:$D$38)</f>
        <v>0</v>
      </c>
      <c r="P56" s="81">
        <f ca="1">_xll.qlRealMCScriptNPV($I$42,$D$35,"P"&amp;P24,$D$36:$D$38)</f>
        <v>0</v>
      </c>
      <c r="Q56" s="81">
        <f ca="1">_xll.qlRealMCScriptNPV($I$42,$D$35,"P"&amp;Q24,$D$36:$D$38)</f>
        <v>0</v>
      </c>
      <c r="R56" s="81">
        <f ca="1">_xll.qlRealMCScriptNPV($I$42,$D$35,"P"&amp;R24,$D$36:$D$38)</f>
        <v>0</v>
      </c>
      <c r="S56" s="81">
        <f ca="1">_xll.qlRealMCScriptNPV($I$42,$D$35,"P"&amp;S24,$D$36:$D$38)</f>
        <v>0</v>
      </c>
      <c r="T56" s="81">
        <f ca="1">_xll.qlRealMCScriptNPV($I$42,$D$35,"P"&amp;T24,$D$36:$D$38)</f>
        <v>0</v>
      </c>
      <c r="U56" s="81">
        <f ca="1">_xll.qlRealMCScriptNPV($I$42,$D$35,"P"&amp;U24,$D$36:$D$38)</f>
        <v>0</v>
      </c>
      <c r="V56" s="81">
        <f ca="1">_xll.qlRealMCScriptNPV($I$42,$D$35,"P"&amp;V24,$D$36:$D$38)</f>
        <v>0</v>
      </c>
      <c r="W56" s="81">
        <f ca="1">_xll.qlRealMCScriptNPV($I$42,$D$35,"P"&amp;W24,$D$36:$D$38)</f>
        <v>0</v>
      </c>
      <c r="X56" s="82">
        <f ca="1">_xll.qlRealMCScriptNPV($I$42,$D$35,"P"&amp;X24,$D$36:$D$38)</f>
        <v>0</v>
      </c>
    </row>
    <row r="57" spans="2:24">
      <c r="B57">
        <v>0.31780821917808222</v>
      </c>
    </row>
    <row r="58" spans="2:24">
      <c r="B58">
        <v>0.33698630136986302</v>
      </c>
      <c r="K58" s="1" t="s">
        <v>39</v>
      </c>
      <c r="L58" s="2"/>
      <c r="M58" s="47"/>
      <c r="N58" s="4" t="s">
        <v>31</v>
      </c>
      <c r="O58" s="19"/>
      <c r="P58" s="19"/>
      <c r="Q58" s="19"/>
      <c r="R58" s="19"/>
      <c r="S58" s="19"/>
      <c r="T58" s="19"/>
      <c r="U58" s="19"/>
      <c r="V58" s="19"/>
      <c r="W58" s="19"/>
      <c r="X58" s="40"/>
    </row>
    <row r="59" spans="2:24">
      <c r="B59">
        <v>0.35616438356164382</v>
      </c>
      <c r="K59" s="49" t="s">
        <v>25</v>
      </c>
      <c r="L59" s="50" t="s">
        <v>30</v>
      </c>
      <c r="M59" s="50" t="s">
        <v>4</v>
      </c>
      <c r="N59" s="72">
        <f ca="1">N51</f>
        <v>-0.05</v>
      </c>
      <c r="O59" s="73">
        <f ca="1">O51</f>
        <v>-0.1</v>
      </c>
      <c r="P59" s="73">
        <f ca="1">P51</f>
        <v>-0.15</v>
      </c>
      <c r="Q59" s="73">
        <f ca="1">Q51</f>
        <v>-0.25</v>
      </c>
      <c r="R59" s="73">
        <f ca="1">R51</f>
        <v>-0.35</v>
      </c>
      <c r="S59" s="73" t="str">
        <f ca="1">S51</f>
        <v>ATM</v>
      </c>
      <c r="T59" s="73">
        <f ca="1">T51</f>
        <v>0.35</v>
      </c>
      <c r="U59" s="73">
        <f ca="1">U51</f>
        <v>0.25</v>
      </c>
      <c r="V59" s="73">
        <f ca="1">V51</f>
        <v>0.15</v>
      </c>
      <c r="W59" s="73">
        <f ca="1">W51</f>
        <v>0.1</v>
      </c>
      <c r="X59" s="62">
        <f ca="1">X51</f>
        <v>0.05</v>
      </c>
    </row>
    <row r="60" spans="2:24">
      <c r="B60">
        <v>0.37534246575342467</v>
      </c>
      <c r="K60" s="70" t="str">
        <f>K52</f>
        <v>1m</v>
      </c>
      <c r="L60" s="57">
        <f>_xll.qlCalendarAdvance("NullCalendar",$D$2,K60)</f>
        <v>43049</v>
      </c>
      <c r="M60" s="58" t="str">
        <f>TEXT(L60,"[$-en-EN]TTMMMJJJ")</f>
        <v>10Nov2017</v>
      </c>
      <c r="N60" s="83" t="e">
        <f ca="1">_xll.qlBlackFormulaImpliedStdDev("Call",N12,$D$18,N44)/SQRT(($L60-$D$2)/365)</f>
        <v>#NUM!</v>
      </c>
      <c r="O60" s="84" t="e">
        <f ca="1">_xll.qlBlackFormulaImpliedStdDev("Call",O12,$D$18,O44)/SQRT(($L60-$D$2)/365)</f>
        <v>#NUM!</v>
      </c>
      <c r="P60" s="84" t="e">
        <f ca="1">_xll.qlBlackFormulaImpliedStdDev("Call",P12,$D$18,P44)/SQRT(($L60-$D$2)/365)</f>
        <v>#NUM!</v>
      </c>
      <c r="Q60" s="84" t="e">
        <f ca="1">_xll.qlBlackFormulaImpliedStdDev("Call",Q12,$D$18,Q44)/SQRT(($L60-$D$2)/365)</f>
        <v>#NUM!</v>
      </c>
      <c r="R60" s="84" t="e">
        <f ca="1">_xll.qlBlackFormulaImpliedStdDev("Call",R12,$D$18,R44)/SQRT(($L60-$D$2)/365)</f>
        <v>#NUM!</v>
      </c>
      <c r="S60" s="84">
        <f ca="1">_xll.qlBlackFormulaImpliedStdDev("Call",S12,$D$18,S44)/SQRT(($L60-$D$2)/365)</f>
        <v>0</v>
      </c>
      <c r="T60" s="84">
        <f ca="1">_xll.qlBlackFormulaImpliedStdDev("Call",T12,$D$18,T44)/SQRT(($L60-$D$2)/365)</f>
        <v>0</v>
      </c>
      <c r="U60" s="84">
        <f ca="1">_xll.qlBlackFormulaImpliedStdDev("Call",U12,$D$18,U44)/SQRT(($L60-$D$2)/365)</f>
        <v>0</v>
      </c>
      <c r="V60" s="84">
        <f ca="1">_xll.qlBlackFormulaImpliedStdDev("Call",V12,$D$18,V44)/SQRT(($L60-$D$2)/365)</f>
        <v>0</v>
      </c>
      <c r="W60" s="84">
        <f ca="1">_xll.qlBlackFormulaImpliedStdDev("Call",W12,$D$18,W44)/SQRT(($L60-$D$2)/365)</f>
        <v>0</v>
      </c>
      <c r="X60" s="85">
        <f ca="1">_xll.qlBlackFormulaImpliedStdDev("Call",X12,$D$18,X44)/SQRT(($L60-$D$2)/365)</f>
        <v>0</v>
      </c>
    </row>
    <row r="61" spans="2:24">
      <c r="B61">
        <v>0.39452054794520547</v>
      </c>
      <c r="K61" s="71" t="str">
        <f>K53</f>
        <v>3m</v>
      </c>
      <c r="L61" s="59">
        <f>_xll.qlCalendarAdvance("NullCalendar",$D$2,K61)</f>
        <v>43110</v>
      </c>
      <c r="M61" s="60" t="str">
        <f>TEXT(L61,"[$-en-EN]TTMMMJJJ")</f>
        <v>10Jan2018</v>
      </c>
      <c r="N61" s="86" t="e">
        <f ca="1">_xll.qlBlackFormulaImpliedStdDev("Call",N13,$D$18,N45)/SQRT(($L61-$D$2)/365)</f>
        <v>#NUM!</v>
      </c>
      <c r="O61" s="87" t="e">
        <f ca="1">_xll.qlBlackFormulaImpliedStdDev("Call",O13,$D$18,O45)/SQRT(($L61-$D$2)/365)</f>
        <v>#NUM!</v>
      </c>
      <c r="P61" s="87" t="e">
        <f ca="1">_xll.qlBlackFormulaImpliedStdDev("Call",P13,$D$18,P45)/SQRT(($L61-$D$2)/365)</f>
        <v>#NUM!</v>
      </c>
      <c r="Q61" s="87" t="e">
        <f ca="1">_xll.qlBlackFormulaImpliedStdDev("Call",Q13,$D$18,Q45)/SQRT(($L61-$D$2)/365)</f>
        <v>#NUM!</v>
      </c>
      <c r="R61" s="87" t="e">
        <f ca="1">_xll.qlBlackFormulaImpliedStdDev("Call",R13,$D$18,R45)/SQRT(($L61-$D$2)/365)</f>
        <v>#NUM!</v>
      </c>
      <c r="S61" s="87">
        <f ca="1">_xll.qlBlackFormulaImpliedStdDev("Call",S13,$D$18,S45)/SQRT(($L61-$D$2)/365)</f>
        <v>0</v>
      </c>
      <c r="T61" s="87">
        <f ca="1">_xll.qlBlackFormulaImpliedStdDev("Call",T13,$D$18,T45)/SQRT(($L61-$D$2)/365)</f>
        <v>0</v>
      </c>
      <c r="U61" s="87">
        <f ca="1">_xll.qlBlackFormulaImpliedStdDev("Call",U13,$D$18,U45)/SQRT(($L61-$D$2)/365)</f>
        <v>0</v>
      </c>
      <c r="V61" s="87">
        <f ca="1">_xll.qlBlackFormulaImpliedStdDev("Call",V13,$D$18,V45)/SQRT(($L61-$D$2)/365)</f>
        <v>0</v>
      </c>
      <c r="W61" s="87">
        <f ca="1">_xll.qlBlackFormulaImpliedStdDev("Call",W13,$D$18,W45)/SQRT(($L61-$D$2)/365)</f>
        <v>0</v>
      </c>
      <c r="X61" s="88">
        <f ca="1">_xll.qlBlackFormulaImpliedStdDev("Call",X13,$D$18,X45)/SQRT(($L61-$D$2)/365)</f>
        <v>0</v>
      </c>
    </row>
    <row r="62" spans="2:24">
      <c r="B62">
        <v>0.41369863013698632</v>
      </c>
      <c r="K62" s="71" t="str">
        <f>K54</f>
        <v>6m</v>
      </c>
      <c r="L62" s="59">
        <f>_xll.qlCalendarAdvance("NullCalendar",$D$2,K62)</f>
        <v>43200</v>
      </c>
      <c r="M62" s="60" t="str">
        <f>TEXT(L62,"[$-en-EN]TTMMMJJJ")</f>
        <v>10Apr2018</v>
      </c>
      <c r="N62" s="86" t="e">
        <f ca="1">_xll.qlBlackFormulaImpliedStdDev("Call",N14,$D$18,N46)/SQRT(($L62-$D$2)/365)</f>
        <v>#NUM!</v>
      </c>
      <c r="O62" s="87" t="e">
        <f ca="1">_xll.qlBlackFormulaImpliedStdDev("Call",O14,$D$18,O46)/SQRT(($L62-$D$2)/365)</f>
        <v>#NUM!</v>
      </c>
      <c r="P62" s="87" t="e">
        <f ca="1">_xll.qlBlackFormulaImpliedStdDev("Call",P14,$D$18,P46)/SQRT(($L62-$D$2)/365)</f>
        <v>#NUM!</v>
      </c>
      <c r="Q62" s="87" t="e">
        <f ca="1">_xll.qlBlackFormulaImpliedStdDev("Call",Q14,$D$18,Q46)/SQRT(($L62-$D$2)/365)</f>
        <v>#NUM!</v>
      </c>
      <c r="R62" s="87" t="e">
        <f ca="1">_xll.qlBlackFormulaImpliedStdDev("Call",R14,$D$18,R46)/SQRT(($L62-$D$2)/365)</f>
        <v>#NUM!</v>
      </c>
      <c r="S62" s="87">
        <f ca="1">_xll.qlBlackFormulaImpliedStdDev("Call",S14,$D$18,S46)/SQRT(($L62-$D$2)/365)</f>
        <v>0</v>
      </c>
      <c r="T62" s="87">
        <f ca="1">_xll.qlBlackFormulaImpliedStdDev("Call",T14,$D$18,T46)/SQRT(($L62-$D$2)/365)</f>
        <v>0</v>
      </c>
      <c r="U62" s="87">
        <f ca="1">_xll.qlBlackFormulaImpliedStdDev("Call",U14,$D$18,U46)/SQRT(($L62-$D$2)/365)</f>
        <v>0</v>
      </c>
      <c r="V62" s="87">
        <f ca="1">_xll.qlBlackFormulaImpliedStdDev("Call",V14,$D$18,V46)/SQRT(($L62-$D$2)/365)</f>
        <v>0</v>
      </c>
      <c r="W62" s="87">
        <f ca="1">_xll.qlBlackFormulaImpliedStdDev("Call",W14,$D$18,W46)/SQRT(($L62-$D$2)/365)</f>
        <v>0</v>
      </c>
      <c r="X62" s="88">
        <f ca="1">_xll.qlBlackFormulaImpliedStdDev("Call",X14,$D$18,X46)/SQRT(($L62-$D$2)/365)</f>
        <v>0</v>
      </c>
    </row>
    <row r="63" spans="2:24">
      <c r="B63">
        <v>0.43287671232876712</v>
      </c>
      <c r="K63" s="71" t="str">
        <f>K55</f>
        <v>9m</v>
      </c>
      <c r="L63" s="59">
        <f>_xll.qlCalendarAdvance("NullCalendar",$D$2,K63)</f>
        <v>43291</v>
      </c>
      <c r="M63" s="60" t="str">
        <f>TEXT(L63,"[$-en-EN]TTMMMJJJ")</f>
        <v>10Jul2018</v>
      </c>
      <c r="N63" s="86" t="e">
        <f ca="1">_xll.qlBlackFormulaImpliedStdDev("Call",N15,$D$18,N47)/SQRT(($L63-$D$2)/365)</f>
        <v>#NUM!</v>
      </c>
      <c r="O63" s="87" t="e">
        <f ca="1">_xll.qlBlackFormulaImpliedStdDev("Call",O15,$D$18,O47)/SQRT(($L63-$D$2)/365)</f>
        <v>#NUM!</v>
      </c>
      <c r="P63" s="87" t="e">
        <f ca="1">_xll.qlBlackFormulaImpliedStdDev("Call",P15,$D$18,P47)/SQRT(($L63-$D$2)/365)</f>
        <v>#NUM!</v>
      </c>
      <c r="Q63" s="87" t="e">
        <f ca="1">_xll.qlBlackFormulaImpliedStdDev("Call",Q15,$D$18,Q47)/SQRT(($L63-$D$2)/365)</f>
        <v>#NUM!</v>
      </c>
      <c r="R63" s="87" t="e">
        <f ca="1">_xll.qlBlackFormulaImpliedStdDev("Call",R15,$D$18,R47)/SQRT(($L63-$D$2)/365)</f>
        <v>#NUM!</v>
      </c>
      <c r="S63" s="87">
        <f ca="1">_xll.qlBlackFormulaImpliedStdDev("Call",S15,$D$18,S47)/SQRT(($L63-$D$2)/365)</f>
        <v>0</v>
      </c>
      <c r="T63" s="87">
        <f ca="1">_xll.qlBlackFormulaImpliedStdDev("Call",T15,$D$18,T47)/SQRT(($L63-$D$2)/365)</f>
        <v>0</v>
      </c>
      <c r="U63" s="87">
        <f ca="1">_xll.qlBlackFormulaImpliedStdDev("Call",U15,$D$18,U47)/SQRT(($L63-$D$2)/365)</f>
        <v>0</v>
      </c>
      <c r="V63" s="87">
        <f ca="1">_xll.qlBlackFormulaImpliedStdDev("Call",V15,$D$18,V47)/SQRT(($L63-$D$2)/365)</f>
        <v>0</v>
      </c>
      <c r="W63" s="87">
        <f ca="1">_xll.qlBlackFormulaImpliedStdDev("Call",W15,$D$18,W47)/SQRT(($L63-$D$2)/365)</f>
        <v>0</v>
      </c>
      <c r="X63" s="88">
        <f ca="1">_xll.qlBlackFormulaImpliedStdDev("Call",X15,$D$18,X47)/SQRT(($L63-$D$2)/365)</f>
        <v>0</v>
      </c>
    </row>
    <row r="64" spans="2:24">
      <c r="B64">
        <v>0.45205479452054792</v>
      </c>
      <c r="K64" s="72" t="str">
        <f>K56</f>
        <v>1y</v>
      </c>
      <c r="L64" s="61">
        <f>_xll.qlCalendarAdvance("NullCalendar",$D$2,K64)</f>
        <v>43383</v>
      </c>
      <c r="M64" s="62" t="str">
        <f>TEXT(L64,"[$-en-EN]TTMMMJJJ")</f>
        <v>10Oct2018</v>
      </c>
      <c r="N64" s="89" t="e">
        <f ca="1">_xll.qlBlackFormulaImpliedStdDev("Call",N16,$D$18,N48)/SQRT(($L64-$D$2)/365)</f>
        <v>#NUM!</v>
      </c>
      <c r="O64" s="90" t="e">
        <f ca="1">_xll.qlBlackFormulaImpliedStdDev("Call",O16,$D$18,O48)/SQRT(($L64-$D$2)/365)</f>
        <v>#NUM!</v>
      </c>
      <c r="P64" s="90" t="e">
        <f ca="1">_xll.qlBlackFormulaImpliedStdDev("Call",P16,$D$18,P48)/SQRT(($L64-$D$2)/365)</f>
        <v>#NUM!</v>
      </c>
      <c r="Q64" s="90" t="e">
        <f ca="1">_xll.qlBlackFormulaImpliedStdDev("Call",Q16,$D$18,Q48)/SQRT(($L64-$D$2)/365)</f>
        <v>#NUM!</v>
      </c>
      <c r="R64" s="90" t="e">
        <f ca="1">_xll.qlBlackFormulaImpliedStdDev("Call",R16,$D$18,R48)/SQRT(($L64-$D$2)/365)</f>
        <v>#NUM!</v>
      </c>
      <c r="S64" s="90">
        <f ca="1">_xll.qlBlackFormulaImpliedStdDev("Call",S16,$D$18,S48)/SQRT(($L64-$D$2)/365)</f>
        <v>0</v>
      </c>
      <c r="T64" s="90">
        <f ca="1">_xll.qlBlackFormulaImpliedStdDev("Call",T16,$D$18,T48)/SQRT(($L64-$D$2)/365)</f>
        <v>0</v>
      </c>
      <c r="U64" s="90">
        <f ca="1">_xll.qlBlackFormulaImpliedStdDev("Call",U16,$D$18,U48)/SQRT(($L64-$D$2)/365)</f>
        <v>0</v>
      </c>
      <c r="V64" s="90">
        <f ca="1">_xll.qlBlackFormulaImpliedStdDev("Call",V16,$D$18,V48)/SQRT(($L64-$D$2)/365)</f>
        <v>0</v>
      </c>
      <c r="W64" s="90">
        <f ca="1">_xll.qlBlackFormulaImpliedStdDev("Call",W16,$D$18,W48)/SQRT(($L64-$D$2)/365)</f>
        <v>0</v>
      </c>
      <c r="X64" s="91">
        <f ca="1">_xll.qlBlackFormulaImpliedStdDev("Call",X16,$D$18,X48)/SQRT(($L64-$D$2)/365)</f>
        <v>0</v>
      </c>
    </row>
    <row r="65" spans="2:24">
      <c r="B65">
        <v>0.47123287671232877</v>
      </c>
      <c r="N65" s="319"/>
      <c r="O65" s="319"/>
      <c r="P65" s="319"/>
      <c r="Q65" s="319"/>
      <c r="R65" s="319"/>
      <c r="S65" s="319"/>
      <c r="T65" s="319"/>
      <c r="U65" s="319"/>
      <c r="V65" s="319"/>
      <c r="W65" s="319"/>
      <c r="X65" s="319"/>
    </row>
    <row r="66" spans="2:24">
      <c r="B66">
        <v>0.49041095890410957</v>
      </c>
      <c r="K66" s="1" t="s">
        <v>40</v>
      </c>
      <c r="L66" s="2"/>
      <c r="M66" s="47"/>
      <c r="N66" s="4" t="s">
        <v>31</v>
      </c>
      <c r="O66" s="19"/>
      <c r="P66" s="19"/>
      <c r="Q66" s="19"/>
      <c r="R66" s="19"/>
      <c r="S66" s="19"/>
      <c r="T66" s="19"/>
      <c r="U66" s="19"/>
      <c r="V66" s="19"/>
      <c r="W66" s="19"/>
      <c r="X66" s="40"/>
    </row>
    <row r="67" spans="2:24">
      <c r="B67">
        <v>0.50958904109589043</v>
      </c>
      <c r="K67" s="49" t="s">
        <v>25</v>
      </c>
      <c r="L67" s="50" t="s">
        <v>30</v>
      </c>
      <c r="M67" s="50" t="s">
        <v>4</v>
      </c>
      <c r="N67" s="72">
        <f ca="1">N59</f>
        <v>-0.05</v>
      </c>
      <c r="O67" s="73">
        <f ca="1">O59</f>
        <v>-0.1</v>
      </c>
      <c r="P67" s="73">
        <f ca="1">P59</f>
        <v>-0.15</v>
      </c>
      <c r="Q67" s="73">
        <f ca="1">Q59</f>
        <v>-0.25</v>
      </c>
      <c r="R67" s="73">
        <f ca="1">R59</f>
        <v>-0.35</v>
      </c>
      <c r="S67" s="73" t="str">
        <f ca="1">S59</f>
        <v>ATM</v>
      </c>
      <c r="T67" s="73">
        <f ca="1">T59</f>
        <v>0.35</v>
      </c>
      <c r="U67" s="73">
        <f ca="1">U59</f>
        <v>0.25</v>
      </c>
      <c r="V67" s="73">
        <f ca="1">V59</f>
        <v>0.15</v>
      </c>
      <c r="W67" s="73">
        <f ca="1">W59</f>
        <v>0.1</v>
      </c>
      <c r="X67" s="62">
        <f ca="1">X59</f>
        <v>0.05</v>
      </c>
    </row>
    <row r="68" spans="2:24">
      <c r="B68">
        <v>0.52876712328767128</v>
      </c>
      <c r="K68" s="70" t="str">
        <f>K60</f>
        <v>1m</v>
      </c>
      <c r="L68" s="57">
        <f>_xll.qlCalendarAdvance("NullCalendar",$D$2,K68)</f>
        <v>43049</v>
      </c>
      <c r="M68" s="58" t="str">
        <f>TEXT(L68,"[$-en-EN]TTMMMJJJ")</f>
        <v>10Nov2017</v>
      </c>
      <c r="N68" s="83">
        <f ca="1">_xll.qlBlackFormulaImpliedStdDev("Put",N12,$D$18,N52)/SQRT(($L68-$D$2)/365)</f>
        <v>0</v>
      </c>
      <c r="O68" s="84">
        <f ca="1">_xll.qlBlackFormulaImpliedStdDev("Put",O12,$D$18,O52)/SQRT(($L68-$D$2)/365)</f>
        <v>0</v>
      </c>
      <c r="P68" s="84">
        <f ca="1">_xll.qlBlackFormulaImpliedStdDev("Put",P12,$D$18,P52)/SQRT(($L68-$D$2)/365)</f>
        <v>0</v>
      </c>
      <c r="Q68" s="84">
        <f ca="1">_xll.qlBlackFormulaImpliedStdDev("Put",Q12,$D$18,Q52)/SQRT(($L68-$D$2)/365)</f>
        <v>0</v>
      </c>
      <c r="R68" s="84">
        <f ca="1">_xll.qlBlackFormulaImpliedStdDev("Put",R12,$D$18,R52)/SQRT(($L68-$D$2)/365)</f>
        <v>0</v>
      </c>
      <c r="S68" s="84">
        <f ca="1">_xll.qlBlackFormulaImpliedStdDev("Put",S12,$D$18,S52)/SQRT(($L68-$D$2)/365)</f>
        <v>0</v>
      </c>
      <c r="T68" s="84" t="e">
        <f ca="1">_xll.qlBlackFormulaImpliedStdDev("Put",T12,$D$18,T52)/SQRT(($L68-$D$2)/365)</f>
        <v>#NUM!</v>
      </c>
      <c r="U68" s="84" t="e">
        <f ca="1">_xll.qlBlackFormulaImpliedStdDev("Put",U12,$D$18,U52)/SQRT(($L68-$D$2)/365)</f>
        <v>#NUM!</v>
      </c>
      <c r="V68" s="84" t="e">
        <f ca="1">_xll.qlBlackFormulaImpliedStdDev("Put",V12,$D$18,V52)/SQRT(($L68-$D$2)/365)</f>
        <v>#NUM!</v>
      </c>
      <c r="W68" s="84" t="e">
        <f ca="1">_xll.qlBlackFormulaImpliedStdDev("Put",W12,$D$18,W52)/SQRT(($L68-$D$2)/365)</f>
        <v>#NUM!</v>
      </c>
      <c r="X68" s="85" t="e">
        <f ca="1">_xll.qlBlackFormulaImpliedStdDev("Put",X12,$D$18,X52)/SQRT(($L68-$D$2)/365)</f>
        <v>#NUM!</v>
      </c>
    </row>
    <row r="69" spans="2:24">
      <c r="B69">
        <v>0.54794520547945202</v>
      </c>
      <c r="K69" s="71" t="str">
        <f>K61</f>
        <v>3m</v>
      </c>
      <c r="L69" s="59">
        <f>_xll.qlCalendarAdvance("NullCalendar",$D$2,K69)</f>
        <v>43110</v>
      </c>
      <c r="M69" s="60" t="str">
        <f>TEXT(L69,"[$-en-EN]TTMMMJJJ")</f>
        <v>10Jan2018</v>
      </c>
      <c r="N69" s="86">
        <f ca="1">_xll.qlBlackFormulaImpliedStdDev("Put",N13,$D$18,N53)/SQRT(($L69-$D$2)/365)</f>
        <v>0</v>
      </c>
      <c r="O69" s="87">
        <f ca="1">_xll.qlBlackFormulaImpliedStdDev("Put",O13,$D$18,O53)/SQRT(($L69-$D$2)/365)</f>
        <v>0</v>
      </c>
      <c r="P69" s="87">
        <f ca="1">_xll.qlBlackFormulaImpliedStdDev("Put",P13,$D$18,P53)/SQRT(($L69-$D$2)/365)</f>
        <v>0</v>
      </c>
      <c r="Q69" s="87">
        <f ca="1">_xll.qlBlackFormulaImpliedStdDev("Put",Q13,$D$18,Q53)/SQRT(($L69-$D$2)/365)</f>
        <v>0</v>
      </c>
      <c r="R69" s="87">
        <f ca="1">_xll.qlBlackFormulaImpliedStdDev("Put",R13,$D$18,R53)/SQRT(($L69-$D$2)/365)</f>
        <v>0</v>
      </c>
      <c r="S69" s="87">
        <f ca="1">_xll.qlBlackFormulaImpliedStdDev("Put",S13,$D$18,S53)/SQRT(($L69-$D$2)/365)</f>
        <v>0</v>
      </c>
      <c r="T69" s="87" t="e">
        <f ca="1">_xll.qlBlackFormulaImpliedStdDev("Put",T13,$D$18,T53)/SQRT(($L69-$D$2)/365)</f>
        <v>#NUM!</v>
      </c>
      <c r="U69" s="87" t="e">
        <f ca="1">_xll.qlBlackFormulaImpliedStdDev("Put",U13,$D$18,U53)/SQRT(($L69-$D$2)/365)</f>
        <v>#NUM!</v>
      </c>
      <c r="V69" s="87" t="e">
        <f ca="1">_xll.qlBlackFormulaImpliedStdDev("Put",V13,$D$18,V53)/SQRT(($L69-$D$2)/365)</f>
        <v>#NUM!</v>
      </c>
      <c r="W69" s="87" t="e">
        <f ca="1">_xll.qlBlackFormulaImpliedStdDev("Put",W13,$D$18,W53)/SQRT(($L69-$D$2)/365)</f>
        <v>#NUM!</v>
      </c>
      <c r="X69" s="88" t="e">
        <f ca="1">_xll.qlBlackFormulaImpliedStdDev("Put",X13,$D$18,X53)/SQRT(($L69-$D$2)/365)</f>
        <v>#NUM!</v>
      </c>
    </row>
    <row r="70" spans="2:24">
      <c r="B70">
        <v>0.56712328767123288</v>
      </c>
      <c r="K70" s="71" t="str">
        <f>K62</f>
        <v>6m</v>
      </c>
      <c r="L70" s="59">
        <f>_xll.qlCalendarAdvance("NullCalendar",$D$2,K70)</f>
        <v>43200</v>
      </c>
      <c r="M70" s="60" t="str">
        <f>TEXT(L70,"[$-en-EN]TTMMMJJJ")</f>
        <v>10Apr2018</v>
      </c>
      <c r="N70" s="86">
        <f ca="1">_xll.qlBlackFormulaImpliedStdDev("Put",N14,$D$18,N54)/SQRT(($L70-$D$2)/365)</f>
        <v>0</v>
      </c>
      <c r="O70" s="87">
        <f ca="1">_xll.qlBlackFormulaImpliedStdDev("Put",O14,$D$18,O54)/SQRT(($L70-$D$2)/365)</f>
        <v>0</v>
      </c>
      <c r="P70" s="87">
        <f ca="1">_xll.qlBlackFormulaImpliedStdDev("Put",P14,$D$18,P54)/SQRT(($L70-$D$2)/365)</f>
        <v>0</v>
      </c>
      <c r="Q70" s="87">
        <f ca="1">_xll.qlBlackFormulaImpliedStdDev("Put",Q14,$D$18,Q54)/SQRT(($L70-$D$2)/365)</f>
        <v>0</v>
      </c>
      <c r="R70" s="87">
        <f ca="1">_xll.qlBlackFormulaImpliedStdDev("Put",R14,$D$18,R54)/SQRT(($L70-$D$2)/365)</f>
        <v>0</v>
      </c>
      <c r="S70" s="87">
        <f ca="1">_xll.qlBlackFormulaImpliedStdDev("Put",S14,$D$18,S54)/SQRT(($L70-$D$2)/365)</f>
        <v>0</v>
      </c>
      <c r="T70" s="87" t="e">
        <f ca="1">_xll.qlBlackFormulaImpliedStdDev("Put",T14,$D$18,T54)/SQRT(($L70-$D$2)/365)</f>
        <v>#NUM!</v>
      </c>
      <c r="U70" s="87" t="e">
        <f ca="1">_xll.qlBlackFormulaImpliedStdDev("Put",U14,$D$18,U54)/SQRT(($L70-$D$2)/365)</f>
        <v>#NUM!</v>
      </c>
      <c r="V70" s="87" t="e">
        <f ca="1">_xll.qlBlackFormulaImpliedStdDev("Put",V14,$D$18,V54)/SQRT(($L70-$D$2)/365)</f>
        <v>#NUM!</v>
      </c>
      <c r="W70" s="87" t="e">
        <f ca="1">_xll.qlBlackFormulaImpliedStdDev("Put",W14,$D$18,W54)/SQRT(($L70-$D$2)/365)</f>
        <v>#NUM!</v>
      </c>
      <c r="X70" s="88" t="e">
        <f ca="1">_xll.qlBlackFormulaImpliedStdDev("Put",X14,$D$18,X54)/SQRT(($L70-$D$2)/365)</f>
        <v>#NUM!</v>
      </c>
    </row>
    <row r="71" spans="2:24">
      <c r="B71">
        <v>0.58630136986301373</v>
      </c>
      <c r="K71" s="71" t="str">
        <f>K63</f>
        <v>9m</v>
      </c>
      <c r="L71" s="59">
        <f>_xll.qlCalendarAdvance("NullCalendar",$D$2,K71)</f>
        <v>43291</v>
      </c>
      <c r="M71" s="60" t="str">
        <f>TEXT(L71,"[$-en-EN]TTMMMJJJ")</f>
        <v>10Jul2018</v>
      </c>
      <c r="N71" s="86">
        <f ca="1">_xll.qlBlackFormulaImpliedStdDev("Put",N15,$D$18,N55)/SQRT(($L71-$D$2)/365)</f>
        <v>0</v>
      </c>
      <c r="O71" s="87">
        <f ca="1">_xll.qlBlackFormulaImpliedStdDev("Put",O15,$D$18,O55)/SQRT(($L71-$D$2)/365)</f>
        <v>0</v>
      </c>
      <c r="P71" s="87">
        <f ca="1">_xll.qlBlackFormulaImpliedStdDev("Put",P15,$D$18,P55)/SQRT(($L71-$D$2)/365)</f>
        <v>0</v>
      </c>
      <c r="Q71" s="87">
        <f ca="1">_xll.qlBlackFormulaImpliedStdDev("Put",Q15,$D$18,Q55)/SQRT(($L71-$D$2)/365)</f>
        <v>0</v>
      </c>
      <c r="R71" s="87">
        <f ca="1">_xll.qlBlackFormulaImpliedStdDev("Put",R15,$D$18,R55)/SQRT(($L71-$D$2)/365)</f>
        <v>0</v>
      </c>
      <c r="S71" s="87">
        <f ca="1">_xll.qlBlackFormulaImpliedStdDev("Put",S15,$D$18,S55)/SQRT(($L71-$D$2)/365)</f>
        <v>0</v>
      </c>
      <c r="T71" s="87" t="e">
        <f ca="1">_xll.qlBlackFormulaImpliedStdDev("Put",T15,$D$18,T55)/SQRT(($L71-$D$2)/365)</f>
        <v>#NUM!</v>
      </c>
      <c r="U71" s="87" t="e">
        <f ca="1">_xll.qlBlackFormulaImpliedStdDev("Put",U15,$D$18,U55)/SQRT(($L71-$D$2)/365)</f>
        <v>#NUM!</v>
      </c>
      <c r="V71" s="87" t="e">
        <f ca="1">_xll.qlBlackFormulaImpliedStdDev("Put",V15,$D$18,V55)/SQRT(($L71-$D$2)/365)</f>
        <v>#NUM!</v>
      </c>
      <c r="W71" s="87" t="e">
        <f ca="1">_xll.qlBlackFormulaImpliedStdDev("Put",W15,$D$18,W55)/SQRT(($L71-$D$2)/365)</f>
        <v>#NUM!</v>
      </c>
      <c r="X71" s="88" t="e">
        <f ca="1">_xll.qlBlackFormulaImpliedStdDev("Put",X15,$D$18,X55)/SQRT(($L71-$D$2)/365)</f>
        <v>#NUM!</v>
      </c>
    </row>
    <row r="72" spans="2:24">
      <c r="B72">
        <v>0.60547945205479448</v>
      </c>
      <c r="K72" s="72" t="str">
        <f>K64</f>
        <v>1y</v>
      </c>
      <c r="L72" s="61">
        <f>_xll.qlCalendarAdvance("NullCalendar",$D$2,K72)</f>
        <v>43383</v>
      </c>
      <c r="M72" s="62" t="str">
        <f>TEXT(L72,"[$-en-EN]TTMMMJJJ")</f>
        <v>10Oct2018</v>
      </c>
      <c r="N72" s="89">
        <f ca="1">_xll.qlBlackFormulaImpliedStdDev("Put",N16,$D$18,N56)/SQRT(($L72-$D$2)/365)</f>
        <v>0</v>
      </c>
      <c r="O72" s="90">
        <f ca="1">_xll.qlBlackFormulaImpliedStdDev("Put",O16,$D$18,O56)/SQRT(($L72-$D$2)/365)</f>
        <v>0</v>
      </c>
      <c r="P72" s="90">
        <f ca="1">_xll.qlBlackFormulaImpliedStdDev("Put",P16,$D$18,P56)/SQRT(($L72-$D$2)/365)</f>
        <v>0</v>
      </c>
      <c r="Q72" s="90">
        <f ca="1">_xll.qlBlackFormulaImpliedStdDev("Put",Q16,$D$18,Q56)/SQRT(($L72-$D$2)/365)</f>
        <v>0</v>
      </c>
      <c r="R72" s="90">
        <f ca="1">_xll.qlBlackFormulaImpliedStdDev("Put",R16,$D$18,R56)/SQRT(($L72-$D$2)/365)</f>
        <v>0</v>
      </c>
      <c r="S72" s="90">
        <f ca="1">_xll.qlBlackFormulaImpliedStdDev("Put",S16,$D$18,S56)/SQRT(($L72-$D$2)/365)</f>
        <v>0</v>
      </c>
      <c r="T72" s="90" t="e">
        <f ca="1">_xll.qlBlackFormulaImpliedStdDev("Put",T16,$D$18,T56)/SQRT(($L72-$D$2)/365)</f>
        <v>#NUM!</v>
      </c>
      <c r="U72" s="90" t="e">
        <f ca="1">_xll.qlBlackFormulaImpliedStdDev("Put",U16,$D$18,U56)/SQRT(($L72-$D$2)/365)</f>
        <v>#NUM!</v>
      </c>
      <c r="V72" s="90" t="e">
        <f ca="1">_xll.qlBlackFormulaImpliedStdDev("Put",V16,$D$18,V56)/SQRT(($L72-$D$2)/365)</f>
        <v>#NUM!</v>
      </c>
      <c r="W72" s="90" t="e">
        <f ca="1">_xll.qlBlackFormulaImpliedStdDev("Put",W16,$D$18,W56)/SQRT(($L72-$D$2)/365)</f>
        <v>#NUM!</v>
      </c>
      <c r="X72" s="91" t="e">
        <f ca="1">_xll.qlBlackFormulaImpliedStdDev("Put",X16,$D$18,X56)/SQRT(($L72-$D$2)/365)</f>
        <v>#NUM!</v>
      </c>
    </row>
    <row r="73" spans="2:24">
      <c r="B73">
        <v>0.62465753424657533</v>
      </c>
    </row>
    <row r="74" spans="2:24">
      <c r="B74">
        <v>0.64383561643835618</v>
      </c>
      <c r="K74" s="1" t="s">
        <v>89</v>
      </c>
      <c r="L74" s="2"/>
      <c r="M74" s="47"/>
      <c r="N74" s="4" t="s">
        <v>31</v>
      </c>
      <c r="O74" s="19"/>
      <c r="P74" s="19"/>
      <c r="Q74" s="19"/>
      <c r="R74" s="19"/>
      <c r="S74" s="19"/>
      <c r="T74" s="19"/>
      <c r="U74" s="19"/>
      <c r="V74" s="19"/>
      <c r="W74" s="19"/>
      <c r="X74" s="40"/>
    </row>
    <row r="75" spans="2:24">
      <c r="B75">
        <v>0.66301369863013704</v>
      </c>
      <c r="K75" s="49" t="s">
        <v>25</v>
      </c>
      <c r="L75" s="50" t="s">
        <v>30</v>
      </c>
      <c r="M75" s="50" t="s">
        <v>4</v>
      </c>
      <c r="N75" s="72">
        <f ca="1">N67</f>
        <v>-0.05</v>
      </c>
      <c r="O75" s="73">
        <f ca="1">O67</f>
        <v>-0.1</v>
      </c>
      <c r="P75" s="73">
        <f ca="1">P67</f>
        <v>-0.15</v>
      </c>
      <c r="Q75" s="73">
        <f ca="1">Q67</f>
        <v>-0.25</v>
      </c>
      <c r="R75" s="73">
        <f ca="1">R67</f>
        <v>-0.35</v>
      </c>
      <c r="S75" s="73" t="str">
        <f ca="1">S67</f>
        <v>ATM</v>
      </c>
      <c r="T75" s="73">
        <f ca="1">T67</f>
        <v>0.35</v>
      </c>
      <c r="U75" s="73">
        <f ca="1">U67</f>
        <v>0.25</v>
      </c>
      <c r="V75" s="73">
        <f ca="1">V67</f>
        <v>0.15</v>
      </c>
      <c r="W75" s="73">
        <f ca="1">W67</f>
        <v>0.1</v>
      </c>
      <c r="X75" s="62">
        <f ca="1">X67</f>
        <v>0.05</v>
      </c>
    </row>
    <row r="76" spans="2:24">
      <c r="B76">
        <v>0.68219178082191778</v>
      </c>
      <c r="K76" s="70" t="str">
        <f>K68</f>
        <v>1m</v>
      </c>
      <c r="L76" s="57">
        <f>_xll.qlCalendarAdvance("NullCalendar",$D$2,K76)</f>
        <v>43049</v>
      </c>
      <c r="M76" s="58" t="str">
        <f>TEXT(L76,"[$-en-EN]TTMMMJJJ")</f>
        <v>10Nov2017</v>
      </c>
      <c r="N76" s="83">
        <f ca="1">_xll.qlBlackVolTermStructureBlackVol(IF($N$1="GasSummer",$D$10,IF($N$1="GasWinter",$D$9,$D$11)),$L76,N12,TRUE)</f>
        <v>6.7285383485878952E-2</v>
      </c>
      <c r="O76" s="84">
        <f ca="1">_xll.qlBlackVolTermStructureBlackVol(IF($N$1="GasSummer",$D$10,IF($N$1="GasWinter",$D$9,$D$11)),$L76,O12,TRUE)</f>
        <v>6.5804531269174529E-2</v>
      </c>
      <c r="P76" s="84">
        <f ca="1">_xll.qlBlackVolTermStructureBlackVol(IF($N$1="GasSummer",$D$10,IF($N$1="GasWinter",$D$9,$D$11)),$L76,P12,TRUE)</f>
        <v>6.5204062121401077E-2</v>
      </c>
      <c r="Q76" s="84">
        <f ca="1">_xll.qlBlackVolTermStructureBlackVol(IF($N$1="GasSummer",$D$10,IF($N$1="GasWinter",$D$9,$D$11)),$L76,Q12,TRUE)</f>
        <v>6.491050200083702E-2</v>
      </c>
      <c r="R76" s="84">
        <f ca="1">_xll.qlBlackVolTermStructureBlackVol(IF($N$1="GasSummer",$D$10,IF($N$1="GasWinter",$D$9,$D$11)),$L76,R12,TRUE)</f>
        <v>6.5179490551339384E-2</v>
      </c>
      <c r="S76" s="84">
        <f ca="1">_xll.qlBlackVolTermStructureBlackVol(IF($N$1="GasSummer",$D$10,IF($N$1="GasWinter",$D$9,$D$11)),$L76,S12,TRUE)</f>
        <v>6.6182608387647224E-2</v>
      </c>
      <c r="T76" s="84">
        <f ca="1">_xll.qlBlackVolTermStructureBlackVol(IF($N$1="GasSummer",$D$10,IF($N$1="GasWinter",$D$9,$D$11)),$L76,T12,TRUE)</f>
        <v>6.8062200033787879E-2</v>
      </c>
      <c r="U76" s="84">
        <f ca="1">_xll.qlBlackVolTermStructureBlackVol(IF($N$1="GasSummer",$D$10,IF($N$1="GasWinter",$D$9,$D$11)),$L76,U12,TRUE)</f>
        <v>7.0020631452495291E-2</v>
      </c>
      <c r="V76" s="84">
        <f ca="1">_xll.qlBlackVolTermStructureBlackVol(IF($N$1="GasSummer",$D$10,IF($N$1="GasWinter",$D$9,$D$11)),$L76,V12,TRUE)</f>
        <v>7.306480505199163E-2</v>
      </c>
      <c r="W76" s="84">
        <f ca="1">_xll.qlBlackVolTermStructureBlackVol(IF($N$1="GasSummer",$D$10,IF($N$1="GasWinter",$D$9,$D$11)),$L76,W12,TRUE)</f>
        <v>7.5671422297814553E-2</v>
      </c>
      <c r="X76" s="85">
        <f ca="1">_xll.qlBlackVolTermStructureBlackVol(IF($N$1="GasSummer",$D$10,IF($N$1="GasWinter",$D$9,$D$11)),$L76,X12,TRUE)</f>
        <v>7.9887588213221505E-2</v>
      </c>
    </row>
    <row r="77" spans="2:24">
      <c r="B77">
        <v>0.70136986301369864</v>
      </c>
      <c r="K77" s="71" t="str">
        <f>K69</f>
        <v>3m</v>
      </c>
      <c r="L77" s="59">
        <f>_xll.qlCalendarAdvance("NullCalendar",$D$2,K77)</f>
        <v>43110</v>
      </c>
      <c r="M77" s="60" t="str">
        <f>TEXT(L77,"[$-en-EN]TTMMMJJJ")</f>
        <v>10Jan2018</v>
      </c>
      <c r="N77" s="231">
        <f ca="1">_xll.qlBlackVolTermStructureBlackVol(IF($N$1="GasSummer",$D$10,IF($N$1="GasWinter",$D$9,$D$11)),$L77,N13,TRUE)</f>
        <v>7.0793177708263683E-2</v>
      </c>
      <c r="O77" s="87">
        <f ca="1">_xll.qlBlackVolTermStructureBlackVol(IF($N$1="GasSummer",$D$10,IF($N$1="GasWinter",$D$9,$D$11)),$L77,O13,TRUE)</f>
        <v>6.8577552854430304E-2</v>
      </c>
      <c r="P77" s="87">
        <f ca="1">_xll.qlBlackVolTermStructureBlackVol(IF($N$1="GasSummer",$D$10,IF($N$1="GasWinter",$D$9,$D$11)),$L77,P13,TRUE)</f>
        <v>6.7555285771155243E-2</v>
      </c>
      <c r="Q77" s="87">
        <f ca="1">_xll.qlBlackVolTermStructureBlackVol(IF($N$1="GasSummer",$D$10,IF($N$1="GasWinter",$D$9,$D$11)),$L77,Q13,TRUE)</f>
        <v>6.685386333307107E-2</v>
      </c>
      <c r="R77" s="87">
        <f ca="1">_xll.qlBlackVolTermStructureBlackVol(IF($N$1="GasSummer",$D$10,IF($N$1="GasWinter",$D$9,$D$11)),$L77,R13,TRUE)</f>
        <v>6.6945057359502999E-2</v>
      </c>
      <c r="S77" s="87">
        <f ca="1">_xll.qlBlackVolTermStructureBlackVol(IF($N$1="GasSummer",$D$10,IF($N$1="GasWinter",$D$9,$D$11)),$L77,S13,TRUE)</f>
        <v>6.7876125337329105E-2</v>
      </c>
      <c r="T77" s="87">
        <f ca="1">_xll.qlBlackVolTermStructureBlackVol(IF($N$1="GasSummer",$D$10,IF($N$1="GasWinter",$D$9,$D$11)),$L77,T13,TRUE)</f>
        <v>6.9963391568118483E-2</v>
      </c>
      <c r="U77" s="87">
        <f ca="1">_xll.qlBlackVolTermStructureBlackVol(IF($N$1="GasSummer",$D$10,IF($N$1="GasWinter",$D$9,$D$11)),$L77,U13,TRUE)</f>
        <v>7.2214427605187773E-2</v>
      </c>
      <c r="V77" s="87">
        <f ca="1">_xll.qlBlackVolTermStructureBlackVol(IF($N$1="GasSummer",$D$10,IF($N$1="GasWinter",$D$9,$D$11)),$L77,V13,TRUE)</f>
        <v>7.5842302313096355E-2</v>
      </c>
      <c r="W77" s="87">
        <f ca="1">_xll.qlBlackVolTermStructureBlackVol(IF($N$1="GasSummer",$D$10,IF($N$1="GasWinter",$D$9,$D$11)),$L77,W13,TRUE)</f>
        <v>7.8944560436268602E-2</v>
      </c>
      <c r="X77" s="88">
        <f ca="1">_xll.qlBlackVolTermStructureBlackVol(IF($N$1="GasSummer",$D$10,IF($N$1="GasWinter",$D$9,$D$11)),$L77,X13,TRUE)</f>
        <v>8.3960346588919058E-2</v>
      </c>
    </row>
    <row r="78" spans="2:24">
      <c r="B78">
        <v>0.72054794520547949</v>
      </c>
      <c r="K78" s="71" t="str">
        <f>K70</f>
        <v>6m</v>
      </c>
      <c r="L78" s="59">
        <f>_xll.qlCalendarAdvance("NullCalendar",$D$2,K78)</f>
        <v>43200</v>
      </c>
      <c r="M78" s="60" t="str">
        <f>TEXT(L78,"[$-en-EN]TTMMMJJJ")</f>
        <v>10Apr2018</v>
      </c>
      <c r="N78" s="86">
        <f ca="1">_xll.qlBlackVolTermStructureBlackVol(IF($N$1="GasSummer",$D$10,IF($N$1="GasWinter",$D$9,$D$11)),$L78,N14,TRUE)</f>
        <v>8.0199215456545875E-2</v>
      </c>
      <c r="O78" s="87">
        <f ca="1">_xll.qlBlackVolTermStructureBlackVol(IF($N$1="GasSummer",$D$10,IF($N$1="GasWinter",$D$9,$D$11)),$L78,O14,TRUE)</f>
        <v>7.6114849995725972E-2</v>
      </c>
      <c r="P78" s="87">
        <f ca="1">_xll.qlBlackVolTermStructureBlackVol(IF($N$1="GasSummer",$D$10,IF($N$1="GasWinter",$D$9,$D$11)),$L78,P14,TRUE)</f>
        <v>7.4103210296071434E-2</v>
      </c>
      <c r="Q78" s="87">
        <f ca="1">_xll.qlBlackVolTermStructureBlackVol(IF($N$1="GasSummer",$D$10,IF($N$1="GasWinter",$D$9,$D$11)),$L78,Q14,TRUE)</f>
        <v>7.2380765798516059E-2</v>
      </c>
      <c r="R78" s="87">
        <f ca="1">_xll.qlBlackVolTermStructureBlackVol(IF($N$1="GasSummer",$D$10,IF($N$1="GasWinter",$D$9,$D$11)),$L78,R14,TRUE)</f>
        <v>7.1930168618359158E-2</v>
      </c>
      <c r="S78" s="87">
        <f ca="1">_xll.qlBlackVolTermStructureBlackVol(IF($N$1="GasSummer",$D$10,IF($N$1="GasWinter",$D$9,$D$11)),$L78,S14,TRUE)</f>
        <v>7.2520466115916962E-2</v>
      </c>
      <c r="T78" s="87">
        <f ca="1">_xll.qlBlackVolTermStructureBlackVol(IF($N$1="GasSummer",$D$10,IF($N$1="GasWinter",$D$9,$D$11)),$L78,T14,TRUE)</f>
        <v>7.4745184469899556E-2</v>
      </c>
      <c r="U78" s="87">
        <f ca="1">_xll.qlBlackVolTermStructureBlackVol(IF($N$1="GasSummer",$D$10,IF($N$1="GasWinter",$D$9,$D$11)),$L78,U14,TRUE)</f>
        <v>7.7388848830897458E-2</v>
      </c>
      <c r="V78" s="87">
        <f ca="1">_xll.qlBlackVolTermStructureBlackVol(IF($N$1="GasSummer",$D$10,IF($N$1="GasWinter",$D$9,$D$11)),$L78,V14,TRUE)</f>
        <v>8.1877936961609499E-2</v>
      </c>
      <c r="W78" s="87">
        <f ca="1">_xll.qlBlackVolTermStructureBlackVol(IF($N$1="GasSummer",$D$10,IF($N$1="GasWinter",$D$9,$D$11)),$L78,W14,TRUE)</f>
        <v>8.5892720369739384E-2</v>
      </c>
      <c r="X78" s="88">
        <f ca="1">_xll.qlBlackVolTermStructureBlackVol(IF($N$1="GasSummer",$D$10,IF($N$1="GasWinter",$D$9,$D$11)),$L78,X14,TRUE)</f>
        <v>9.2463464258357109E-2</v>
      </c>
    </row>
    <row r="79" spans="2:24">
      <c r="B79">
        <v>0.73972602739726023</v>
      </c>
      <c r="K79" s="71" t="str">
        <f>K71</f>
        <v>9m</v>
      </c>
      <c r="L79" s="59">
        <f>_xll.qlCalendarAdvance("NullCalendar",$D$2,K79)</f>
        <v>43291</v>
      </c>
      <c r="M79" s="60" t="str">
        <f>TEXT(L79,"[$-en-EN]TTMMMJJJ")</f>
        <v>10Jul2018</v>
      </c>
      <c r="N79" s="86">
        <f ca="1">_xll.qlBlackVolTermStructureBlackVol(IF($N$1="GasSummer",$D$10,IF($N$1="GasWinter",$D$9,$D$11)),$L79,N15,TRUE)</f>
        <v>8.4087207242603712E-2</v>
      </c>
      <c r="O79" s="87">
        <f ca="1">_xll.qlBlackVolTermStructureBlackVol(IF($N$1="GasSummer",$D$10,IF($N$1="GasWinter",$D$9,$D$11)),$L79,O15,TRUE)</f>
        <v>7.9101711863685087E-2</v>
      </c>
      <c r="P79" s="87">
        <f ca="1">_xll.qlBlackVolTermStructureBlackVol(IF($N$1="GasSummer",$D$10,IF($N$1="GasWinter",$D$9,$D$11)),$L79,P15,TRUE)</f>
        <v>7.6505510587805484E-2</v>
      </c>
      <c r="Q79" s="87">
        <f ca="1">_xll.qlBlackVolTermStructureBlackVol(IF($N$1="GasSummer",$D$10,IF($N$1="GasWinter",$D$9,$D$11)),$L79,Q15,TRUE)</f>
        <v>7.4227870751023522E-2</v>
      </c>
      <c r="R79" s="87">
        <f ca="1">_xll.qlBlackVolTermStructureBlackVol(IF($N$1="GasSummer",$D$10,IF($N$1="GasWinter",$D$9,$D$11)),$L79,R15,TRUE)</f>
        <v>7.3527148284810662E-2</v>
      </c>
      <c r="S79" s="87">
        <f ca="1">_xll.qlBlackVolTermStructureBlackVol(IF($N$1="GasSummer",$D$10,IF($N$1="GasWinter",$D$9,$D$11)),$L79,S15,TRUE)</f>
        <v>7.3977559773010695E-2</v>
      </c>
      <c r="T79" s="87">
        <f ca="1">_xll.qlBlackVolTermStructureBlackVol(IF($N$1="GasSummer",$D$10,IF($N$1="GasWinter",$D$9,$D$11)),$L79,T15,TRUE)</f>
        <v>7.635752976706163E-2</v>
      </c>
      <c r="U79" s="87">
        <f ca="1">_xll.qlBlackVolTermStructureBlackVol(IF($N$1="GasSummer",$D$10,IF($N$1="GasWinter",$D$9,$D$11)),$L79,U15,TRUE)</f>
        <v>7.9276590458877444E-2</v>
      </c>
      <c r="V79" s="87">
        <f ca="1">_xll.qlBlackVolTermStructureBlackVol(IF($N$1="GasSummer",$D$10,IF($N$1="GasWinter",$D$9,$D$11)),$L79,V15,TRUE)</f>
        <v>8.42255288371625E-2</v>
      </c>
      <c r="W79" s="87">
        <f ca="1">_xll.qlBlackVolTermStructureBlackVol(IF($N$1="GasSummer",$D$10,IF($N$1="GasWinter",$D$9,$D$11)),$L79,W15,TRUE)</f>
        <v>8.8893309801875625E-2</v>
      </c>
      <c r="X79" s="88">
        <f ca="1">_xll.qlBlackVolTermStructureBlackVol(IF($N$1="GasSummer",$D$10,IF($N$1="GasWinter",$D$9,$D$11)),$L79,X15,TRUE)</f>
        <v>9.6373012138201639E-2</v>
      </c>
    </row>
    <row r="80" spans="2:24">
      <c r="B80">
        <v>0.75890410958904109</v>
      </c>
      <c r="K80" s="72" t="str">
        <f>K72</f>
        <v>1y</v>
      </c>
      <c r="L80" s="61">
        <f>_xll.qlCalendarAdvance("NullCalendar",$D$2,K80)</f>
        <v>43383</v>
      </c>
      <c r="M80" s="62" t="str">
        <f>TEXT(L80,"[$-en-EN]TTMMMJJJ")</f>
        <v>10Oct2018</v>
      </c>
      <c r="N80" s="89">
        <f ca="1">_xll.qlBlackVolTermStructureBlackVol(IF($N$1="GasSummer",$D$10,IF($N$1="GasWinter",$D$9,$D$11)),$L80,N16,TRUE)</f>
        <v>8.748989925588907E-2</v>
      </c>
      <c r="O80" s="90">
        <f ca="1">_xll.qlBlackVolTermStructureBlackVol(IF($N$1="GasSummer",$D$10,IF($N$1="GasWinter",$D$9,$D$11)),$L80,O16,TRUE)</f>
        <v>8.1347465198777905E-2</v>
      </c>
      <c r="P80" s="90">
        <f ca="1">_xll.qlBlackVolTermStructureBlackVol(IF($N$1="GasSummer",$D$10,IF($N$1="GasWinter",$D$9,$D$11)),$L80,P16,TRUE)</f>
        <v>7.8222116068633288E-2</v>
      </c>
      <c r="Q80" s="90">
        <f ca="1">_xll.qlBlackVolTermStructureBlackVol(IF($N$1="GasSummer",$D$10,IF($N$1="GasWinter",$D$9,$D$11)),$L80,Q16,TRUE)</f>
        <v>7.5539635414897527E-2</v>
      </c>
      <c r="R80" s="90">
        <f ca="1">_xll.qlBlackVolTermStructureBlackVol(IF($N$1="GasSummer",$D$10,IF($N$1="GasWinter",$D$9,$D$11)),$L80,R16,TRUE)</f>
        <v>7.4623736257026757E-2</v>
      </c>
      <c r="S80" s="90">
        <f ca="1">_xll.qlBlackVolTermStructureBlackVol(IF($N$1="GasSummer",$D$10,IF($N$1="GasWinter",$D$9,$D$11)),$L80,S16,TRUE)</f>
        <v>7.4953945487623908E-2</v>
      </c>
      <c r="T80" s="90">
        <f ca="1">_xll.qlBlackVolTermStructureBlackVol(IF($N$1="GasSummer",$D$10,IF($N$1="GasWinter",$D$9,$D$11)),$L80,T16,TRUE)</f>
        <v>7.7459702460831531E-2</v>
      </c>
      <c r="U80" s="90">
        <f ca="1">_xll.qlBlackVolTermStructureBlackVol(IF($N$1="GasSummer",$D$10,IF($N$1="GasWinter",$D$9,$D$11)),$L80,U16,TRUE)</f>
        <v>8.0596609501685346E-2</v>
      </c>
      <c r="V80" s="90">
        <f ca="1">_xll.qlBlackVolTermStructureBlackVol(IF($N$1="GasSummer",$D$10,IF($N$1="GasWinter",$D$9,$D$11)),$L80,V16,TRUE)</f>
        <v>8.6092548706499489E-2</v>
      </c>
      <c r="W80" s="90">
        <f ca="1">_xll.qlBlackVolTermStructureBlackVol(IF($N$1="GasSummer",$D$10,IF($N$1="GasWinter",$D$9,$D$11)),$L80,W16,TRUE)</f>
        <v>9.1108872049926556E-2</v>
      </c>
      <c r="X80" s="91">
        <f ca="1">_xll.qlBlackVolTermStructureBlackVol(IF($N$1="GasSummer",$D$10,IF($N$1="GasWinter",$D$9,$D$11)),$L80,X16,TRUE)</f>
        <v>9.9269341828349109E-2</v>
      </c>
    </row>
    <row r="81" spans="2:24">
      <c r="B81">
        <v>0.77808219178082194</v>
      </c>
    </row>
    <row r="82" spans="2:24">
      <c r="B82">
        <v>0.79726027397260268</v>
      </c>
      <c r="K82" s="1" t="s">
        <v>223</v>
      </c>
      <c r="L82" s="2"/>
      <c r="M82" s="47"/>
      <c r="N82" s="4" t="s">
        <v>31</v>
      </c>
      <c r="O82" s="19"/>
      <c r="P82" s="19"/>
      <c r="Q82" s="19"/>
      <c r="R82" s="19"/>
      <c r="S82" s="19"/>
      <c r="T82" s="19"/>
      <c r="U82" s="19"/>
      <c r="V82" s="19"/>
      <c r="W82" s="19"/>
      <c r="X82" s="40"/>
    </row>
    <row r="83" spans="2:24">
      <c r="B83">
        <v>0.81643835616438354</v>
      </c>
      <c r="K83" s="49" t="s">
        <v>25</v>
      </c>
      <c r="L83" s="50" t="s">
        <v>30</v>
      </c>
      <c r="M83" s="50" t="s">
        <v>4</v>
      </c>
      <c r="N83" s="72">
        <f ca="1">N75</f>
        <v>-0.05</v>
      </c>
      <c r="O83" s="73">
        <f ca="1">O75</f>
        <v>-0.1</v>
      </c>
      <c r="P83" s="73">
        <f ca="1">P75</f>
        <v>-0.15</v>
      </c>
      <c r="Q83" s="73">
        <f ca="1">Q75</f>
        <v>-0.25</v>
      </c>
      <c r="R83" s="73">
        <f ca="1">R75</f>
        <v>-0.35</v>
      </c>
      <c r="S83" s="73" t="str">
        <f ca="1">S75</f>
        <v>ATM</v>
      </c>
      <c r="T83" s="73">
        <f ca="1">T75</f>
        <v>0.35</v>
      </c>
      <c r="U83" s="73">
        <f ca="1">U75</f>
        <v>0.25</v>
      </c>
      <c r="V83" s="73">
        <f ca="1">V75</f>
        <v>0.15</v>
      </c>
      <c r="W83" s="73">
        <f ca="1">W75</f>
        <v>0.1</v>
      </c>
      <c r="X83" s="62">
        <f ca="1">X75</f>
        <v>0.05</v>
      </c>
    </row>
    <row r="84" spans="2:24">
      <c r="B84">
        <v>0.83561643835616439</v>
      </c>
      <c r="K84" s="70" t="str">
        <f>K76</f>
        <v>1m</v>
      </c>
      <c r="L84" s="57">
        <f>_xll.qlCalendarAdvance("NullCalendar",$D$2,K84)</f>
        <v>43049</v>
      </c>
      <c r="M84" s="58" t="str">
        <f>TEXT(L84,"[$-en-EN]TTMMMJJJ")</f>
        <v>10Nov2017</v>
      </c>
      <c r="N84" s="165">
        <f ca="1">N68-N76</f>
        <v>-6.7285383485878952E-2</v>
      </c>
      <c r="O84" s="166">
        <f ca="1">O68-O76</f>
        <v>-6.5804531269174529E-2</v>
      </c>
      <c r="P84" s="166">
        <f ca="1">P68-P76</f>
        <v>-6.5204062121401077E-2</v>
      </c>
      <c r="Q84" s="166">
        <f ca="1">Q68-Q76</f>
        <v>-6.491050200083702E-2</v>
      </c>
      <c r="R84" s="166">
        <f ca="1">R68-R76</f>
        <v>-6.5179490551339384E-2</v>
      </c>
      <c r="S84" s="166">
        <f ca="1">S68-S76</f>
        <v>-6.6182608387647224E-2</v>
      </c>
      <c r="T84" s="166">
        <f ca="1">T60-T76</f>
        <v>-6.8062200033787879E-2</v>
      </c>
      <c r="U84" s="166">
        <f ca="1">U60-U76</f>
        <v>-7.0020631452495291E-2</v>
      </c>
      <c r="V84" s="166">
        <f ca="1">V60-V76</f>
        <v>-7.306480505199163E-2</v>
      </c>
      <c r="W84" s="166">
        <f ca="1">W60-W76</f>
        <v>-7.5671422297814553E-2</v>
      </c>
      <c r="X84" s="167">
        <f ca="1">X60-X76</f>
        <v>-7.9887588213221505E-2</v>
      </c>
    </row>
    <row r="85" spans="2:24">
      <c r="B85">
        <v>0.85479452054794525</v>
      </c>
      <c r="K85" s="71" t="str">
        <f>K77</f>
        <v>3m</v>
      </c>
      <c r="L85" s="59">
        <f>_xll.qlCalendarAdvance("NullCalendar",$D$2,K85)</f>
        <v>43110</v>
      </c>
      <c r="M85" s="60" t="str">
        <f>TEXT(L85,"[$-en-EN]TTMMMJJJ")</f>
        <v>10Jan2018</v>
      </c>
      <c r="N85" s="168">
        <f ca="1">N69-N77</f>
        <v>-7.0793177708263683E-2</v>
      </c>
      <c r="O85" s="169">
        <f ca="1">O69-O77</f>
        <v>-6.8577552854430304E-2</v>
      </c>
      <c r="P85" s="169">
        <f ca="1">P69-P77</f>
        <v>-6.7555285771155243E-2</v>
      </c>
      <c r="Q85" s="169">
        <f ca="1">Q69-Q77</f>
        <v>-6.685386333307107E-2</v>
      </c>
      <c r="R85" s="169">
        <f ca="1">R69-R77</f>
        <v>-6.6945057359502999E-2</v>
      </c>
      <c r="S85" s="169">
        <f ca="1">S69-S77</f>
        <v>-6.7876125337329105E-2</v>
      </c>
      <c r="T85" s="169">
        <f ca="1">T61-T77</f>
        <v>-6.9963391568118483E-2</v>
      </c>
      <c r="U85" s="169">
        <f ca="1">U61-U77</f>
        <v>-7.2214427605187773E-2</v>
      </c>
      <c r="V85" s="169">
        <f ca="1">V61-V77</f>
        <v>-7.5842302313096355E-2</v>
      </c>
      <c r="W85" s="169">
        <f ca="1">W61-W77</f>
        <v>-7.8944560436268602E-2</v>
      </c>
      <c r="X85" s="170">
        <f ca="1">X61-X77</f>
        <v>-8.3960346588919058E-2</v>
      </c>
    </row>
    <row r="86" spans="2:24">
      <c r="B86">
        <v>0.87397260273972599</v>
      </c>
      <c r="K86" s="71" t="str">
        <f>K78</f>
        <v>6m</v>
      </c>
      <c r="L86" s="59">
        <f>_xll.qlCalendarAdvance("NullCalendar",$D$2,K86)</f>
        <v>43200</v>
      </c>
      <c r="M86" s="60" t="str">
        <f>TEXT(L86,"[$-en-EN]TTMMMJJJ")</f>
        <v>10Apr2018</v>
      </c>
      <c r="N86" s="168">
        <f ca="1">N70-N78</f>
        <v>-8.0199215456545875E-2</v>
      </c>
      <c r="O86" s="169">
        <f ca="1">O70-O78</f>
        <v>-7.6114849995725972E-2</v>
      </c>
      <c r="P86" s="169">
        <f ca="1">P70-P78</f>
        <v>-7.4103210296071434E-2</v>
      </c>
      <c r="Q86" s="169">
        <f ca="1">Q70-Q78</f>
        <v>-7.2380765798516059E-2</v>
      </c>
      <c r="R86" s="169">
        <f ca="1">R70-R78</f>
        <v>-7.1930168618359158E-2</v>
      </c>
      <c r="S86" s="169">
        <f ca="1">S70-S78</f>
        <v>-7.2520466115916962E-2</v>
      </c>
      <c r="T86" s="169">
        <f ca="1">T62-T78</f>
        <v>-7.4745184469899556E-2</v>
      </c>
      <c r="U86" s="169">
        <f ca="1">U62-U78</f>
        <v>-7.7388848830897458E-2</v>
      </c>
      <c r="V86" s="169">
        <f ca="1">V62-V78</f>
        <v>-8.1877936961609499E-2</v>
      </c>
      <c r="W86" s="169">
        <f ca="1">W62-W78</f>
        <v>-8.5892720369739384E-2</v>
      </c>
      <c r="X86" s="170">
        <f ca="1">X62-X78</f>
        <v>-9.2463464258357109E-2</v>
      </c>
    </row>
    <row r="87" spans="2:24">
      <c r="B87">
        <v>0.89315068493150684</v>
      </c>
      <c r="K87" s="71" t="str">
        <f>K79</f>
        <v>9m</v>
      </c>
      <c r="L87" s="59">
        <f>_xll.qlCalendarAdvance("NullCalendar",$D$2,K87)</f>
        <v>43291</v>
      </c>
      <c r="M87" s="60" t="str">
        <f>TEXT(L87,"[$-en-EN]TTMMMJJJ")</f>
        <v>10Jul2018</v>
      </c>
      <c r="N87" s="168">
        <f ca="1">N71-N79</f>
        <v>-8.4087207242603712E-2</v>
      </c>
      <c r="O87" s="169">
        <f ca="1">O71-O79</f>
        <v>-7.9101711863685087E-2</v>
      </c>
      <c r="P87" s="169">
        <f ca="1">P71-P79</f>
        <v>-7.6505510587805484E-2</v>
      </c>
      <c r="Q87" s="169">
        <f ca="1">Q71-Q79</f>
        <v>-7.4227870751023522E-2</v>
      </c>
      <c r="R87" s="169">
        <f ca="1">R71-R79</f>
        <v>-7.3527148284810662E-2</v>
      </c>
      <c r="S87" s="169">
        <f ca="1">S71-S79</f>
        <v>-7.3977559773010695E-2</v>
      </c>
      <c r="T87" s="169">
        <f ca="1">T63-T79</f>
        <v>-7.635752976706163E-2</v>
      </c>
      <c r="U87" s="169">
        <f ca="1">U63-U79</f>
        <v>-7.9276590458877444E-2</v>
      </c>
      <c r="V87" s="169">
        <f ca="1">V63-V79</f>
        <v>-8.42255288371625E-2</v>
      </c>
      <c r="W87" s="169">
        <f ca="1">W63-W79</f>
        <v>-8.8893309801875625E-2</v>
      </c>
      <c r="X87" s="170">
        <f ca="1">X63-X79</f>
        <v>-9.6373012138201639E-2</v>
      </c>
    </row>
    <row r="88" spans="2:24">
      <c r="B88">
        <v>0.9123287671232877</v>
      </c>
      <c r="K88" s="72" t="str">
        <f>K80</f>
        <v>1y</v>
      </c>
      <c r="L88" s="61">
        <f>_xll.qlCalendarAdvance("NullCalendar",$D$2,K88)</f>
        <v>43383</v>
      </c>
      <c r="M88" s="62" t="str">
        <f>TEXT(L88,"[$-en-EN]TTMMMJJJ")</f>
        <v>10Oct2018</v>
      </c>
      <c r="N88" s="171">
        <f ca="1">N72-N80</f>
        <v>-8.748989925588907E-2</v>
      </c>
      <c r="O88" s="172">
        <f ca="1">O72-O80</f>
        <v>-8.1347465198777905E-2</v>
      </c>
      <c r="P88" s="172">
        <f ca="1">P72-P80</f>
        <v>-7.8222116068633288E-2</v>
      </c>
      <c r="Q88" s="172">
        <f ca="1">Q72-Q80</f>
        <v>-7.5539635414897527E-2</v>
      </c>
      <c r="R88" s="172">
        <f ca="1">R72-R80</f>
        <v>-7.4623736257026757E-2</v>
      </c>
      <c r="S88" s="172">
        <f ca="1">S72-S80</f>
        <v>-7.4953945487623908E-2</v>
      </c>
      <c r="T88" s="172">
        <f ca="1">T64-T80</f>
        <v>-7.7459702460831531E-2</v>
      </c>
      <c r="U88" s="172">
        <f ca="1">U64-U80</f>
        <v>-8.0596609501685346E-2</v>
      </c>
      <c r="V88" s="172">
        <f ca="1">V64-V80</f>
        <v>-8.6092548706499489E-2</v>
      </c>
      <c r="W88" s="172">
        <f ca="1">W64-W80</f>
        <v>-9.1108872049926556E-2</v>
      </c>
      <c r="X88" s="173">
        <f ca="1">X64-X80</f>
        <v>-9.9269341828349109E-2</v>
      </c>
    </row>
    <row r="89" spans="2:24">
      <c r="B89">
        <v>0.93150684931506844</v>
      </c>
    </row>
    <row r="90" spans="2:24">
      <c r="B90">
        <v>0.9506849315068493</v>
      </c>
    </row>
    <row r="91" spans="2:24">
      <c r="B91">
        <v>0.96986301369863015</v>
      </c>
    </row>
    <row r="92" spans="2:24">
      <c r="B92">
        <v>0.989041095890411</v>
      </c>
    </row>
    <row r="93" spans="2:24">
      <c r="B93">
        <v>1.0082191780821919</v>
      </c>
    </row>
    <row r="94" spans="2:24">
      <c r="B94">
        <v>1.0273972602739727</v>
      </c>
    </row>
    <row r="95" spans="2:24">
      <c r="B95">
        <v>1.0465753424657533</v>
      </c>
    </row>
    <row r="96" spans="2:24">
      <c r="B96">
        <v>1.0657534246575342</v>
      </c>
    </row>
    <row r="97" spans="2:2">
      <c r="B97">
        <v>1.0849315068493151</v>
      </c>
    </row>
    <row r="98" spans="2:2">
      <c r="B98" t="e">
        <v>#N/A</v>
      </c>
    </row>
    <row r="99" spans="2:2">
      <c r="B99" t="e">
        <v>#N/A</v>
      </c>
    </row>
    <row r="100" spans="2:2">
      <c r="B100" t="e">
        <v>#N/A</v>
      </c>
    </row>
    <row r="101" spans="2:2">
      <c r="B101" t="e">
        <v>#N/A</v>
      </c>
    </row>
    <row r="102" spans="2:2">
      <c r="B102" t="e">
        <v>#N/A</v>
      </c>
    </row>
    <row r="103" spans="2:2">
      <c r="B103" t="e">
        <v>#N/A</v>
      </c>
    </row>
    <row r="104" spans="2:2">
      <c r="B104" t="e">
        <v>#N/A</v>
      </c>
    </row>
    <row r="105" spans="2:2">
      <c r="B105" t="e">
        <v>#N/A</v>
      </c>
    </row>
    <row r="106" spans="2:2">
      <c r="B106" t="e">
        <v>#N/A</v>
      </c>
    </row>
    <row r="107" spans="2:2">
      <c r="B107" t="e">
        <v>#N/A</v>
      </c>
    </row>
    <row r="108" spans="2:2">
      <c r="B108" t="e">
        <v>#N/A</v>
      </c>
    </row>
    <row r="109" spans="2:2">
      <c r="B109" t="e">
        <v>#N/A</v>
      </c>
    </row>
    <row r="110" spans="2:2">
      <c r="B110" t="e">
        <v>#N/A</v>
      </c>
    </row>
    <row r="111" spans="2:2">
      <c r="B111" t="e">
        <v>#N/A</v>
      </c>
    </row>
    <row r="112" spans="2:2">
      <c r="B112" t="e">
        <v>#N/A</v>
      </c>
    </row>
    <row r="113" spans="2:2">
      <c r="B113" t="e">
        <v>#N/A</v>
      </c>
    </row>
    <row r="114" spans="2:2">
      <c r="B114" t="e">
        <v>#N/A</v>
      </c>
    </row>
    <row r="115" spans="2:2">
      <c r="B115" t="e">
        <v>#N/A</v>
      </c>
    </row>
    <row r="116" spans="2:2">
      <c r="B116" t="e">
        <v>#N/A</v>
      </c>
    </row>
    <row r="117" spans="2:2">
      <c r="B117" t="e">
        <v>#N/A</v>
      </c>
    </row>
    <row r="118" spans="2:2">
      <c r="B118" t="e">
        <v>#N/A</v>
      </c>
    </row>
    <row r="119" spans="2:2">
      <c r="B119" t="e">
        <v>#N/A</v>
      </c>
    </row>
    <row r="120" spans="2:2">
      <c r="B120" t="e">
        <v>#N/A</v>
      </c>
    </row>
    <row r="121" spans="2:2">
      <c r="B121" t="e">
        <v>#N/A</v>
      </c>
    </row>
    <row r="122" spans="2:2">
      <c r="B122" t="e">
        <v>#N/A</v>
      </c>
    </row>
    <row r="123" spans="2:2">
      <c r="B123" t="e">
        <v>#N/A</v>
      </c>
    </row>
    <row r="124" spans="2:2">
      <c r="B124" t="e">
        <v>#N/A</v>
      </c>
    </row>
    <row r="125" spans="2:2">
      <c r="B125" t="e">
        <v>#N/A</v>
      </c>
    </row>
    <row r="126" spans="2:2">
      <c r="B126" t="e">
        <v>#N/A</v>
      </c>
    </row>
    <row r="127" spans="2:2">
      <c r="B127" t="e">
        <v>#N/A</v>
      </c>
    </row>
    <row r="128" spans="2:2">
      <c r="B128" t="e">
        <v>#N/A</v>
      </c>
    </row>
    <row r="129" spans="2:2">
      <c r="B129" t="e">
        <v>#N/A</v>
      </c>
    </row>
    <row r="130" spans="2:2">
      <c r="B130" t="e">
        <v>#N/A</v>
      </c>
    </row>
    <row r="131" spans="2:2">
      <c r="B131" t="e">
        <v>#N/A</v>
      </c>
    </row>
    <row r="132" spans="2:2">
      <c r="B132" t="e">
        <v>#N/A</v>
      </c>
    </row>
    <row r="133" spans="2:2">
      <c r="B133" t="e">
        <v>#N/A</v>
      </c>
    </row>
    <row r="134" spans="2:2">
      <c r="B134" t="e">
        <v>#N/A</v>
      </c>
    </row>
    <row r="135" spans="2:2">
      <c r="B135" t="e">
        <v>#N/A</v>
      </c>
    </row>
    <row r="136" spans="2:2">
      <c r="B136" t="e">
        <v>#N/A</v>
      </c>
    </row>
    <row r="137" spans="2:2">
      <c r="B137" t="e">
        <v>#N/A</v>
      </c>
    </row>
    <row r="138" spans="2:2">
      <c r="B138" t="e">
        <v>#N/A</v>
      </c>
    </row>
    <row r="139" spans="2:2">
      <c r="B139" t="e">
        <v>#N/A</v>
      </c>
    </row>
    <row r="140" spans="2:2">
      <c r="B140" t="e">
        <v>#N/A</v>
      </c>
    </row>
    <row r="141" spans="2:2">
      <c r="B141" t="e">
        <v>#N/A</v>
      </c>
    </row>
    <row r="142" spans="2:2">
      <c r="B142" t="e">
        <v>#N/A</v>
      </c>
    </row>
    <row r="143" spans="2:2">
      <c r="B143" t="e">
        <v>#N/A</v>
      </c>
    </row>
    <row r="144" spans="2:2">
      <c r="B144" t="e">
        <v>#N/A</v>
      </c>
    </row>
    <row r="145" spans="2:2">
      <c r="B145" t="e">
        <v>#N/A</v>
      </c>
    </row>
    <row r="146" spans="2:2">
      <c r="B146" t="e">
        <v>#N/A</v>
      </c>
    </row>
    <row r="147" spans="2:2">
      <c r="B147" t="e">
        <v>#N/A</v>
      </c>
    </row>
    <row r="148" spans="2:2">
      <c r="B148" t="e">
        <v>#N/A</v>
      </c>
    </row>
    <row r="149" spans="2:2">
      <c r="B149" t="e">
        <v>#N/A</v>
      </c>
    </row>
    <row r="150" spans="2:2">
      <c r="B150" t="e">
        <v>#N/A</v>
      </c>
    </row>
    <row r="151" spans="2:2">
      <c r="B151" t="e">
        <v>#N/A</v>
      </c>
    </row>
    <row r="152" spans="2:2">
      <c r="B152" t="e">
        <v>#N/A</v>
      </c>
    </row>
    <row r="153" spans="2:2">
      <c r="B153" t="e">
        <v>#N/A</v>
      </c>
    </row>
    <row r="154" spans="2:2">
      <c r="B154" t="e">
        <v>#N/A</v>
      </c>
    </row>
    <row r="155" spans="2:2">
      <c r="B155" t="e">
        <v>#N/A</v>
      </c>
    </row>
    <row r="156" spans="2:2">
      <c r="B156" t="e">
        <v>#N/A</v>
      </c>
    </row>
    <row r="157" spans="2:2">
      <c r="B157" t="e">
        <v>#N/A</v>
      </c>
    </row>
    <row r="158" spans="2:2">
      <c r="B158" t="e">
        <v>#N/A</v>
      </c>
    </row>
    <row r="159" spans="2:2">
      <c r="B159" t="e">
        <v>#N/A</v>
      </c>
    </row>
    <row r="160" spans="2:2">
      <c r="B160" t="e">
        <v>#N/A</v>
      </c>
    </row>
    <row r="161" spans="2:2">
      <c r="B161" t="e">
        <v>#N/A</v>
      </c>
    </row>
    <row r="162" spans="2:2">
      <c r="B162" t="e">
        <v>#N/A</v>
      </c>
    </row>
    <row r="163" spans="2:2">
      <c r="B163" t="e">
        <v>#N/A</v>
      </c>
    </row>
    <row r="164" spans="2:2">
      <c r="B164" t="e">
        <v>#N/A</v>
      </c>
    </row>
    <row r="165" spans="2:2">
      <c r="B165" t="e">
        <v>#N/A</v>
      </c>
    </row>
    <row r="166" spans="2:2">
      <c r="B166" t="e">
        <v>#N/A</v>
      </c>
    </row>
    <row r="167" spans="2:2">
      <c r="B167" t="e">
        <v>#N/A</v>
      </c>
    </row>
    <row r="168" spans="2:2">
      <c r="B168" t="e">
        <v>#N/A</v>
      </c>
    </row>
    <row r="169" spans="2:2">
      <c r="B169" t="e">
        <v>#N/A</v>
      </c>
    </row>
    <row r="170" spans="2:2">
      <c r="B170" t="e">
        <v>#N/A</v>
      </c>
    </row>
    <row r="171" spans="2:2">
      <c r="B171" t="e">
        <v>#N/A</v>
      </c>
    </row>
    <row r="172" spans="2:2">
      <c r="B172" t="e">
        <v>#N/A</v>
      </c>
    </row>
    <row r="173" spans="2:2">
      <c r="B173" t="e">
        <v>#N/A</v>
      </c>
    </row>
    <row r="174" spans="2:2">
      <c r="B174" t="e">
        <v>#N/A</v>
      </c>
    </row>
    <row r="175" spans="2:2">
      <c r="B175" t="e">
        <v>#N/A</v>
      </c>
    </row>
    <row r="176" spans="2:2">
      <c r="B176" t="e">
        <v>#N/A</v>
      </c>
    </row>
    <row r="177" spans="2:2">
      <c r="B177" t="e">
        <v>#N/A</v>
      </c>
    </row>
    <row r="178" spans="2:2">
      <c r="B178" t="e">
        <v>#N/A</v>
      </c>
    </row>
    <row r="179" spans="2:2">
      <c r="B179" t="e">
        <v>#N/A</v>
      </c>
    </row>
    <row r="180" spans="2:2">
      <c r="B180" t="e">
        <v>#N/A</v>
      </c>
    </row>
    <row r="181" spans="2:2">
      <c r="B181" t="e">
        <v>#N/A</v>
      </c>
    </row>
    <row r="182" spans="2:2">
      <c r="B182" t="e">
        <v>#N/A</v>
      </c>
    </row>
    <row r="183" spans="2:2">
      <c r="B183" t="e">
        <v>#N/A</v>
      </c>
    </row>
    <row r="184" spans="2:2">
      <c r="B184" t="e">
        <v>#N/A</v>
      </c>
    </row>
    <row r="185" spans="2:2">
      <c r="B185" t="e">
        <v>#N/A</v>
      </c>
    </row>
    <row r="186" spans="2:2">
      <c r="B186" t="e">
        <v>#N/A</v>
      </c>
    </row>
    <row r="187" spans="2:2">
      <c r="B187" t="e">
        <v>#N/A</v>
      </c>
    </row>
    <row r="188" spans="2:2">
      <c r="B188" t="e">
        <v>#N/A</v>
      </c>
    </row>
    <row r="189" spans="2:2">
      <c r="B189" t="e">
        <v>#N/A</v>
      </c>
    </row>
    <row r="190" spans="2:2">
      <c r="B190" t="e">
        <v>#N/A</v>
      </c>
    </row>
    <row r="191" spans="2:2">
      <c r="B191" t="e">
        <v>#N/A</v>
      </c>
    </row>
    <row r="192" spans="2:2">
      <c r="B192" t="e">
        <v>#N/A</v>
      </c>
    </row>
    <row r="193" spans="2:2">
      <c r="B193" t="e">
        <v>#N/A</v>
      </c>
    </row>
    <row r="194" spans="2:2">
      <c r="B194" t="e">
        <v>#N/A</v>
      </c>
    </row>
    <row r="195" spans="2:2">
      <c r="B195" t="e">
        <v>#N/A</v>
      </c>
    </row>
    <row r="196" spans="2:2">
      <c r="B196" t="e">
        <v>#N/A</v>
      </c>
    </row>
    <row r="197" spans="2:2">
      <c r="B197" t="e">
        <v>#N/A</v>
      </c>
    </row>
    <row r="198" spans="2:2">
      <c r="B198" t="e">
        <v>#N/A</v>
      </c>
    </row>
    <row r="199" spans="2:2">
      <c r="B199" t="e">
        <v>#N/A</v>
      </c>
    </row>
    <row r="200" spans="2:2">
      <c r="B200" t="e">
        <v>#N/A</v>
      </c>
    </row>
    <row r="201" spans="2:2">
      <c r="B201" t="e">
        <v>#N/A</v>
      </c>
    </row>
    <row r="202" spans="2:2">
      <c r="B202" t="e">
        <v>#N/A</v>
      </c>
    </row>
    <row r="203" spans="2:2">
      <c r="B203" t="e">
        <v>#N/A</v>
      </c>
    </row>
    <row r="204" spans="2:2">
      <c r="B204" t="e">
        <v>#N/A</v>
      </c>
    </row>
    <row r="205" spans="2:2">
      <c r="B205" t="e">
        <v>#N/A</v>
      </c>
    </row>
    <row r="206" spans="2:2">
      <c r="B206" t="e">
        <v>#N/A</v>
      </c>
    </row>
    <row r="207" spans="2:2">
      <c r="B207" t="e">
        <v>#N/A</v>
      </c>
    </row>
    <row r="208" spans="2:2">
      <c r="B208" t="e">
        <v>#N/A</v>
      </c>
    </row>
    <row r="209" spans="2:2">
      <c r="B209" t="e">
        <v>#N/A</v>
      </c>
    </row>
    <row r="210" spans="2:2">
      <c r="B210" t="e">
        <v>#N/A</v>
      </c>
    </row>
    <row r="211" spans="2:2">
      <c r="B211" t="e">
        <v>#N/A</v>
      </c>
    </row>
    <row r="212" spans="2:2">
      <c r="B212" t="e">
        <v>#N/A</v>
      </c>
    </row>
    <row r="213" spans="2:2">
      <c r="B213" t="e">
        <v>#N/A</v>
      </c>
    </row>
    <row r="214" spans="2:2">
      <c r="B214" t="e">
        <v>#N/A</v>
      </c>
    </row>
    <row r="215" spans="2:2">
      <c r="B215" t="e">
        <v>#N/A</v>
      </c>
    </row>
    <row r="216" spans="2:2">
      <c r="B216" t="e">
        <v>#N/A</v>
      </c>
    </row>
    <row r="217" spans="2:2">
      <c r="B217" t="e">
        <v>#N/A</v>
      </c>
    </row>
    <row r="218" spans="2:2">
      <c r="B218" t="e">
        <v>#N/A</v>
      </c>
    </row>
    <row r="219" spans="2:2">
      <c r="B219" t="e">
        <v>#N/A</v>
      </c>
    </row>
    <row r="220" spans="2:2">
      <c r="B220" t="e">
        <v>#N/A</v>
      </c>
    </row>
    <row r="221" spans="2:2">
      <c r="B221" t="e">
        <v>#N/A</v>
      </c>
    </row>
    <row r="222" spans="2:2">
      <c r="B222" t="e">
        <v>#N/A</v>
      </c>
    </row>
    <row r="223" spans="2:2">
      <c r="B223" t="e">
        <v>#N/A</v>
      </c>
    </row>
    <row r="224" spans="2:2">
      <c r="B224" t="e">
        <v>#N/A</v>
      </c>
    </row>
    <row r="225" spans="2:2">
      <c r="B225" t="e">
        <v>#N/A</v>
      </c>
    </row>
    <row r="226" spans="2:2">
      <c r="B226" t="e">
        <v>#N/A</v>
      </c>
    </row>
    <row r="227" spans="2:2">
      <c r="B227" t="e">
        <v>#N/A</v>
      </c>
    </row>
    <row r="228" spans="2:2">
      <c r="B228" t="e">
        <v>#N/A</v>
      </c>
    </row>
    <row r="229" spans="2:2">
      <c r="B229" t="e">
        <v>#N/A</v>
      </c>
    </row>
    <row r="230" spans="2:2">
      <c r="B230" t="e">
        <v>#N/A</v>
      </c>
    </row>
    <row r="231" spans="2:2">
      <c r="B231" t="e">
        <v>#N/A</v>
      </c>
    </row>
    <row r="232" spans="2:2">
      <c r="B232" t="e">
        <v>#N/A</v>
      </c>
    </row>
    <row r="233" spans="2:2">
      <c r="B233" t="e">
        <v>#N/A</v>
      </c>
    </row>
    <row r="234" spans="2:2">
      <c r="B234" t="e">
        <v>#N/A</v>
      </c>
    </row>
    <row r="235" spans="2:2">
      <c r="B235" t="e">
        <v>#N/A</v>
      </c>
    </row>
    <row r="236" spans="2:2">
      <c r="B236" t="e">
        <v>#N/A</v>
      </c>
    </row>
    <row r="237" spans="2:2">
      <c r="B237" t="e">
        <v>#N/A</v>
      </c>
    </row>
    <row r="238" spans="2:2">
      <c r="B238" t="e">
        <v>#N/A</v>
      </c>
    </row>
    <row r="239" spans="2:2">
      <c r="B239" t="e">
        <v>#N/A</v>
      </c>
    </row>
    <row r="240" spans="2:2">
      <c r="B240" t="e">
        <v>#N/A</v>
      </c>
    </row>
    <row r="241" spans="2:2">
      <c r="B241" t="e">
        <v>#N/A</v>
      </c>
    </row>
    <row r="242" spans="2:2">
      <c r="B242" t="e">
        <v>#N/A</v>
      </c>
    </row>
    <row r="243" spans="2:2">
      <c r="B243" t="e">
        <v>#N/A</v>
      </c>
    </row>
    <row r="244" spans="2:2">
      <c r="B244" t="e">
        <v>#N/A</v>
      </c>
    </row>
    <row r="245" spans="2:2">
      <c r="B245" t="e">
        <v>#N/A</v>
      </c>
    </row>
    <row r="246" spans="2:2">
      <c r="B246" t="e">
        <v>#N/A</v>
      </c>
    </row>
    <row r="247" spans="2:2">
      <c r="B247" t="e">
        <v>#N/A</v>
      </c>
    </row>
    <row r="248" spans="2:2">
      <c r="B248" t="e">
        <v>#N/A</v>
      </c>
    </row>
    <row r="249" spans="2:2">
      <c r="B249" t="e">
        <v>#N/A</v>
      </c>
    </row>
    <row r="250" spans="2:2">
      <c r="B250" t="e">
        <v>#N/A</v>
      </c>
    </row>
    <row r="251" spans="2:2">
      <c r="B251" t="e">
        <v>#N/A</v>
      </c>
    </row>
    <row r="252" spans="2:2">
      <c r="B252" t="e">
        <v>#N/A</v>
      </c>
    </row>
    <row r="253" spans="2:2">
      <c r="B253" t="e">
        <v>#N/A</v>
      </c>
    </row>
    <row r="254" spans="2:2">
      <c r="B254" t="e">
        <v>#N/A</v>
      </c>
    </row>
    <row r="255" spans="2:2">
      <c r="B255" t="e">
        <v>#N/A</v>
      </c>
    </row>
    <row r="256" spans="2:2">
      <c r="B256" t="e">
        <v>#N/A</v>
      </c>
    </row>
    <row r="257" spans="2:2">
      <c r="B257" t="e">
        <v>#N/A</v>
      </c>
    </row>
    <row r="258" spans="2:2">
      <c r="B258" t="e">
        <v>#N/A</v>
      </c>
    </row>
    <row r="259" spans="2:2">
      <c r="B259" t="e">
        <v>#N/A</v>
      </c>
    </row>
    <row r="260" spans="2:2">
      <c r="B260" t="e">
        <v>#N/A</v>
      </c>
    </row>
    <row r="261" spans="2:2">
      <c r="B261" t="e">
        <v>#N/A</v>
      </c>
    </row>
    <row r="262" spans="2:2">
      <c r="B262" t="e">
        <v>#N/A</v>
      </c>
    </row>
    <row r="263" spans="2:2">
      <c r="B263" t="e">
        <v>#N/A</v>
      </c>
    </row>
    <row r="264" spans="2:2">
      <c r="B264" t="e">
        <v>#N/A</v>
      </c>
    </row>
    <row r="265" spans="2:2">
      <c r="B265" t="e">
        <v>#N/A</v>
      </c>
    </row>
    <row r="266" spans="2:2">
      <c r="B266" t="e">
        <v>#N/A</v>
      </c>
    </row>
    <row r="267" spans="2:2">
      <c r="B267" t="e">
        <v>#N/A</v>
      </c>
    </row>
    <row r="268" spans="2:2">
      <c r="B268" t="e">
        <v>#N/A</v>
      </c>
    </row>
  </sheetData>
  <dataValidations count="1">
    <dataValidation type="list" allowBlank="1" showInputMessage="1" showErrorMessage="1" sqref="N1">
      <formula1>$H$5:$H$7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DD794"/>
  <sheetViews>
    <sheetView showGridLines="0" topLeftCell="A112" zoomScale="85" zoomScaleNormal="85" workbookViewId="0">
      <selection activeCell="P120" sqref="P120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7.21875" bestFit="1" customWidth="1"/>
    <col min="6" max="6" width="7" bestFit="1" customWidth="1"/>
    <col min="7" max="9" width="6" customWidth="1"/>
    <col min="10" max="10" width="12.44140625" customWidth="1"/>
    <col min="11" max="11" width="14.44140625" bestFit="1" customWidth="1"/>
    <col min="13" max="13" width="10.44140625" bestFit="1" customWidth="1"/>
    <col min="14" max="14" width="11.109375" customWidth="1"/>
    <col min="15" max="15" width="17.21875" customWidth="1"/>
    <col min="16" max="16" width="16" customWidth="1"/>
    <col min="17" max="17" width="12.77734375" customWidth="1"/>
    <col min="18" max="20" width="12" bestFit="1" customWidth="1"/>
    <col min="21" max="21" width="13.88671875" customWidth="1"/>
    <col min="22" max="25" width="12" bestFit="1" customWidth="1"/>
    <col min="26" max="26" width="16.77734375" customWidth="1"/>
    <col min="86" max="108" width="8.88671875" style="342"/>
  </cols>
  <sheetData>
    <row r="2" spans="2:27">
      <c r="B2" s="1" t="s">
        <v>0</v>
      </c>
      <c r="C2" s="2"/>
      <c r="D2" s="3">
        <f>_xll.qlSettingsEvaluationDate(I_ValuationDate!C3)</f>
        <v>43018</v>
      </c>
    </row>
    <row r="4" spans="2:27">
      <c r="B4" s="4" t="s">
        <v>23</v>
      </c>
      <c r="C4" s="5">
        <v>0</v>
      </c>
      <c r="D4" s="6" t="str">
        <f>I_ValuationDate!D5</f>
        <v>obj_00011#0002</v>
      </c>
      <c r="M4" s="32" t="s">
        <v>1</v>
      </c>
      <c r="N4" s="32" t="s">
        <v>2</v>
      </c>
    </row>
    <row r="5" spans="2:27">
      <c r="B5" s="7" t="s">
        <v>5</v>
      </c>
      <c r="C5" s="8">
        <v>0</v>
      </c>
      <c r="D5" s="9" t="str">
        <f>I_ValuationDate!D6</f>
        <v>obj_00014#0002</v>
      </c>
      <c r="M5" s="33" t="s">
        <v>98</v>
      </c>
      <c r="N5" s="34" t="str">
        <f>_xll.qlRealMCAsset(,,C20)</f>
        <v>obj_00016#0002</v>
      </c>
    </row>
    <row r="6" spans="2:27">
      <c r="B6" s="10" t="s">
        <v>6</v>
      </c>
      <c r="C6" s="11">
        <v>0</v>
      </c>
      <c r="D6" s="12" t="str">
        <f>I_ValuationDate!D7</f>
        <v>obj_0000d#0002</v>
      </c>
      <c r="M6" s="35" t="s">
        <v>99</v>
      </c>
      <c r="N6" s="36" t="str">
        <f>_xll.qlRealMCAsset(,,C21)</f>
        <v>obj_0000b#0002</v>
      </c>
    </row>
    <row r="7" spans="2:27">
      <c r="M7" s="35"/>
      <c r="N7" s="36"/>
    </row>
    <row r="8" spans="2:27">
      <c r="B8" s="13" t="s">
        <v>94</v>
      </c>
      <c r="C8" s="14">
        <v>0.2</v>
      </c>
      <c r="D8" s="93" t="str">
        <f>II_VolSurface_GasWinter!C32</f>
        <v>obj_0066b#0003</v>
      </c>
      <c r="M8" s="35"/>
      <c r="N8" s="36"/>
      <c r="AA8" s="26"/>
    </row>
    <row r="9" spans="2:27">
      <c r="B9" s="15" t="s">
        <v>95</v>
      </c>
      <c r="C9" s="16">
        <v>0.3</v>
      </c>
      <c r="D9" s="12" t="str">
        <f>II_VolSurface_GasSummer!D33</f>
        <v>obj_00666#0003</v>
      </c>
      <c r="M9" s="35"/>
      <c r="N9" s="36"/>
      <c r="AA9" s="26"/>
    </row>
    <row r="10" spans="2:27">
      <c r="M10" s="35"/>
      <c r="N10" s="36"/>
      <c r="AA10" s="26"/>
    </row>
    <row r="11" spans="2:27">
      <c r="B11" s="220" t="s">
        <v>219</v>
      </c>
      <c r="C11" s="344">
        <v>1</v>
      </c>
      <c r="D11" s="345">
        <v>0.3</v>
      </c>
      <c r="E11" s="314">
        <f>II_VolSurface_GasWinter!E74</f>
        <v>0</v>
      </c>
      <c r="F11" s="322">
        <v>0</v>
      </c>
      <c r="M11" s="35"/>
      <c r="N11" s="36"/>
      <c r="AA11" s="26"/>
    </row>
    <row r="12" spans="2:27">
      <c r="C12" s="346">
        <f>D11</f>
        <v>0.3</v>
      </c>
      <c r="D12" s="347">
        <v>1</v>
      </c>
      <c r="E12" s="347">
        <v>0</v>
      </c>
      <c r="F12" s="315">
        <f>II_VolSurface_GasSummer!E74</f>
        <v>0</v>
      </c>
      <c r="M12" s="35"/>
      <c r="N12" s="36"/>
      <c r="AA12" s="26"/>
    </row>
    <row r="13" spans="2:27">
      <c r="C13" s="316">
        <f>II_VolSurface_GasWinter!E74</f>
        <v>0</v>
      </c>
      <c r="D13" s="347">
        <v>0</v>
      </c>
      <c r="E13" s="347">
        <v>1</v>
      </c>
      <c r="F13" s="348">
        <v>0</v>
      </c>
      <c r="M13" s="35"/>
      <c r="N13" s="36"/>
      <c r="AA13" s="48"/>
    </row>
    <row r="14" spans="2:27">
      <c r="C14" s="349">
        <v>0</v>
      </c>
      <c r="D14" s="317">
        <f>II_VolSurface_GasSummer!E74</f>
        <v>0</v>
      </c>
      <c r="E14" s="350">
        <v>0</v>
      </c>
      <c r="F14" s="351">
        <v>1</v>
      </c>
      <c r="M14" s="35"/>
      <c r="N14" s="36"/>
      <c r="AA14" s="48"/>
    </row>
    <row r="15" spans="2:27">
      <c r="C15" s="321"/>
      <c r="D15" s="217"/>
      <c r="M15" s="35"/>
      <c r="N15" s="36"/>
      <c r="AA15" s="48"/>
    </row>
    <row r="16" spans="2:27">
      <c r="M16" s="35"/>
      <c r="N16" s="36"/>
      <c r="AA16" s="48"/>
    </row>
    <row r="17" spans="2:27">
      <c r="B17" s="4" t="s">
        <v>96</v>
      </c>
      <c r="C17" s="19"/>
      <c r="D17" s="20">
        <f>II_VolSurface_GasWinter!C38</f>
        <v>19</v>
      </c>
      <c r="M17" s="35"/>
      <c r="N17" s="36"/>
      <c r="AA17" s="48"/>
    </row>
    <row r="18" spans="2:27">
      <c r="B18" s="10" t="s">
        <v>97</v>
      </c>
      <c r="C18" s="21"/>
      <c r="D18" s="22">
        <f>II_VolSurface_GasSummer!C38</f>
        <v>18</v>
      </c>
      <c r="M18" s="37"/>
      <c r="N18" s="38"/>
      <c r="AA18" s="26"/>
    </row>
    <row r="19" spans="2:27">
      <c r="AA19" s="26"/>
    </row>
    <row r="20" spans="2:27">
      <c r="B20" s="4" t="s">
        <v>207</v>
      </c>
      <c r="C20" s="23" t="s">
        <v>98</v>
      </c>
      <c r="D20" s="6" t="str">
        <f>II_VolSurface_GasWinter!C95</f>
        <v>obj_0066f#0004</v>
      </c>
      <c r="AA20" s="26"/>
    </row>
    <row r="21" spans="2:27">
      <c r="B21" s="15" t="s">
        <v>208</v>
      </c>
      <c r="C21" s="24" t="s">
        <v>99</v>
      </c>
      <c r="D21" s="12" t="str">
        <f>II_VolSurface_GasSummer!C95</f>
        <v>obj_0066a#0003</v>
      </c>
      <c r="AA21" s="26"/>
    </row>
    <row r="22" spans="2:27">
      <c r="AA22" s="26"/>
    </row>
    <row r="23" spans="2:27" ht="14.4">
      <c r="B23" s="181" t="s">
        <v>104</v>
      </c>
      <c r="C23" s="182"/>
      <c r="D23" s="183" t="s">
        <v>144</v>
      </c>
      <c r="AA23" s="26"/>
    </row>
    <row r="24" spans="2:27" ht="14.4">
      <c r="B24" s="184" t="s">
        <v>106</v>
      </c>
      <c r="C24" s="185"/>
      <c r="D24" s="186" t="s">
        <v>107</v>
      </c>
      <c r="AA24" s="26"/>
    </row>
    <row r="25" spans="2:27" ht="14.4">
      <c r="B25" s="184" t="s">
        <v>110</v>
      </c>
      <c r="C25" s="185"/>
      <c r="D25" s="186" t="e">
        <f>_xll.qlGeneralizedBlackScholesProcess2(,II_VolSurface_Calender!C33,II_VolSurface_Calender!#REF!,,D2,D4,D5)</f>
        <v>#VALUE!</v>
      </c>
      <c r="L25" s="44"/>
      <c r="AA25" s="26"/>
    </row>
    <row r="26" spans="2:27" ht="14.4">
      <c r="B26" s="187"/>
      <c r="C26" s="188"/>
      <c r="D26" s="189"/>
      <c r="L26" s="44"/>
      <c r="AA26" s="26"/>
    </row>
    <row r="27" spans="2:27">
      <c r="B27" s="174" t="s">
        <v>101</v>
      </c>
      <c r="C27" s="175"/>
      <c r="D27" s="176" t="e">
        <f>_xll.qlCTSlocalInCrossCorrFX(D23,,D20:D21,D25)</f>
        <v>#VALUE!</v>
      </c>
      <c r="L27" s="44"/>
      <c r="AA27" s="26"/>
    </row>
    <row r="28" spans="2:27">
      <c r="B28" s="178" t="s">
        <v>103</v>
      </c>
      <c r="C28" s="179"/>
      <c r="D28" s="180" t="str">
        <f ca="1">_xll.ohRangeRetrieveError(D27)</f>
        <v/>
      </c>
      <c r="L28" s="44"/>
      <c r="AA28" s="26"/>
    </row>
    <row r="29" spans="2:27">
      <c r="L29" s="44"/>
      <c r="AA29" s="48"/>
    </row>
    <row r="30" spans="2:27">
      <c r="B30" s="174" t="s">
        <v>102</v>
      </c>
      <c r="C30" s="175"/>
      <c r="D30" s="176" t="e">
        <f>_xll.qlCalibrateFXCTSWithParticleMethod(D32,D33,D34,D35,D36,D37,D38,D39,D40,D41,D42,D43,D44)</f>
        <v>#NUM!</v>
      </c>
      <c r="L30" s="44"/>
      <c r="AA30" s="48"/>
    </row>
    <row r="31" spans="2:27">
      <c r="B31" s="178" t="s">
        <v>103</v>
      </c>
      <c r="C31" s="179"/>
      <c r="D31" s="180" t="str">
        <f ca="1">_xll.ohRangeRetrieveError(D30)</f>
        <v>qlCalibrateFXCTSWithParticleMethod - ObjectHandler error: attempt to retrieve object with unknown ID 'localInCross1Y'</v>
      </c>
      <c r="L31" s="44"/>
      <c r="AA31" s="48"/>
    </row>
    <row r="32" spans="2:27" ht="14.4">
      <c r="B32" s="181" t="s">
        <v>105</v>
      </c>
      <c r="C32" s="182"/>
      <c r="D32" s="183" t="str">
        <f>D23</f>
        <v>localInCross1Y</v>
      </c>
      <c r="L32" s="44"/>
      <c r="AA32" s="48"/>
    </row>
    <row r="33" spans="2:84" ht="14.4">
      <c r="B33" s="184" t="s">
        <v>108</v>
      </c>
      <c r="C33" s="185"/>
      <c r="D33" s="186" t="s">
        <v>109</v>
      </c>
      <c r="L33" s="44"/>
      <c r="AA33" s="48"/>
    </row>
    <row r="34" spans="2:84" ht="14.4">
      <c r="B34" s="184" t="s">
        <v>111</v>
      </c>
      <c r="C34" s="185"/>
      <c r="D34" s="186">
        <v>60000</v>
      </c>
      <c r="E34" s="343" t="s">
        <v>217</v>
      </c>
      <c r="AA34" s="26"/>
    </row>
    <row r="35" spans="2:84" ht="14.4">
      <c r="B35" s="184" t="s">
        <v>112</v>
      </c>
      <c r="C35" s="185"/>
      <c r="D35" s="186">
        <v>1</v>
      </c>
      <c r="AA35" s="26"/>
    </row>
    <row r="36" spans="2:84" ht="14.4">
      <c r="B36" s="184" t="s">
        <v>113</v>
      </c>
      <c r="C36" s="185"/>
      <c r="D36" s="186">
        <f>1/80/2</f>
        <v>6.2500000000000003E-3</v>
      </c>
    </row>
    <row r="37" spans="2:84" ht="14.4">
      <c r="B37" s="184" t="s">
        <v>114</v>
      </c>
      <c r="C37" s="185"/>
      <c r="D37" s="186">
        <v>0.25</v>
      </c>
    </row>
    <row r="38" spans="2:84" ht="14.4">
      <c r="B38" s="184" t="s">
        <v>115</v>
      </c>
      <c r="C38" s="185"/>
      <c r="D38" s="186">
        <v>3</v>
      </c>
      <c r="M38" s="1" t="s">
        <v>34</v>
      </c>
      <c r="N38" s="2"/>
      <c r="O38" s="47"/>
      <c r="P38" s="4" t="s">
        <v>31</v>
      </c>
      <c r="Q38" s="19"/>
      <c r="R38" s="19"/>
      <c r="S38" s="19"/>
      <c r="T38" s="19"/>
      <c r="U38" s="19"/>
      <c r="V38" s="19"/>
      <c r="W38" s="19"/>
      <c r="X38" s="19"/>
      <c r="Y38" s="19"/>
      <c r="Z38" s="40"/>
    </row>
    <row r="39" spans="2:84" ht="14.4">
      <c r="B39" s="184" t="s">
        <v>116</v>
      </c>
      <c r="C39" s="185"/>
      <c r="D39" s="230">
        <f>AVERAGE(II_VolSurface_Calender!C8:M19)%</f>
        <v>8.4783939393939398E-2</v>
      </c>
      <c r="E39" s="177"/>
      <c r="F39" s="177"/>
      <c r="G39" s="177"/>
      <c r="H39" s="177"/>
      <c r="I39" s="177"/>
      <c r="M39" s="49" t="s">
        <v>25</v>
      </c>
      <c r="N39" s="50" t="s">
        <v>30</v>
      </c>
      <c r="O39" s="50" t="s">
        <v>4</v>
      </c>
      <c r="P39" s="55"/>
      <c r="Q39" s="63"/>
      <c r="R39" s="63"/>
      <c r="S39" s="63"/>
      <c r="T39" s="63"/>
      <c r="U39" s="63"/>
      <c r="V39" s="63"/>
      <c r="W39" s="63"/>
      <c r="X39" s="63"/>
      <c r="Y39" s="63"/>
      <c r="Z39" s="64"/>
    </row>
    <row r="40" spans="2:84" ht="14.4">
      <c r="B40" s="184" t="s">
        <v>117</v>
      </c>
      <c r="C40" s="185"/>
      <c r="D40" s="186">
        <v>-0.2</v>
      </c>
      <c r="E40" s="177"/>
      <c r="F40" s="177"/>
      <c r="G40" s="177"/>
      <c r="H40" s="177"/>
      <c r="I40" s="177"/>
      <c r="M40" s="51" t="s">
        <v>22</v>
      </c>
      <c r="N40" s="57">
        <f>_xll.qlCalendarAdvance("NullCalendar",$D$2,M40)</f>
        <v>43049</v>
      </c>
      <c r="O40" s="58" t="str">
        <f>TEXT(N40,"[$-900]TTMMMJJJ")</f>
        <v>10Nov2017</v>
      </c>
      <c r="P40" s="323">
        <f>II_VolSurface_Calender!Q12</f>
        <v>-0.25</v>
      </c>
      <c r="Q40" s="324">
        <f>II_VolSurface_Calender!R12</f>
        <v>0</v>
      </c>
      <c r="R40" s="324">
        <f>II_VolSurface_Calender!S12</f>
        <v>0.25</v>
      </c>
      <c r="S40" s="324">
        <f>II_VolSurface_Calender!T12</f>
        <v>0.5</v>
      </c>
      <c r="T40" s="324">
        <f>II_VolSurface_Calender!U12</f>
        <v>0.75</v>
      </c>
      <c r="U40" s="324">
        <f>II_VolSurface_Calender!V12</f>
        <v>1</v>
      </c>
      <c r="V40" s="324">
        <f>II_VolSurface_Calender!W12</f>
        <v>1.25</v>
      </c>
      <c r="W40" s="324">
        <f>II_VolSurface_Calender!X12</f>
        <v>1.5</v>
      </c>
      <c r="X40" s="324">
        <f>II_VolSurface_Calender!Y12</f>
        <v>1.75</v>
      </c>
      <c r="Y40" s="324">
        <f>II_VolSurface_Calender!Z12</f>
        <v>2</v>
      </c>
      <c r="Z40" s="325">
        <f>II_VolSurface_Calender!AA12</f>
        <v>2.25</v>
      </c>
    </row>
    <row r="41" spans="2:84" ht="14.4">
      <c r="B41" s="184" t="s">
        <v>118</v>
      </c>
      <c r="C41" s="185"/>
      <c r="D41" s="186">
        <v>0.01</v>
      </c>
      <c r="E41" s="177"/>
      <c r="F41" s="177"/>
      <c r="G41" s="177"/>
      <c r="H41" s="177"/>
      <c r="I41" s="177"/>
      <c r="M41" s="53" t="s">
        <v>29</v>
      </c>
      <c r="N41" s="59">
        <f>_xll.qlCalendarAdvance("NullCalendar",$D$2,M41)</f>
        <v>43110</v>
      </c>
      <c r="O41" s="60" t="str">
        <f>TEXT(N41,"[$-900]TTMMMJJJ")</f>
        <v>10Jan2018</v>
      </c>
      <c r="P41" s="326">
        <f>II_VolSurface_Calender!Q14</f>
        <v>-0.25</v>
      </c>
      <c r="Q41" s="327">
        <f>II_VolSurface_Calender!R14</f>
        <v>0</v>
      </c>
      <c r="R41" s="327">
        <f>II_VolSurface_Calender!S14</f>
        <v>0.25</v>
      </c>
      <c r="S41" s="327">
        <f>II_VolSurface_Calender!T14</f>
        <v>0.5</v>
      </c>
      <c r="T41" s="327">
        <f>II_VolSurface_Calender!U14</f>
        <v>0.75</v>
      </c>
      <c r="U41" s="327">
        <f>II_VolSurface_Calender!V14</f>
        <v>1</v>
      </c>
      <c r="V41" s="327">
        <f>II_VolSurface_Calender!W14</f>
        <v>1.25</v>
      </c>
      <c r="W41" s="327">
        <f>II_VolSurface_Calender!X14</f>
        <v>1.5</v>
      </c>
      <c r="X41" s="327">
        <f>II_VolSurface_Calender!Y14</f>
        <v>1.75</v>
      </c>
      <c r="Y41" s="327">
        <f>II_VolSurface_Calender!Z14</f>
        <v>2</v>
      </c>
      <c r="Z41" s="328">
        <f>II_VolSurface_Calender!AA14</f>
        <v>2.25</v>
      </c>
      <c r="AA41" s="229"/>
    </row>
    <row r="42" spans="2:84" ht="14.4">
      <c r="B42" s="184" t="s">
        <v>119</v>
      </c>
      <c r="C42" s="185"/>
      <c r="D42" s="186">
        <v>0.99</v>
      </c>
      <c r="E42" s="177"/>
      <c r="F42" s="177"/>
      <c r="G42" s="177"/>
      <c r="H42" s="177"/>
      <c r="I42" s="177"/>
      <c r="M42" s="53" t="s">
        <v>32</v>
      </c>
      <c r="N42" s="59">
        <f>_xll.qlCalendarAdvance("NullCalendar",$D$2,M42)</f>
        <v>43200</v>
      </c>
      <c r="O42" s="60" t="str">
        <f>TEXT(N42,"[$-900]TTMMMJJJ")</f>
        <v>10Apr2018</v>
      </c>
      <c r="P42" s="326">
        <f>II_VolSurface_Calender!Q17</f>
        <v>-0.25</v>
      </c>
      <c r="Q42" s="327">
        <f>II_VolSurface_Calender!R17</f>
        <v>0</v>
      </c>
      <c r="R42" s="327">
        <f>II_VolSurface_Calender!S17</f>
        <v>0.25</v>
      </c>
      <c r="S42" s="327">
        <f>II_VolSurface_Calender!T17</f>
        <v>0.5</v>
      </c>
      <c r="T42" s="327">
        <f>II_VolSurface_Calender!U17</f>
        <v>0.75</v>
      </c>
      <c r="U42" s="327">
        <f>II_VolSurface_Calender!V17</f>
        <v>1</v>
      </c>
      <c r="V42" s="327">
        <f>II_VolSurface_Calender!W17</f>
        <v>1.25</v>
      </c>
      <c r="W42" s="327">
        <f>II_VolSurface_Calender!X17</f>
        <v>1.5</v>
      </c>
      <c r="X42" s="327">
        <f>II_VolSurface_Calender!Y17</f>
        <v>1.75</v>
      </c>
      <c r="Y42" s="327">
        <f>II_VolSurface_Calender!Z17</f>
        <v>2</v>
      </c>
      <c r="Z42" s="328">
        <f>II_VolSurface_Calender!AA17</f>
        <v>2.25</v>
      </c>
      <c r="AR42" t="s">
        <v>148</v>
      </c>
      <c r="BG42" t="s">
        <v>146</v>
      </c>
      <c r="BV42" t="s">
        <v>147</v>
      </c>
    </row>
    <row r="43" spans="2:84" ht="14.4">
      <c r="B43" s="184" t="s">
        <v>120</v>
      </c>
      <c r="C43" s="185"/>
      <c r="D43" s="186">
        <v>50</v>
      </c>
      <c r="E43" s="177"/>
      <c r="F43" s="177"/>
      <c r="G43" s="177"/>
      <c r="H43" s="177"/>
      <c r="I43" s="177"/>
      <c r="M43" s="53" t="s">
        <v>33</v>
      </c>
      <c r="N43" s="59">
        <f>_xll.qlCalendarAdvance("NullCalendar",$D$2,M43)</f>
        <v>43291</v>
      </c>
      <c r="O43" s="60" t="str">
        <f>TEXT(N43,"[$-900]TTMMMJJJ")</f>
        <v>10Jul2018</v>
      </c>
      <c r="P43" s="326">
        <f>II_VolSurface_Calender!Q18</f>
        <v>-0.25</v>
      </c>
      <c r="Q43" s="327">
        <f>II_VolSurface_Calender!R18</f>
        <v>0</v>
      </c>
      <c r="R43" s="327">
        <f>II_VolSurface_Calender!S18</f>
        <v>0.25</v>
      </c>
      <c r="S43" s="327">
        <f>II_VolSurface_Calender!T18</f>
        <v>0.5</v>
      </c>
      <c r="T43" s="327">
        <f>II_VolSurface_Calender!U18</f>
        <v>0.75</v>
      </c>
      <c r="U43" s="327">
        <f>II_VolSurface_Calender!V18</f>
        <v>1</v>
      </c>
      <c r="V43" s="327">
        <f>II_VolSurface_Calender!W18</f>
        <v>1.25</v>
      </c>
      <c r="W43" s="327">
        <f>II_VolSurface_Calender!X18</f>
        <v>1.5</v>
      </c>
      <c r="X43" s="327">
        <f>II_VolSurface_Calender!Y18</f>
        <v>1.75</v>
      </c>
      <c r="Y43" s="327">
        <f>II_VolSurface_Calender!Z18</f>
        <v>2</v>
      </c>
      <c r="Z43" s="327">
        <f>II_VolSurface_Calender!AA18</f>
        <v>2.25</v>
      </c>
      <c r="AR43" t="s">
        <v>39</v>
      </c>
      <c r="AU43" t="s">
        <v>31</v>
      </c>
      <c r="BG43" t="s">
        <v>39</v>
      </c>
      <c r="BJ43" t="s">
        <v>31</v>
      </c>
      <c r="BS43" t="s">
        <v>39</v>
      </c>
      <c r="BV43" t="s">
        <v>31</v>
      </c>
    </row>
    <row r="44" spans="2:84" ht="14.4">
      <c r="B44" s="187" t="s">
        <v>121</v>
      </c>
      <c r="C44" s="188"/>
      <c r="D44" s="189">
        <v>30</v>
      </c>
      <c r="E44" s="177"/>
      <c r="F44" s="177"/>
      <c r="G44" s="177"/>
      <c r="H44" s="177"/>
      <c r="I44" s="177"/>
      <c r="M44" s="55" t="s">
        <v>24</v>
      </c>
      <c r="N44" s="61">
        <f>_xll.qlCalendarAdvance("NullCalendar",$D$2,M44)</f>
        <v>43383</v>
      </c>
      <c r="O44" s="62" t="str">
        <f>TEXT(N44,"[$-900]TTMMMJJJ")</f>
        <v>10Okt2018</v>
      </c>
      <c r="P44" s="329">
        <f>II_VolSurface_Calender!Q19</f>
        <v>-0.25</v>
      </c>
      <c r="Q44" s="330">
        <f>II_VolSurface_Calender!R19</f>
        <v>0</v>
      </c>
      <c r="R44" s="330">
        <f>II_VolSurface_Calender!S19</f>
        <v>0.25</v>
      </c>
      <c r="S44" s="330">
        <f>II_VolSurface_Calender!T19</f>
        <v>0.5</v>
      </c>
      <c r="T44" s="330">
        <f>II_VolSurface_Calender!U19</f>
        <v>0.75</v>
      </c>
      <c r="U44" s="330">
        <f>II_VolSurface_Calender!V19</f>
        <v>1</v>
      </c>
      <c r="V44" s="330">
        <f>II_VolSurface_Calender!W19</f>
        <v>1.25</v>
      </c>
      <c r="W44" s="330">
        <f>II_VolSurface_Calender!X19</f>
        <v>1.5</v>
      </c>
      <c r="X44" s="330">
        <f>II_VolSurface_Calender!Y19</f>
        <v>1.75</v>
      </c>
      <c r="Y44" s="330">
        <f>II_VolSurface_Calender!Z19</f>
        <v>2</v>
      </c>
      <c r="Z44" s="330">
        <f>II_VolSurface_Calender!AA19</f>
        <v>2.25</v>
      </c>
      <c r="AR44" t="s">
        <v>25</v>
      </c>
      <c r="AS44" t="s">
        <v>30</v>
      </c>
      <c r="AT44" t="s">
        <v>4</v>
      </c>
      <c r="AU44">
        <v>0.87151206299808792</v>
      </c>
      <c r="AV44">
        <v>0.90216284644338041</v>
      </c>
      <c r="AW44">
        <v>0.92234769785879311</v>
      </c>
      <c r="AX44">
        <v>0.95081286797024822</v>
      </c>
      <c r="AY44">
        <v>0.97294871335629129</v>
      </c>
      <c r="AZ44">
        <v>1</v>
      </c>
      <c r="BA44">
        <v>1.0371120792715558</v>
      </c>
      <c r="BB44">
        <v>1.0668476834085139</v>
      </c>
      <c r="BC44">
        <v>1.1095919855494891</v>
      </c>
      <c r="BD44">
        <v>1.1457807621080653</v>
      </c>
      <c r="BE44">
        <v>1.203642429536993</v>
      </c>
      <c r="BG44">
        <v>0.87151206299808792</v>
      </c>
      <c r="BH44">
        <v>0.90216284644338041</v>
      </c>
      <c r="BI44">
        <v>0.92234769785879311</v>
      </c>
      <c r="BJ44">
        <v>0.95081286797024822</v>
      </c>
      <c r="BK44">
        <v>0.97294871335629129</v>
      </c>
      <c r="BL44">
        <v>1</v>
      </c>
      <c r="BM44">
        <v>1.0371120792715558</v>
      </c>
      <c r="BN44">
        <v>1.0668476834085139</v>
      </c>
      <c r="BO44">
        <v>1.1095919855494891</v>
      </c>
      <c r="BP44">
        <v>1.1457807621080653</v>
      </c>
      <c r="BQ44">
        <v>1.203642429536993</v>
      </c>
      <c r="BS44" t="s">
        <v>25</v>
      </c>
      <c r="BT44" t="s">
        <v>30</v>
      </c>
      <c r="BU44" t="s">
        <v>4</v>
      </c>
      <c r="BV44">
        <v>0.87151206299808792</v>
      </c>
      <c r="BW44">
        <v>0.90216284644338041</v>
      </c>
      <c r="BX44">
        <v>0.92234769785879311</v>
      </c>
      <c r="BY44">
        <v>0.95081286797024822</v>
      </c>
      <c r="BZ44">
        <v>0.97294871335629129</v>
      </c>
      <c r="CA44">
        <v>1</v>
      </c>
      <c r="CB44">
        <v>1.0371120792715558</v>
      </c>
      <c r="CC44">
        <v>1.0668476834085139</v>
      </c>
      <c r="CD44">
        <v>1.1095919855494891</v>
      </c>
      <c r="CE44">
        <v>1.1457807621080653</v>
      </c>
      <c r="CF44">
        <v>1.203642429536993</v>
      </c>
    </row>
    <row r="45" spans="2:84" ht="14.4">
      <c r="E45" s="177"/>
      <c r="F45" s="177"/>
      <c r="G45" s="177"/>
      <c r="H45" s="177"/>
      <c r="I45" s="177"/>
      <c r="AR45" t="s">
        <v>22</v>
      </c>
      <c r="AS45">
        <v>43049</v>
      </c>
      <c r="AT45" t="s">
        <v>139</v>
      </c>
      <c r="AU45">
        <v>0.11246037863382313</v>
      </c>
      <c r="AV45">
        <v>9.9697232540368538E-2</v>
      </c>
      <c r="AW45">
        <v>8.8331670024560896E-2</v>
      </c>
      <c r="AX45">
        <v>7.5539340812778452E-2</v>
      </c>
      <c r="AY45">
        <v>7.1361291670627533E-2</v>
      </c>
      <c r="AZ45">
        <v>7.1032765615124935E-2</v>
      </c>
      <c r="BA45">
        <v>7.6821378615094721E-2</v>
      </c>
      <c r="BB45">
        <v>8.7045157390982342E-2</v>
      </c>
      <c r="BC45">
        <v>0.10323768950222624</v>
      </c>
      <c r="BD45">
        <v>0.11977377196758295</v>
      </c>
      <c r="BE45">
        <v>0</v>
      </c>
      <c r="BG45">
        <v>0.11169193500730755</v>
      </c>
      <c r="BH45">
        <v>9.8975812749709652E-2</v>
      </c>
      <c r="BI45">
        <v>8.7454136001761301E-2</v>
      </c>
      <c r="BJ45">
        <v>7.4239834729860371E-2</v>
      </c>
      <c r="BK45">
        <v>6.9942533558986053E-2</v>
      </c>
      <c r="BL45">
        <v>6.9568813477607655E-2</v>
      </c>
      <c r="BM45">
        <v>7.5432666921833938E-2</v>
      </c>
      <c r="BN45">
        <v>8.5938605521055089E-2</v>
      </c>
      <c r="BO45">
        <v>0.1022915634429946</v>
      </c>
      <c r="BP45">
        <v>0.11928932285365092</v>
      </c>
      <c r="BQ45">
        <v>0</v>
      </c>
      <c r="BS45" t="s">
        <v>22</v>
      </c>
      <c r="BT45">
        <v>43049</v>
      </c>
      <c r="BU45" t="s">
        <v>139</v>
      </c>
      <c r="BV45">
        <v>0.11168103538715218</v>
      </c>
      <c r="BW45">
        <v>9.9318200906322304E-2</v>
      </c>
      <c r="BX45">
        <v>8.7899378621723728E-2</v>
      </c>
      <c r="BY45">
        <v>7.4891728788351111E-2</v>
      </c>
      <c r="BZ45">
        <v>7.0659684515940097E-2</v>
      </c>
      <c r="CA45">
        <v>7.0304791703932529E-2</v>
      </c>
      <c r="CB45">
        <v>7.6128675154437594E-2</v>
      </c>
      <c r="CC45">
        <v>8.6492797140536565E-2</v>
      </c>
      <c r="CD45">
        <v>0.10275485937102889</v>
      </c>
      <c r="CE45">
        <v>0.11953752787429323</v>
      </c>
      <c r="CF45">
        <v>0</v>
      </c>
    </row>
    <row r="46" spans="2:84" ht="14.4">
      <c r="B46" s="181" t="s">
        <v>104</v>
      </c>
      <c r="C46" s="182"/>
      <c r="D46" s="183" t="s">
        <v>145</v>
      </c>
      <c r="M46" s="1" t="s">
        <v>34</v>
      </c>
      <c r="N46" s="2"/>
      <c r="O46" s="47"/>
      <c r="P46" s="4" t="s">
        <v>31</v>
      </c>
      <c r="Q46" s="19"/>
      <c r="R46" s="19"/>
      <c r="S46" s="19"/>
      <c r="T46" s="19"/>
      <c r="U46" s="19"/>
      <c r="V46" s="19"/>
      <c r="W46" s="19"/>
      <c r="X46" s="19"/>
      <c r="Y46" s="19"/>
      <c r="Z46" s="19"/>
      <c r="AR46" t="s">
        <v>29</v>
      </c>
      <c r="AS46">
        <v>43110</v>
      </c>
      <c r="AT46" t="s">
        <v>140</v>
      </c>
      <c r="AU46">
        <v>9.2781361632109927E-2</v>
      </c>
      <c r="AV46">
        <v>8.1921656442592555E-2</v>
      </c>
      <c r="AW46">
        <v>7.7287058852810314E-2</v>
      </c>
      <c r="AX46">
        <v>7.3225981655945849E-2</v>
      </c>
      <c r="AY46">
        <v>7.2292296190351907E-2</v>
      </c>
      <c r="AZ46">
        <v>7.2991863611803112E-2</v>
      </c>
      <c r="BA46">
        <v>7.7122718616609034E-2</v>
      </c>
      <c r="BB46">
        <v>8.2352129171844687E-2</v>
      </c>
      <c r="BC46">
        <v>9.1856117918451399E-2</v>
      </c>
      <c r="BD46">
        <v>0.10096493263744856</v>
      </c>
      <c r="BE46">
        <v>0.11527035391382114</v>
      </c>
      <c r="BG46">
        <v>9.141814430836627E-2</v>
      </c>
      <c r="BH46">
        <v>8.064886780827081E-2</v>
      </c>
      <c r="BI46">
        <v>7.5905035309230276E-2</v>
      </c>
      <c r="BJ46">
        <v>7.1761343775003164E-2</v>
      </c>
      <c r="BK46">
        <v>7.0810866787792096E-2</v>
      </c>
      <c r="BL46">
        <v>7.1501295705588747E-2</v>
      </c>
      <c r="BM46">
        <v>7.5669440428897589E-2</v>
      </c>
      <c r="BN46">
        <v>8.099166773012173E-2</v>
      </c>
      <c r="BO46">
        <v>9.0683479994222313E-2</v>
      </c>
      <c r="BP46">
        <v>9.994972209579954E-2</v>
      </c>
      <c r="BQ46">
        <v>0.11423979198148929</v>
      </c>
      <c r="BS46" t="s">
        <v>29</v>
      </c>
      <c r="BT46">
        <v>43110</v>
      </c>
      <c r="BU46" t="s">
        <v>140</v>
      </c>
      <c r="BV46">
        <v>9.2112617063355121E-2</v>
      </c>
      <c r="BW46">
        <v>8.1288635874879764E-2</v>
      </c>
      <c r="BX46">
        <v>7.6599269726114819E-2</v>
      </c>
      <c r="BY46">
        <v>7.2495847059124902E-2</v>
      </c>
      <c r="BZ46">
        <v>7.1556683917606431E-2</v>
      </c>
      <c r="CA46">
        <v>7.2251007545987414E-2</v>
      </c>
      <c r="CB46">
        <v>7.6399203609506181E-2</v>
      </c>
      <c r="CC46">
        <v>8.1673511550625869E-2</v>
      </c>
      <c r="CD46">
        <v>9.1270323873468007E-2</v>
      </c>
      <c r="CE46">
        <v>0.10046075567434044</v>
      </c>
      <c r="CF46">
        <v>0.11475602625043632</v>
      </c>
    </row>
    <row r="47" spans="2:84" ht="14.4">
      <c r="B47" s="184" t="s">
        <v>122</v>
      </c>
      <c r="C47" s="185"/>
      <c r="D47" s="186" t="str">
        <f>D4</f>
        <v>obj_00011#0002</v>
      </c>
      <c r="M47" s="49" t="s">
        <v>25</v>
      </c>
      <c r="N47" s="50" t="s">
        <v>30</v>
      </c>
      <c r="O47" s="50" t="s">
        <v>4</v>
      </c>
      <c r="P47" s="55" t="str">
        <f>II_VolSurface_Calender!C6</f>
        <v>5D Put EUR</v>
      </c>
      <c r="Q47" s="63" t="str">
        <f>II_VolSurface_Calender!D6</f>
        <v>10D Put EUR</v>
      </c>
      <c r="R47" s="63" t="str">
        <f>II_VolSurface_Calender!E6</f>
        <v>15D Put EUR</v>
      </c>
      <c r="S47" s="63" t="str">
        <f>II_VolSurface_Calender!F6</f>
        <v>25D Put EUR</v>
      </c>
      <c r="T47" s="63" t="str">
        <f>II_VolSurface_Calender!G6</f>
        <v>35D Put EUR</v>
      </c>
      <c r="U47" s="63" t="str">
        <f>II_VolSurface_Calender!H6</f>
        <v>ATM</v>
      </c>
      <c r="V47" s="63" t="str">
        <f>II_VolSurface_Calender!I6</f>
        <v>35D Call EUR</v>
      </c>
      <c r="W47" s="63" t="str">
        <f>II_VolSurface_Calender!J6</f>
        <v>25D Call EUR</v>
      </c>
      <c r="X47" s="63" t="str">
        <f>II_VolSurface_Calender!K6</f>
        <v>15D Call EUR</v>
      </c>
      <c r="Y47" s="63" t="str">
        <f>II_VolSurface_Calender!L6</f>
        <v>10D Call EUR</v>
      </c>
      <c r="Z47" s="63" t="str">
        <f>II_VolSurface_Calender!M6</f>
        <v>5D Call EUR</v>
      </c>
      <c r="AR47" t="s">
        <v>32</v>
      </c>
      <c r="AS47">
        <v>43200</v>
      </c>
      <c r="AT47" t="s">
        <v>141</v>
      </c>
      <c r="AU47">
        <v>8.2177147738197537E-2</v>
      </c>
      <c r="AV47">
        <v>7.9773905317674615E-2</v>
      </c>
      <c r="AW47">
        <v>7.8073819757771806E-2</v>
      </c>
      <c r="AX47">
        <v>7.6582907328573729E-2</v>
      </c>
      <c r="AY47">
        <v>7.6381654194514245E-2</v>
      </c>
      <c r="AZ47">
        <v>7.743943748549581E-2</v>
      </c>
      <c r="BA47">
        <v>8.0877238861905301E-2</v>
      </c>
      <c r="BB47">
        <v>8.5162780524292617E-2</v>
      </c>
      <c r="BC47">
        <v>9.2877995768095883E-2</v>
      </c>
      <c r="BD47">
        <v>0.10037370136518234</v>
      </c>
      <c r="BE47">
        <v>0.11315609102114806</v>
      </c>
      <c r="BG47">
        <v>8.0383133862632239E-2</v>
      </c>
      <c r="BH47">
        <v>7.8206130965529419E-2</v>
      </c>
      <c r="BI47">
        <v>7.6512015888657026E-2</v>
      </c>
      <c r="BJ47">
        <v>7.5015031189223924E-2</v>
      </c>
      <c r="BK47">
        <v>7.4806283237195167E-2</v>
      </c>
      <c r="BL47">
        <v>7.586663086664798E-2</v>
      </c>
      <c r="BM47">
        <v>7.9335216367349942E-2</v>
      </c>
      <c r="BN47">
        <v>8.3681070213521308E-2</v>
      </c>
      <c r="BO47">
        <v>9.152871383276652E-2</v>
      </c>
      <c r="BP47">
        <v>9.915961077057768E-2</v>
      </c>
      <c r="BQ47">
        <v>0.11213411545217164</v>
      </c>
      <c r="BS47" t="s">
        <v>32</v>
      </c>
      <c r="BT47">
        <v>43200</v>
      </c>
      <c r="BU47" t="s">
        <v>141</v>
      </c>
      <c r="BV47">
        <v>8.1295491287500354E-2</v>
      </c>
      <c r="BW47">
        <v>7.8996429970210391E-2</v>
      </c>
      <c r="BX47">
        <v>7.7299550561928471E-2</v>
      </c>
      <c r="BY47">
        <v>7.5803833825116657E-2</v>
      </c>
      <c r="BZ47">
        <v>7.5599403039593144E-2</v>
      </c>
      <c r="CA47">
        <v>7.6657681224017962E-2</v>
      </c>
      <c r="CB47">
        <v>8.0110387307453762E-2</v>
      </c>
      <c r="CC47">
        <v>8.4425804382923381E-2</v>
      </c>
      <c r="CD47">
        <v>9.2205583071565955E-2</v>
      </c>
      <c r="CE47">
        <v>9.9768464023026179E-2</v>
      </c>
      <c r="CF47">
        <v>0.11264904092262081</v>
      </c>
    </row>
    <row r="48" spans="2:84" ht="14.4">
      <c r="B48" s="184" t="s">
        <v>123</v>
      </c>
      <c r="C48" s="185"/>
      <c r="D48" s="186" t="s">
        <v>125</v>
      </c>
      <c r="M48" s="51" t="s">
        <v>22</v>
      </c>
      <c r="N48" s="57">
        <f>_xll.qlCalendarAdvance("NullCalendar",$D$2,M48)</f>
        <v>43049</v>
      </c>
      <c r="O48" s="58" t="str">
        <f>TEXT(N48,"[$-900]TTMMMJJJ")</f>
        <v>10Nov2017</v>
      </c>
      <c r="P48" s="65" t="str">
        <f>$O48&amp;TEXT(P40*1000,"0000")</f>
        <v>10Nov2017-0250</v>
      </c>
      <c r="Q48" s="66" t="str">
        <f>$O48&amp;TEXT(Q40*1000,"0000")</f>
        <v>10Nov20170000</v>
      </c>
      <c r="R48" s="66" t="str">
        <f>$O48&amp;TEXT(R40*1000,"0000")</f>
        <v>10Nov20170250</v>
      </c>
      <c r="S48" s="66" t="str">
        <f>$O48&amp;TEXT(S40*1000,"0000")</f>
        <v>10Nov20170500</v>
      </c>
      <c r="T48" s="66" t="str">
        <f>$O48&amp;TEXT(T40*1000,"0000")</f>
        <v>10Nov20170750</v>
      </c>
      <c r="U48" s="66" t="str">
        <f>$O48&amp;TEXT(U40*1000,"0000")</f>
        <v>10Nov20171000</v>
      </c>
      <c r="V48" s="66" t="str">
        <f>$O48&amp;TEXT(V40*1000,"0000")</f>
        <v>10Nov20171250</v>
      </c>
      <c r="W48" s="66" t="str">
        <f>$O48&amp;TEXT(W40*1000,"0000")</f>
        <v>10Nov20171500</v>
      </c>
      <c r="X48" s="66" t="str">
        <f>$O48&amp;TEXT(X40*1000,"0000")</f>
        <v>10Nov20171750</v>
      </c>
      <c r="Y48" s="66" t="str">
        <f>$O48&amp;TEXT(Y40*1000,"0000")</f>
        <v>10Nov20172000</v>
      </c>
      <c r="Z48" s="66" t="str">
        <f>$O48&amp;TEXT(Z40*1000,"0000")</f>
        <v>10Nov20172250</v>
      </c>
      <c r="AR48" t="s">
        <v>33</v>
      </c>
      <c r="AS48">
        <v>43291</v>
      </c>
      <c r="AT48" t="s">
        <v>142</v>
      </c>
      <c r="AU48">
        <v>8.2445452626877455E-2</v>
      </c>
      <c r="AV48">
        <v>8.0220816595284294E-2</v>
      </c>
      <c r="AW48">
        <v>7.9132611966106353E-2</v>
      </c>
      <c r="AX48">
        <v>7.8532425856834565E-2</v>
      </c>
      <c r="AY48">
        <v>7.8856185517651875E-2</v>
      </c>
      <c r="AZ48">
        <v>8.0117780012672959E-2</v>
      </c>
      <c r="BA48">
        <v>8.3108663250688455E-2</v>
      </c>
      <c r="BB48">
        <v>8.6471825029624597E-2</v>
      </c>
      <c r="BC48">
        <v>9.2517961883245348E-2</v>
      </c>
      <c r="BD48">
        <v>9.8426874890861646E-2</v>
      </c>
      <c r="BE48">
        <v>0.10832128317207922</v>
      </c>
      <c r="BG48">
        <v>8.0798668270714399E-2</v>
      </c>
      <c r="BH48">
        <v>7.8603339995991436E-2</v>
      </c>
      <c r="BI48">
        <v>7.7508258257906693E-2</v>
      </c>
      <c r="BJ48">
        <v>7.6905203537946915E-2</v>
      </c>
      <c r="BK48">
        <v>7.7221317492567026E-2</v>
      </c>
      <c r="BL48">
        <v>7.8492240080805534E-2</v>
      </c>
      <c r="BM48">
        <v>8.1516129191360434E-2</v>
      </c>
      <c r="BN48">
        <v>8.4922256716662869E-2</v>
      </c>
      <c r="BO48">
        <v>9.1065173639402905E-2</v>
      </c>
      <c r="BP48">
        <v>9.7077976452233108E-2</v>
      </c>
      <c r="BQ48">
        <v>0.10709176338577577</v>
      </c>
      <c r="BS48" t="s">
        <v>33</v>
      </c>
      <c r="BT48">
        <v>43291</v>
      </c>
      <c r="BU48" t="s">
        <v>142</v>
      </c>
      <c r="BV48">
        <v>8.1631928974858589E-2</v>
      </c>
      <c r="BW48">
        <v>7.9418475388777207E-2</v>
      </c>
      <c r="BX48">
        <v>7.8326507385578115E-2</v>
      </c>
      <c r="BY48">
        <v>7.7723851630046761E-2</v>
      </c>
      <c r="BZ48">
        <v>7.8044038166111218E-2</v>
      </c>
      <c r="CA48">
        <v>7.9310229532031887E-2</v>
      </c>
      <c r="CB48">
        <v>8.2316845508902725E-2</v>
      </c>
      <c r="CC48">
        <v>8.5701532976389258E-2</v>
      </c>
      <c r="CD48">
        <v>9.1794387362430493E-2</v>
      </c>
      <c r="CE48">
        <v>9.7755170886297663E-2</v>
      </c>
      <c r="CF48">
        <v>0.10770928126031012</v>
      </c>
    </row>
    <row r="49" spans="2:84" ht="14.4">
      <c r="B49" s="184" t="s">
        <v>106</v>
      </c>
      <c r="C49" s="185"/>
      <c r="D49" s="193" t="s">
        <v>126</v>
      </c>
      <c r="M49" s="53" t="s">
        <v>29</v>
      </c>
      <c r="N49" s="59">
        <f>_xll.qlCalendarAdvance("NullCalendar",$D$2,M49)</f>
        <v>43110</v>
      </c>
      <c r="O49" s="60" t="str">
        <f>TEXT(N49,"[$-900]TTMMMJJJ")</f>
        <v>10Jan2018</v>
      </c>
      <c r="P49" s="67" t="str">
        <f>$O49&amp;TEXT(P41*1000,"0000")</f>
        <v>10Jan2018-0250</v>
      </c>
      <c r="Q49" s="48" t="str">
        <f>$O49&amp;TEXT(Q41*1000,"0000")</f>
        <v>10Jan20180000</v>
      </c>
      <c r="R49" s="48" t="str">
        <f>$O49&amp;TEXT(R41*1000,"0000")</f>
        <v>10Jan20180250</v>
      </c>
      <c r="S49" s="48" t="str">
        <f>$O49&amp;TEXT(S41*1000,"0000")</f>
        <v>10Jan20180500</v>
      </c>
      <c r="T49" s="48" t="str">
        <f>$O49&amp;TEXT(T41*1000,"0000")</f>
        <v>10Jan20180750</v>
      </c>
      <c r="U49" s="48" t="str">
        <f>$O49&amp;TEXT(U41*1000,"0000")</f>
        <v>10Jan20181000</v>
      </c>
      <c r="V49" s="48" t="str">
        <f>$O49&amp;TEXT(V41*1000,"0000")</f>
        <v>10Jan20181250</v>
      </c>
      <c r="W49" s="48" t="str">
        <f>$O49&amp;TEXT(W41*1000,"0000")</f>
        <v>10Jan20181500</v>
      </c>
      <c r="X49" s="48" t="str">
        <f>$O49&amp;TEXT(X41*1000,"0000")</f>
        <v>10Jan20181750</v>
      </c>
      <c r="Y49" s="48" t="str">
        <f>$O49&amp;TEXT(Y41*1000,"0000")</f>
        <v>10Jan20182000</v>
      </c>
      <c r="Z49" s="48" t="str">
        <f>$O49&amp;TEXT(Z41*1000,"0000")</f>
        <v>10Jan20182250</v>
      </c>
      <c r="AR49" t="s">
        <v>24</v>
      </c>
      <c r="AS49">
        <v>43383</v>
      </c>
      <c r="AT49" t="s">
        <v>143</v>
      </c>
      <c r="AU49">
        <v>8.3317702842604396E-2</v>
      </c>
      <c r="AV49">
        <v>8.1126686108861312E-2</v>
      </c>
      <c r="AW49">
        <v>8.0232001834904115E-2</v>
      </c>
      <c r="AX49">
        <v>7.9763582873357983E-2</v>
      </c>
      <c r="AY49">
        <v>8.0093988318014592E-2</v>
      </c>
      <c r="AZ49">
        <v>8.1288290146521544E-2</v>
      </c>
      <c r="BA49">
        <v>8.4081275286777959E-2</v>
      </c>
      <c r="BB49">
        <v>8.7165233284080934E-2</v>
      </c>
      <c r="BC49">
        <v>9.2607237204742246E-2</v>
      </c>
      <c r="BD49">
        <v>9.7843329407651211E-2</v>
      </c>
      <c r="BE49">
        <v>0.10643437673431044</v>
      </c>
      <c r="BG49">
        <v>8.1740240718040272E-2</v>
      </c>
      <c r="BH49">
        <v>7.9505776610593243E-2</v>
      </c>
      <c r="BI49">
        <v>7.8605166670651844E-2</v>
      </c>
      <c r="BJ49">
        <v>7.8126437781294189E-2</v>
      </c>
      <c r="BK49">
        <v>7.8450142962792319E-2</v>
      </c>
      <c r="BL49">
        <v>7.964865882473432E-2</v>
      </c>
      <c r="BM49">
        <v>8.2467914572864065E-2</v>
      </c>
      <c r="BN49">
        <v>8.5592330497596097E-2</v>
      </c>
      <c r="BO49">
        <v>9.1120566791174307E-2</v>
      </c>
      <c r="BP49">
        <v>9.6434089533935147E-2</v>
      </c>
      <c r="BQ49">
        <v>0.10511454227049194</v>
      </c>
      <c r="BS49" t="s">
        <v>24</v>
      </c>
      <c r="BT49">
        <v>43383</v>
      </c>
      <c r="BU49" t="s">
        <v>143</v>
      </c>
      <c r="BV49">
        <v>8.253653851056017E-2</v>
      </c>
      <c r="BW49">
        <v>8.0322061784189019E-2</v>
      </c>
      <c r="BX49">
        <v>7.9424528611696854E-2</v>
      </c>
      <c r="BY49">
        <v>7.8950668425555842E-2</v>
      </c>
      <c r="BZ49">
        <v>7.9276998027950518E-2</v>
      </c>
      <c r="CA49">
        <v>8.0473878122508086E-2</v>
      </c>
      <c r="CB49">
        <v>8.3279571423893944E-2</v>
      </c>
      <c r="CC49">
        <v>8.6383058723933689E-2</v>
      </c>
      <c r="CD49">
        <v>9.1867570928932329E-2</v>
      </c>
      <c r="CE49">
        <v>9.7140642501308411E-2</v>
      </c>
      <c r="CF49">
        <v>0.10577708176460859</v>
      </c>
    </row>
    <row r="50" spans="2:84" ht="14.4">
      <c r="B50" s="184" t="s">
        <v>110</v>
      </c>
      <c r="C50" s="185"/>
      <c r="D50" s="186" t="e">
        <f>D25</f>
        <v>#VALUE!</v>
      </c>
      <c r="M50" s="53" t="s">
        <v>32</v>
      </c>
      <c r="N50" s="59">
        <f>_xll.qlCalendarAdvance("NullCalendar",$D$2,M50)</f>
        <v>43200</v>
      </c>
      <c r="O50" s="60" t="str">
        <f>TEXT(N50,"[$-900]TTMMMJJJ")</f>
        <v>10Apr2018</v>
      </c>
      <c r="P50" s="67" t="str">
        <f>$O50&amp;TEXT(P42*1000,"0000")</f>
        <v>10Apr2018-0250</v>
      </c>
      <c r="Q50" s="48" t="str">
        <f>$O50&amp;TEXT(Q42*1000,"0000")</f>
        <v>10Apr20180000</v>
      </c>
      <c r="R50" s="48" t="str">
        <f>$O50&amp;TEXT(R42*1000,"0000")</f>
        <v>10Apr20180250</v>
      </c>
      <c r="S50" s="48" t="str">
        <f>$O50&amp;TEXT(S42*1000,"0000")</f>
        <v>10Apr20180500</v>
      </c>
      <c r="T50" s="48" t="str">
        <f>$O50&amp;TEXT(T42*1000,"0000")</f>
        <v>10Apr20180750</v>
      </c>
      <c r="U50" s="48" t="str">
        <f>$O50&amp;TEXT(U42*1000,"0000")</f>
        <v>10Apr20181000</v>
      </c>
      <c r="V50" s="48" t="str">
        <f>$O50&amp;TEXT(V42*1000,"0000")</f>
        <v>10Apr20181250</v>
      </c>
      <c r="W50" s="48" t="str">
        <f>$O50&amp;TEXT(W42*1000,"0000")</f>
        <v>10Apr20181500</v>
      </c>
      <c r="X50" s="48" t="str">
        <f>$O50&amp;TEXT(X42*1000,"0000")</f>
        <v>10Apr20181750</v>
      </c>
      <c r="Y50" s="48" t="str">
        <f>$O50&amp;TEXT(Y42*1000,"0000")</f>
        <v>10Apr20182000</v>
      </c>
      <c r="Z50" s="48" t="str">
        <f>$O50&amp;TEXT(Z42*1000,"0000")</f>
        <v>10Apr20182250</v>
      </c>
    </row>
    <row r="51" spans="2:84" ht="14.4">
      <c r="B51" s="187" t="s">
        <v>124</v>
      </c>
      <c r="C51" s="188"/>
      <c r="D51" s="189" t="e">
        <f>D27</f>
        <v>#VALUE!</v>
      </c>
      <c r="M51" s="53" t="s">
        <v>33</v>
      </c>
      <c r="N51" s="59">
        <f>_xll.qlCalendarAdvance("NullCalendar",$D$2,M51)</f>
        <v>43291</v>
      </c>
      <c r="O51" s="60" t="str">
        <f>TEXT(N51,"[$-900]TTMMMJJJ")</f>
        <v>10Jul2018</v>
      </c>
      <c r="P51" s="67" t="str">
        <f>$O51&amp;TEXT(P43*1000,"0000")</f>
        <v>10Jul2018-0250</v>
      </c>
      <c r="Q51" s="48" t="str">
        <f>$O51&amp;TEXT(Q43*1000,"0000")</f>
        <v>10Jul20180000</v>
      </c>
      <c r="R51" s="48" t="str">
        <f>$O51&amp;TEXT(R43*1000,"0000")</f>
        <v>10Jul20180250</v>
      </c>
      <c r="S51" s="48" t="str">
        <f>$O51&amp;TEXT(S43*1000,"0000")</f>
        <v>10Jul20180500</v>
      </c>
      <c r="T51" s="48" t="str">
        <f>$O51&amp;TEXT(T43*1000,"0000")</f>
        <v>10Jul20180750</v>
      </c>
      <c r="U51" s="48" t="str">
        <f>$O51&amp;TEXT(U43*1000,"0000")</f>
        <v>10Jul20181000</v>
      </c>
      <c r="V51" s="48" t="str">
        <f>$O51&amp;TEXT(V43*1000,"0000")</f>
        <v>10Jul20181250</v>
      </c>
      <c r="W51" s="48" t="str">
        <f>$O51&amp;TEXT(W43*1000,"0000")</f>
        <v>10Jul20181500</v>
      </c>
      <c r="X51" s="48" t="str">
        <f>$O51&amp;TEXT(X43*1000,"0000")</f>
        <v>10Jul20181750</v>
      </c>
      <c r="Y51" s="48" t="str">
        <f>$O51&amp;TEXT(Y43*1000,"0000")</f>
        <v>10Jul20182000</v>
      </c>
      <c r="Z51" s="48" t="str">
        <f>$O51&amp;TEXT(Z43*1000,"0000")</f>
        <v>10Jul20182250</v>
      </c>
      <c r="AR51" t="s">
        <v>40</v>
      </c>
      <c r="AU51" t="s">
        <v>31</v>
      </c>
      <c r="BG51" t="s">
        <v>31</v>
      </c>
      <c r="BS51" t="s">
        <v>40</v>
      </c>
      <c r="BV51" t="s">
        <v>31</v>
      </c>
    </row>
    <row r="52" spans="2:84">
      <c r="B52" s="174" t="s">
        <v>221</v>
      </c>
      <c r="C52" s="175"/>
      <c r="D52" s="176" t="e">
        <f>_xll.qlRealLocalCorrelationSLVModel(D46,D47,C20:C21,D20:D21,D51)</f>
        <v>#VALUE!</v>
      </c>
      <c r="M52" s="55" t="s">
        <v>24</v>
      </c>
      <c r="N52" s="61">
        <f>_xll.qlCalendarAdvance("NullCalendar",$D$2,M52)</f>
        <v>43383</v>
      </c>
      <c r="O52" s="62" t="str">
        <f>TEXT(N52,"[$-900]TTMMMJJJ")</f>
        <v>10Okt2018</v>
      </c>
      <c r="P52" s="68" t="str">
        <f>$O52&amp;TEXT(P44*1000,"0000")</f>
        <v>10Okt2018-0250</v>
      </c>
      <c r="Q52" s="69" t="str">
        <f>$O52&amp;TEXT(Q44*1000,"0000")</f>
        <v>10Okt20180000</v>
      </c>
      <c r="R52" s="69" t="str">
        <f>$O52&amp;TEXT(R44*1000,"0000")</f>
        <v>10Okt20180250</v>
      </c>
      <c r="S52" s="69" t="str">
        <f>$O52&amp;TEXT(S44*1000,"0000")</f>
        <v>10Okt20180500</v>
      </c>
      <c r="T52" s="69" t="str">
        <f>$O52&amp;TEXT(T44*1000,"0000")</f>
        <v>10Okt20180750</v>
      </c>
      <c r="U52" s="69" t="str">
        <f>$O52&amp;TEXT(U44*1000,"0000")</f>
        <v>10Okt20181000</v>
      </c>
      <c r="V52" s="69" t="str">
        <f>$O52&amp;TEXT(V44*1000,"0000")</f>
        <v>10Okt20181250</v>
      </c>
      <c r="W52" s="69" t="str">
        <f>$O52&amp;TEXT(W44*1000,"0000")</f>
        <v>10Okt20181500</v>
      </c>
      <c r="X52" s="69" t="str">
        <f>$O52&amp;TEXT(X44*1000,"0000")</f>
        <v>10Okt20181750</v>
      </c>
      <c r="Y52" s="69" t="str">
        <f>$O52&amp;TEXT(Y44*1000,"0000")</f>
        <v>10Okt20182000</v>
      </c>
      <c r="Z52" s="69" t="str">
        <f>$O52&amp;TEXT(Z44*1000,"0000")</f>
        <v>10Okt20182250</v>
      </c>
      <c r="AR52" t="s">
        <v>25</v>
      </c>
      <c r="AS52" t="s">
        <v>30</v>
      </c>
      <c r="AT52" t="s">
        <v>4</v>
      </c>
      <c r="AU52">
        <v>0.87151206299808792</v>
      </c>
      <c r="AV52">
        <v>0.90216284644338041</v>
      </c>
      <c r="AW52">
        <v>0.92234769785879311</v>
      </c>
      <c r="AX52">
        <v>0.95081286797024822</v>
      </c>
      <c r="AY52">
        <v>0.97294871335629129</v>
      </c>
      <c r="AZ52">
        <v>1</v>
      </c>
      <c r="BA52">
        <v>1.0371120792715558</v>
      </c>
      <c r="BB52">
        <v>1.0668476834085139</v>
      </c>
      <c r="BC52">
        <v>1.1095919855494891</v>
      </c>
      <c r="BD52">
        <v>1.1457807621080653</v>
      </c>
      <c r="BE52">
        <v>1.203642429536993</v>
      </c>
      <c r="BG52">
        <v>0.87151206299808792</v>
      </c>
      <c r="BH52">
        <v>0.90216284644338041</v>
      </c>
      <c r="BI52">
        <v>0.92234769785879311</v>
      </c>
      <c r="BJ52">
        <v>0.95081286797024822</v>
      </c>
      <c r="BK52">
        <v>0.97294871335629129</v>
      </c>
      <c r="BL52">
        <v>1</v>
      </c>
      <c r="BM52">
        <v>1.0371120792715558</v>
      </c>
      <c r="BN52">
        <v>1.0668476834085139</v>
      </c>
      <c r="BO52">
        <v>1.1095919855494891</v>
      </c>
      <c r="BP52">
        <v>1.1457807621080653</v>
      </c>
      <c r="BQ52">
        <v>1.203642429536993</v>
      </c>
      <c r="BS52" t="s">
        <v>25</v>
      </c>
      <c r="BT52" t="s">
        <v>30</v>
      </c>
      <c r="BU52" t="s">
        <v>4</v>
      </c>
      <c r="BV52">
        <v>0.87151206299808792</v>
      </c>
      <c r="BW52">
        <v>0.90216284644338041</v>
      </c>
      <c r="BX52">
        <v>0.92234769785879311</v>
      </c>
      <c r="BY52">
        <v>0.95081286797024822</v>
      </c>
      <c r="BZ52">
        <v>0.97294871335629129</v>
      </c>
      <c r="CA52">
        <v>1</v>
      </c>
      <c r="CB52">
        <v>1.0371120792715558</v>
      </c>
      <c r="CC52">
        <v>1.0668476834085139</v>
      </c>
      <c r="CD52">
        <v>1.1095919855494891</v>
      </c>
      <c r="CE52">
        <v>1.1457807621080653</v>
      </c>
      <c r="CF52">
        <v>1.203642429536993</v>
      </c>
    </row>
    <row r="53" spans="2:84">
      <c r="B53" s="190" t="s">
        <v>103</v>
      </c>
      <c r="C53" s="191"/>
      <c r="D53" s="192" t="str">
        <f ca="1">_xll.ohRangeRetrieveError(D52)</f>
        <v/>
      </c>
      <c r="AR53" t="s">
        <v>22</v>
      </c>
      <c r="AS53">
        <v>43049</v>
      </c>
      <c r="AT53" t="s">
        <v>139</v>
      </c>
      <c r="AU53">
        <v>0.11246037863389756</v>
      </c>
      <c r="AV53">
        <v>9.9697232540459868E-2</v>
      </c>
      <c r="AW53">
        <v>8.8331670024651907E-2</v>
      </c>
      <c r="AX53">
        <v>7.5539340812903852E-2</v>
      </c>
      <c r="AY53">
        <v>7.136129167078327E-2</v>
      </c>
      <c r="AZ53">
        <v>7.103022898707885E-2</v>
      </c>
      <c r="BA53">
        <v>7.6821378614885708E-2</v>
      </c>
      <c r="BB53">
        <v>8.7045157388162556E-2</v>
      </c>
      <c r="BC53">
        <v>0.10323768947145466</v>
      </c>
      <c r="BD53">
        <v>0.11977377190068152</v>
      </c>
      <c r="BE53" t="e">
        <v>#NUM!</v>
      </c>
      <c r="BG53">
        <v>0.11169193500731112</v>
      </c>
      <c r="BH53">
        <v>9.8975812749702366E-2</v>
      </c>
      <c r="BI53">
        <v>8.7454136001756957E-2</v>
      </c>
      <c r="BJ53">
        <v>7.4239834729846257E-2</v>
      </c>
      <c r="BK53">
        <v>6.9942533558964362E-2</v>
      </c>
      <c r="BL53">
        <v>6.9566430474134716E-2</v>
      </c>
      <c r="BM53">
        <v>7.5432666922025715E-2</v>
      </c>
      <c r="BN53">
        <v>8.5938605520775063E-2</v>
      </c>
      <c r="BO53">
        <v>0.10229156344894913</v>
      </c>
      <c r="BP53">
        <v>0.11928932296543789</v>
      </c>
      <c r="BQ53" t="e">
        <v>#NUM!</v>
      </c>
      <c r="BS53" t="s">
        <v>22</v>
      </c>
      <c r="BT53">
        <v>43049</v>
      </c>
      <c r="BU53" t="s">
        <v>139</v>
      </c>
      <c r="BV53">
        <v>0.11168103538726609</v>
      </c>
      <c r="BW53">
        <v>9.9318200906443596E-2</v>
      </c>
      <c r="BX53">
        <v>8.7899378621854207E-2</v>
      </c>
      <c r="BY53">
        <v>7.4891728788550396E-2</v>
      </c>
      <c r="BZ53">
        <v>7.0659684516168678E-2</v>
      </c>
      <c r="CA53">
        <v>7.0302332267824078E-2</v>
      </c>
      <c r="CB53">
        <v>7.612867515411019E-2</v>
      </c>
      <c r="CC53">
        <v>8.64927971365127E-2</v>
      </c>
      <c r="CD53">
        <v>0.10275485932320791</v>
      </c>
      <c r="CE53">
        <v>0.11953752768689473</v>
      </c>
      <c r="CF53" t="e">
        <v>#NUM!</v>
      </c>
    </row>
    <row r="54" spans="2:84">
      <c r="M54" s="1" t="s">
        <v>35</v>
      </c>
      <c r="N54" s="2"/>
      <c r="O54" s="47"/>
      <c r="P54" s="4" t="s">
        <v>31</v>
      </c>
      <c r="Q54" s="19"/>
      <c r="R54" s="19"/>
      <c r="S54" s="19"/>
      <c r="T54" s="19"/>
      <c r="U54" s="19"/>
      <c r="V54" s="19"/>
      <c r="W54" s="19"/>
      <c r="X54" s="19"/>
      <c r="Y54" s="19"/>
      <c r="Z54" s="19"/>
      <c r="AR54" t="s">
        <v>29</v>
      </c>
      <c r="AS54">
        <v>43110</v>
      </c>
      <c r="AT54" t="s">
        <v>140</v>
      </c>
      <c r="AU54">
        <v>9.2632127222228924E-2</v>
      </c>
      <c r="AV54">
        <v>8.209375432683981E-2</v>
      </c>
      <c r="AW54">
        <v>7.7407078401837276E-2</v>
      </c>
      <c r="AX54">
        <v>7.3281445616934449E-2</v>
      </c>
      <c r="AY54">
        <v>7.2329548048138181E-2</v>
      </c>
      <c r="AZ54">
        <v>7.3026773784721319E-2</v>
      </c>
      <c r="BA54">
        <v>7.7194372413996029E-2</v>
      </c>
      <c r="BB54">
        <v>8.2534891400128207E-2</v>
      </c>
      <c r="BC54">
        <v>9.2660837544666683E-2</v>
      </c>
      <c r="BD54">
        <v>0.10344327608396026</v>
      </c>
      <c r="BE54">
        <v>0.12494868854722448</v>
      </c>
      <c r="BG54">
        <v>9.1586405948926947E-2</v>
      </c>
      <c r="BH54">
        <v>8.093571968002039E-2</v>
      </c>
      <c r="BI54">
        <v>7.6069862143913466E-2</v>
      </c>
      <c r="BJ54">
        <v>7.1830283286586402E-2</v>
      </c>
      <c r="BK54">
        <v>7.0852631074607458E-2</v>
      </c>
      <c r="BL54">
        <v>7.1540749023673508E-2</v>
      </c>
      <c r="BM54">
        <v>7.574886646383136E-2</v>
      </c>
      <c r="BN54">
        <v>8.1196884627495067E-2</v>
      </c>
      <c r="BO54">
        <v>9.1596367155083805E-2</v>
      </c>
      <c r="BP54">
        <v>0.10273584045795986</v>
      </c>
      <c r="BQ54">
        <v>0.12483963561659364</v>
      </c>
      <c r="BS54" t="s">
        <v>29</v>
      </c>
      <c r="BT54">
        <v>43110</v>
      </c>
      <c r="BU54" t="s">
        <v>140</v>
      </c>
      <c r="BV54">
        <v>9.211575746800045E-2</v>
      </c>
      <c r="BW54">
        <v>8.1516860162654303E-2</v>
      </c>
      <c r="BX54">
        <v>7.6741591763469702E-2</v>
      </c>
      <c r="BY54">
        <v>7.2558066806343108E-2</v>
      </c>
      <c r="BZ54">
        <v>7.1597578020637334E-2</v>
      </c>
      <c r="CA54">
        <v>7.2288208879060872E-2</v>
      </c>
      <c r="CB54">
        <v>7.647473072683493E-2</v>
      </c>
      <c r="CC54">
        <v>8.1867319879201705E-2</v>
      </c>
      <c r="CD54">
        <v>9.2127871560740524E-2</v>
      </c>
      <c r="CE54">
        <v>0.10308946531931464</v>
      </c>
      <c r="CF54">
        <v>0.12489094980770096</v>
      </c>
    </row>
    <row r="55" spans="2:84">
      <c r="B55" s="236" t="s">
        <v>8</v>
      </c>
      <c r="C55" s="237" t="s">
        <v>100</v>
      </c>
      <c r="M55" s="49" t="s">
        <v>25</v>
      </c>
      <c r="N55" s="50" t="s">
        <v>30</v>
      </c>
      <c r="O55" s="50" t="s">
        <v>4</v>
      </c>
      <c r="P55" s="72" t="str">
        <f>P47</f>
        <v>5D Put EUR</v>
      </c>
      <c r="Q55" s="73" t="str">
        <f>Q47</f>
        <v>10D Put EUR</v>
      </c>
      <c r="R55" s="73" t="str">
        <f>R47</f>
        <v>15D Put EUR</v>
      </c>
      <c r="S55" s="73" t="str">
        <f>S47</f>
        <v>25D Put EUR</v>
      </c>
      <c r="T55" s="73" t="str">
        <f>T47</f>
        <v>35D Put EUR</v>
      </c>
      <c r="U55" s="73" t="str">
        <f>U47</f>
        <v>ATM</v>
      </c>
      <c r="V55" s="73" t="str">
        <f>V47</f>
        <v>35D Call EUR</v>
      </c>
      <c r="W55" s="73" t="str">
        <f>W47</f>
        <v>25D Call EUR</v>
      </c>
      <c r="X55" s="73" t="str">
        <f>X47</f>
        <v>15D Call EUR</v>
      </c>
      <c r="Y55" s="73" t="str">
        <f>Y47</f>
        <v>10D Call EUR</v>
      </c>
      <c r="Z55" s="73" t="str">
        <f>Z47</f>
        <v>5D Call EUR</v>
      </c>
      <c r="AR55" t="s">
        <v>32</v>
      </c>
      <c r="AS55">
        <v>43200</v>
      </c>
      <c r="AT55" t="s">
        <v>141</v>
      </c>
      <c r="AU55">
        <v>8.7105311747073963E-2</v>
      </c>
      <c r="AV55">
        <v>8.1706133542687021E-2</v>
      </c>
      <c r="AW55">
        <v>7.9220098076085918E-2</v>
      </c>
      <c r="AX55">
        <v>7.7232831890218817E-2</v>
      </c>
      <c r="AY55">
        <v>7.6883023688947755E-2</v>
      </c>
      <c r="AZ55">
        <v>7.790342806442993E-2</v>
      </c>
      <c r="BA55">
        <v>8.1483303564061235E-2</v>
      </c>
      <c r="BB55">
        <v>8.6083308998459659E-2</v>
      </c>
      <c r="BC55">
        <v>9.477241717254993E-2</v>
      </c>
      <c r="BD55">
        <v>0.10381954232416606</v>
      </c>
      <c r="BE55">
        <v>0.12085556529804954</v>
      </c>
      <c r="BG55">
        <v>8.5806736554932747E-2</v>
      </c>
      <c r="BH55">
        <v>8.0257576605534897E-2</v>
      </c>
      <c r="BI55">
        <v>7.770226951455568E-2</v>
      </c>
      <c r="BJ55">
        <v>7.567464436608369E-2</v>
      </c>
      <c r="BK55">
        <v>7.5310103729785374E-2</v>
      </c>
      <c r="BL55">
        <v>7.6330632155482123E-2</v>
      </c>
      <c r="BM55">
        <v>7.9944628711741406E-2</v>
      </c>
      <c r="BN55">
        <v>8.461824835483675E-2</v>
      </c>
      <c r="BO55">
        <v>9.3486937981429957E-2</v>
      </c>
      <c r="BP55">
        <v>0.10274079944879613</v>
      </c>
      <c r="BQ55">
        <v>0.12011585102653984</v>
      </c>
      <c r="BS55" t="s">
        <v>32</v>
      </c>
      <c r="BT55">
        <v>43200</v>
      </c>
      <c r="BU55" t="s">
        <v>141</v>
      </c>
      <c r="BV55">
        <v>8.6457013143190639E-2</v>
      </c>
      <c r="BW55">
        <v>8.0985304624513338E-2</v>
      </c>
      <c r="BX55">
        <v>7.8466173794015756E-2</v>
      </c>
      <c r="BY55">
        <v>7.645833517269586E-2</v>
      </c>
      <c r="BZ55">
        <v>7.6101754394045457E-2</v>
      </c>
      <c r="CA55">
        <v>7.7121509641071076E-2</v>
      </c>
      <c r="CB55">
        <v>8.0717864059087249E-2</v>
      </c>
      <c r="CC55">
        <v>8.5354137808783287E-2</v>
      </c>
      <c r="CD55">
        <v>9.4130576102211844E-2</v>
      </c>
      <c r="CE55">
        <v>0.10327954887884354</v>
      </c>
      <c r="CF55">
        <v>0.12048472523475262</v>
      </c>
    </row>
    <row r="56" spans="2:84">
      <c r="B56" s="1" t="s">
        <v>8</v>
      </c>
      <c r="C56" s="2"/>
      <c r="D56" s="238" t="e">
        <f>IF(C55="multiasset",_xll.qlMultiAssetSLVModel(,D4,C20:C21,D20:D21,C11:D12),D52)</f>
        <v>#VALUE!</v>
      </c>
      <c r="M56" s="70" t="str">
        <f>M48</f>
        <v>1m</v>
      </c>
      <c r="N56" s="57">
        <f>_xll.qlCalendarAdvance("NullCalendar",$D$2,M56)</f>
        <v>43049</v>
      </c>
      <c r="O56" s="58" t="str">
        <f>TEXT(N56,"[$-900]TTMMMJJJ")</f>
        <v>10Nov2017</v>
      </c>
      <c r="P56" s="65" t="str">
        <f>"C"&amp;P48&amp;"=Pay(Max(EURUSD("&amp;$O56&amp;")-GBPUSD("&amp;$O56&amp;")*"&amp;P40&amp;",0.0),"&amp;$O56&amp;")"</f>
        <v>C10Nov2017-0250=Pay(Max(EURUSD(10Nov2017)-GBPUSD(10Nov2017)*-0.25,0.0),10Nov2017)</v>
      </c>
      <c r="Q56" s="66" t="str">
        <f>"C"&amp;Q48&amp;"=Pay(Max(EURUSD("&amp;$O56&amp;")-GBPUSD("&amp;$O56&amp;")*"&amp;Q40&amp;",0.0),"&amp;$O56&amp;")"</f>
        <v>C10Nov20170000=Pay(Max(EURUSD(10Nov2017)-GBPUSD(10Nov2017)*0,0.0),10Nov2017)</v>
      </c>
      <c r="R56" s="66" t="str">
        <f>"C"&amp;R48&amp;"=Pay(Max(EURUSD("&amp;$O56&amp;")-GBPUSD("&amp;$O56&amp;")*"&amp;R40&amp;",0.0),"&amp;$O56&amp;")"</f>
        <v>C10Nov20170250=Pay(Max(EURUSD(10Nov2017)-GBPUSD(10Nov2017)*0.25,0.0),10Nov2017)</v>
      </c>
      <c r="S56" s="66" t="str">
        <f>"C"&amp;S48&amp;"=Pay(Max(EURUSD("&amp;$O56&amp;")-GBPUSD("&amp;$O56&amp;")*"&amp;S40&amp;",0.0),"&amp;$O56&amp;")"</f>
        <v>C10Nov20170500=Pay(Max(EURUSD(10Nov2017)-GBPUSD(10Nov2017)*0.5,0.0),10Nov2017)</v>
      </c>
      <c r="T56" s="66" t="str">
        <f>"C"&amp;T48&amp;"=Pay(Max(EURUSD("&amp;$O56&amp;")-GBPUSD("&amp;$O56&amp;")*"&amp;T40&amp;",0.0),"&amp;$O56&amp;")"</f>
        <v>C10Nov20170750=Pay(Max(EURUSD(10Nov2017)-GBPUSD(10Nov2017)*0.75,0.0),10Nov2017)</v>
      </c>
      <c r="U56" s="66" t="str">
        <f>"C"&amp;U48&amp;"=Pay(Max(EURUSD("&amp;$O56&amp;")-GBPUSD("&amp;$O56&amp;")*"&amp;U40&amp;",0.0),"&amp;$O56&amp;")"</f>
        <v>C10Nov20171000=Pay(Max(EURUSD(10Nov2017)-GBPUSD(10Nov2017)*1,0.0),10Nov2017)</v>
      </c>
      <c r="V56" s="66" t="str">
        <f>"C"&amp;V48&amp;"=Pay(Max(EURUSD("&amp;$O56&amp;")-GBPUSD("&amp;$O56&amp;")*"&amp;V40&amp;",0.0),"&amp;$O56&amp;")"</f>
        <v>C10Nov20171250=Pay(Max(EURUSD(10Nov2017)-GBPUSD(10Nov2017)*1.25,0.0),10Nov2017)</v>
      </c>
      <c r="W56" s="66" t="str">
        <f>"C"&amp;W48&amp;"=Pay(Max(EURUSD("&amp;$O56&amp;")-GBPUSD("&amp;$O56&amp;")*"&amp;W40&amp;",0.0),"&amp;$O56&amp;")"</f>
        <v>C10Nov20171500=Pay(Max(EURUSD(10Nov2017)-GBPUSD(10Nov2017)*1.5,0.0),10Nov2017)</v>
      </c>
      <c r="X56" s="66" t="str">
        <f>"C"&amp;X48&amp;"=Pay(Max(EURUSD("&amp;$O56&amp;")-GBPUSD("&amp;$O56&amp;")*"&amp;X40&amp;",0.0),"&amp;$O56&amp;")"</f>
        <v>C10Nov20171750=Pay(Max(EURUSD(10Nov2017)-GBPUSD(10Nov2017)*1.75,0.0),10Nov2017)</v>
      </c>
      <c r="Y56" s="66" t="str">
        <f>"C"&amp;Y48&amp;"=Pay(Max(EURUSD("&amp;$O56&amp;")-GBPUSD("&amp;$O56&amp;")*"&amp;Y40&amp;",0.0),"&amp;$O56&amp;")"</f>
        <v>C10Nov20172000=Pay(Max(EURUSD(10Nov2017)-GBPUSD(10Nov2017)*2,0.0),10Nov2017)</v>
      </c>
      <c r="Z56" s="66" t="str">
        <f>"C"&amp;Z48&amp;"=Pay(Max(EURUSD("&amp;$O56&amp;")-GBPUSD("&amp;$O56&amp;")*"&amp;Z40&amp;",0.0),"&amp;$O56&amp;")"</f>
        <v>C10Nov20172250=Pay(Max(EURUSD(10Nov2017)-GBPUSD(10Nov2017)*2.25,0.0),10Nov2017)</v>
      </c>
      <c r="AR56" t="s">
        <v>33</v>
      </c>
      <c r="AS56">
        <v>43291</v>
      </c>
      <c r="AT56" t="s">
        <v>142</v>
      </c>
      <c r="AU56">
        <v>8.3807213098235564E-2</v>
      </c>
      <c r="AV56">
        <v>8.093411405563293E-2</v>
      </c>
      <c r="AW56">
        <v>7.9639534760264197E-2</v>
      </c>
      <c r="AX56">
        <v>7.8888524673925001E-2</v>
      </c>
      <c r="AY56">
        <v>7.9165944389272047E-2</v>
      </c>
      <c r="AZ56">
        <v>8.0419976488729339E-2</v>
      </c>
      <c r="BA56">
        <v>8.3477938080033579E-2</v>
      </c>
      <c r="BB56">
        <v>8.6968683939069605E-2</v>
      </c>
      <c r="BC56">
        <v>9.336526205098418E-2</v>
      </c>
      <c r="BD56">
        <v>9.9791831009827747E-2</v>
      </c>
      <c r="BE56">
        <v>0.11113741795696216</v>
      </c>
      <c r="BG56">
        <v>8.230697367269095E-2</v>
      </c>
      <c r="BH56">
        <v>7.937084788741984E-2</v>
      </c>
      <c r="BI56">
        <v>7.8043258433782042E-2</v>
      </c>
      <c r="BJ56">
        <v>7.727527901103326E-2</v>
      </c>
      <c r="BK56">
        <v>7.754010573460686E-2</v>
      </c>
      <c r="BL56">
        <v>7.8801869104130021E-2</v>
      </c>
      <c r="BM56">
        <v>8.1895593938917599E-2</v>
      </c>
      <c r="BN56">
        <v>8.5436793153186266E-2</v>
      </c>
      <c r="BO56">
        <v>9.1953037667063503E-2</v>
      </c>
      <c r="BP56">
        <v>9.8518153270317807E-2</v>
      </c>
      <c r="BQ56">
        <v>0.11007905461237188</v>
      </c>
      <c r="BS56" t="s">
        <v>33</v>
      </c>
      <c r="BT56">
        <v>43291</v>
      </c>
      <c r="BU56" t="s">
        <v>142</v>
      </c>
      <c r="BV56">
        <v>8.3059852300567907E-2</v>
      </c>
      <c r="BW56">
        <v>8.0156029848422836E-2</v>
      </c>
      <c r="BX56">
        <v>7.8846046532858427E-2</v>
      </c>
      <c r="BY56">
        <v>7.8087508452766047E-2</v>
      </c>
      <c r="BZ56">
        <v>7.8356033603414352E-2</v>
      </c>
      <c r="CA56">
        <v>7.9616409992886578E-2</v>
      </c>
      <c r="CB56">
        <v>8.269053410586287E-2</v>
      </c>
      <c r="CC56">
        <v>8.6206271458121764E-2</v>
      </c>
      <c r="CD56">
        <v>9.2660229370780514E-2</v>
      </c>
      <c r="CE56">
        <v>9.9154859480145671E-2</v>
      </c>
      <c r="CF56">
        <v>0.11060518230509969</v>
      </c>
    </row>
    <row r="57" spans="2:84">
      <c r="M57" s="71" t="str">
        <f>M49</f>
        <v>3m</v>
      </c>
      <c r="N57" s="59">
        <f>_xll.qlCalendarAdvance("NullCalendar",$D$2,M57)</f>
        <v>43110</v>
      </c>
      <c r="O57" s="60" t="str">
        <f>TEXT(N57,"[$-900]TTMMMJJJ")</f>
        <v>10Jan2018</v>
      </c>
      <c r="P57" s="67" t="str">
        <f>"C"&amp;P49&amp;"=Pay(Max(EURUSD("&amp;$O57&amp;")-GBPUSD("&amp;$O57&amp;")*"&amp;P41&amp;",0.0),"&amp;$O57&amp;")"</f>
        <v>C10Jan2018-0250=Pay(Max(EURUSD(10Jan2018)-GBPUSD(10Jan2018)*-0.25,0.0),10Jan2018)</v>
      </c>
      <c r="Q57" s="48" t="str">
        <f>"C"&amp;Q49&amp;"=Pay(Max(EURUSD("&amp;$O57&amp;")-GBPUSD("&amp;$O57&amp;")*"&amp;Q41&amp;",0.0),"&amp;$O57&amp;")"</f>
        <v>C10Jan20180000=Pay(Max(EURUSD(10Jan2018)-GBPUSD(10Jan2018)*0,0.0),10Jan2018)</v>
      </c>
      <c r="R57" s="48" t="str">
        <f>"C"&amp;R49&amp;"=Pay(Max(EURUSD("&amp;$O57&amp;")-GBPUSD("&amp;$O57&amp;")*"&amp;R41&amp;",0.0),"&amp;$O57&amp;")"</f>
        <v>C10Jan20180250=Pay(Max(EURUSD(10Jan2018)-GBPUSD(10Jan2018)*0.25,0.0),10Jan2018)</v>
      </c>
      <c r="S57" s="48" t="str">
        <f>"C"&amp;S49&amp;"=Pay(Max(EURUSD("&amp;$O57&amp;")-GBPUSD("&amp;$O57&amp;")*"&amp;S41&amp;",0.0),"&amp;$O57&amp;")"</f>
        <v>C10Jan20180500=Pay(Max(EURUSD(10Jan2018)-GBPUSD(10Jan2018)*0.5,0.0),10Jan2018)</v>
      </c>
      <c r="T57" s="48" t="str">
        <f>"C"&amp;T49&amp;"=Pay(Max(EURUSD("&amp;$O57&amp;")-GBPUSD("&amp;$O57&amp;")*"&amp;T41&amp;",0.0),"&amp;$O57&amp;")"</f>
        <v>C10Jan20180750=Pay(Max(EURUSD(10Jan2018)-GBPUSD(10Jan2018)*0.75,0.0),10Jan2018)</v>
      </c>
      <c r="U57" s="48" t="str">
        <f>"C"&amp;U49&amp;"=Pay(Max(EURUSD("&amp;$O57&amp;")-GBPUSD("&amp;$O57&amp;")*"&amp;U41&amp;",0.0),"&amp;$O57&amp;")"</f>
        <v>C10Jan20181000=Pay(Max(EURUSD(10Jan2018)-GBPUSD(10Jan2018)*1,0.0),10Jan2018)</v>
      </c>
      <c r="V57" s="48" t="str">
        <f>"C"&amp;V49&amp;"=Pay(Max(EURUSD("&amp;$O57&amp;")-GBPUSD("&amp;$O57&amp;")*"&amp;V41&amp;",0.0),"&amp;$O57&amp;")"</f>
        <v>C10Jan20181250=Pay(Max(EURUSD(10Jan2018)-GBPUSD(10Jan2018)*1.25,0.0),10Jan2018)</v>
      </c>
      <c r="W57" s="48" t="str">
        <f>"C"&amp;W49&amp;"=Pay(Max(EURUSD("&amp;$O57&amp;")-GBPUSD("&amp;$O57&amp;")*"&amp;W41&amp;",0.0),"&amp;$O57&amp;")"</f>
        <v>C10Jan20181500=Pay(Max(EURUSD(10Jan2018)-GBPUSD(10Jan2018)*1.5,0.0),10Jan2018)</v>
      </c>
      <c r="X57" s="48" t="str">
        <f>"C"&amp;X49&amp;"=Pay(Max(EURUSD("&amp;$O57&amp;")-GBPUSD("&amp;$O57&amp;")*"&amp;X41&amp;",0.0),"&amp;$O57&amp;")"</f>
        <v>C10Jan20181750=Pay(Max(EURUSD(10Jan2018)-GBPUSD(10Jan2018)*1.75,0.0),10Jan2018)</v>
      </c>
      <c r="Y57" s="48" t="str">
        <f>"C"&amp;Y49&amp;"=Pay(Max(EURUSD("&amp;$O57&amp;")-GBPUSD("&amp;$O57&amp;")*"&amp;Y41&amp;",0.0),"&amp;$O57&amp;")"</f>
        <v>C10Jan20182000=Pay(Max(EURUSD(10Jan2018)-GBPUSD(10Jan2018)*2,0.0),10Jan2018)</v>
      </c>
      <c r="Z57" s="48" t="str">
        <f>"C"&amp;Z49&amp;"=Pay(Max(EURUSD("&amp;$O57&amp;")-GBPUSD("&amp;$O57&amp;")*"&amp;Z41&amp;",0.0),"&amp;$O57&amp;")"</f>
        <v>C10Jan20182250=Pay(Max(EURUSD(10Jan2018)-GBPUSD(10Jan2018)*2.25,0.0),10Jan2018)</v>
      </c>
      <c r="AR57" t="s">
        <v>24</v>
      </c>
      <c r="AS57">
        <v>43383</v>
      </c>
      <c r="AT57" t="s">
        <v>143</v>
      </c>
      <c r="AU57">
        <v>8.3845886101853409E-2</v>
      </c>
      <c r="AV57">
        <v>8.1464648377107374E-2</v>
      </c>
      <c r="AW57">
        <v>8.0500501012611358E-2</v>
      </c>
      <c r="AX57">
        <v>7.9976904345437194E-2</v>
      </c>
      <c r="AY57">
        <v>8.0290620282676389E-2</v>
      </c>
      <c r="AZ57">
        <v>8.148545467090601E-2</v>
      </c>
      <c r="BA57">
        <v>8.4315905895703133E-2</v>
      </c>
      <c r="BB57">
        <v>8.7463141493940785E-2</v>
      </c>
      <c r="BC57">
        <v>9.3064423421122811E-2</v>
      </c>
      <c r="BD57">
        <v>9.8519419590401169E-2</v>
      </c>
      <c r="BE57">
        <v>0.10769308685065178</v>
      </c>
      <c r="BG57">
        <v>8.2329531403644504E-2</v>
      </c>
      <c r="BH57">
        <v>7.9872731413794848E-2</v>
      </c>
      <c r="BI57">
        <v>7.8892865372267529E-2</v>
      </c>
      <c r="BJ57">
        <v>7.8352478208071022E-2</v>
      </c>
      <c r="BK57">
        <v>7.8655010338857495E-2</v>
      </c>
      <c r="BL57">
        <v>7.9854284042274098E-2</v>
      </c>
      <c r="BM57">
        <v>8.2713127821702093E-2</v>
      </c>
      <c r="BN57">
        <v>8.5905155205107886E-2</v>
      </c>
      <c r="BO57">
        <v>9.1604604504440967E-2</v>
      </c>
      <c r="BP57">
        <v>9.7154092688191335E-2</v>
      </c>
      <c r="BQ57">
        <v>0.10646390680777366</v>
      </c>
      <c r="BS57" t="s">
        <v>24</v>
      </c>
      <c r="BT57">
        <v>43383</v>
      </c>
      <c r="BU57" t="s">
        <v>143</v>
      </c>
      <c r="BV57">
        <v>8.309171760334276E-2</v>
      </c>
      <c r="BW57">
        <v>8.0674769322975376E-2</v>
      </c>
      <c r="BX57">
        <v>7.9700783214255E-2</v>
      </c>
      <c r="BY57">
        <v>7.9168957455323319E-2</v>
      </c>
      <c r="BZ57">
        <v>7.9477956371597033E-2</v>
      </c>
      <c r="CA57">
        <v>8.0674810523918172E-2</v>
      </c>
      <c r="CB57">
        <v>8.3518950804446185E-2</v>
      </c>
      <c r="CC57">
        <v>8.6687723416365881E-2</v>
      </c>
      <c r="CD57">
        <v>9.2337060109796573E-2</v>
      </c>
      <c r="CE57">
        <v>9.7837005942915639E-2</v>
      </c>
      <c r="CF57">
        <v>0.10707792000107527</v>
      </c>
    </row>
    <row r="58" spans="2:84">
      <c r="B58" s="4" t="s">
        <v>9</v>
      </c>
      <c r="C58" s="19"/>
      <c r="D58" s="25" t="s">
        <v>21</v>
      </c>
      <c r="M58" s="71" t="str">
        <f>M50</f>
        <v>6m</v>
      </c>
      <c r="N58" s="59">
        <f>_xll.qlCalendarAdvance("NullCalendar",$D$2,M58)</f>
        <v>43200</v>
      </c>
      <c r="O58" s="60" t="str">
        <f>TEXT(N58,"[$-900]TTMMMJJJ")</f>
        <v>10Apr2018</v>
      </c>
      <c r="P58" s="67" t="str">
        <f>"C"&amp;P50&amp;"=Pay(Max(EURUSD("&amp;$O58&amp;")-GBPUSD("&amp;$O58&amp;")*"&amp;P42&amp;",0.0),"&amp;$O58&amp;")"</f>
        <v>C10Apr2018-0250=Pay(Max(EURUSD(10Apr2018)-GBPUSD(10Apr2018)*-0.25,0.0),10Apr2018)</v>
      </c>
      <c r="Q58" s="48" t="str">
        <f>"C"&amp;Q50&amp;"=Pay(Max(EURUSD("&amp;$O58&amp;")-GBPUSD("&amp;$O58&amp;")*"&amp;Q42&amp;",0.0),"&amp;$O58&amp;")"</f>
        <v>C10Apr20180000=Pay(Max(EURUSD(10Apr2018)-GBPUSD(10Apr2018)*0,0.0),10Apr2018)</v>
      </c>
      <c r="R58" s="48" t="str">
        <f>"C"&amp;R50&amp;"=Pay(Max(EURUSD("&amp;$O58&amp;")-GBPUSD("&amp;$O58&amp;")*"&amp;R42&amp;",0.0),"&amp;$O58&amp;")"</f>
        <v>C10Apr20180250=Pay(Max(EURUSD(10Apr2018)-GBPUSD(10Apr2018)*0.25,0.0),10Apr2018)</v>
      </c>
      <c r="S58" s="48" t="str">
        <f>"C"&amp;S50&amp;"=Pay(Max(EURUSD("&amp;$O58&amp;")-GBPUSD("&amp;$O58&amp;")*"&amp;S42&amp;",0.0),"&amp;$O58&amp;")"</f>
        <v>C10Apr20180500=Pay(Max(EURUSD(10Apr2018)-GBPUSD(10Apr2018)*0.5,0.0),10Apr2018)</v>
      </c>
      <c r="T58" s="48" t="str">
        <f>"C"&amp;T50&amp;"=Pay(Max(EURUSD("&amp;$O58&amp;")-GBPUSD("&amp;$O58&amp;")*"&amp;T42&amp;",0.0),"&amp;$O58&amp;")"</f>
        <v>C10Apr20180750=Pay(Max(EURUSD(10Apr2018)-GBPUSD(10Apr2018)*0.75,0.0),10Apr2018)</v>
      </c>
      <c r="U58" s="48" t="str">
        <f>"C"&amp;U50&amp;"=Pay(Max(EURUSD("&amp;$O58&amp;")-GBPUSD("&amp;$O58&amp;")*"&amp;U42&amp;",0.0),"&amp;$O58&amp;")"</f>
        <v>C10Apr20181000=Pay(Max(EURUSD(10Apr2018)-GBPUSD(10Apr2018)*1,0.0),10Apr2018)</v>
      </c>
      <c r="V58" s="48" t="str">
        <f>"C"&amp;V50&amp;"=Pay(Max(EURUSD("&amp;$O58&amp;")-GBPUSD("&amp;$O58&amp;")*"&amp;V42&amp;",0.0),"&amp;$O58&amp;")"</f>
        <v>C10Apr20181250=Pay(Max(EURUSD(10Apr2018)-GBPUSD(10Apr2018)*1.25,0.0),10Apr2018)</v>
      </c>
      <c r="W58" s="48" t="str">
        <f>"C"&amp;W50&amp;"=Pay(Max(EURUSD("&amp;$O58&amp;")-GBPUSD("&amp;$O58&amp;")*"&amp;W42&amp;",0.0),"&amp;$O58&amp;")"</f>
        <v>C10Apr20181500=Pay(Max(EURUSD(10Apr2018)-GBPUSD(10Apr2018)*1.5,0.0),10Apr2018)</v>
      </c>
      <c r="X58" s="48" t="str">
        <f>"C"&amp;X50&amp;"=Pay(Max(EURUSD("&amp;$O58&amp;")-GBPUSD("&amp;$O58&amp;")*"&amp;X42&amp;",0.0),"&amp;$O58&amp;")"</f>
        <v>C10Apr20181750=Pay(Max(EURUSD(10Apr2018)-GBPUSD(10Apr2018)*1.75,0.0),10Apr2018)</v>
      </c>
      <c r="Y58" s="48" t="str">
        <f>"C"&amp;Y50&amp;"=Pay(Max(EURUSD("&amp;$O58&amp;")-GBPUSD("&amp;$O58&amp;")*"&amp;Y42&amp;",0.0),"&amp;$O58&amp;")"</f>
        <v>C10Apr20182000=Pay(Max(EURUSD(10Apr2018)-GBPUSD(10Apr2018)*2,0.0),10Apr2018)</v>
      </c>
      <c r="Z58" s="48" t="str">
        <f>"C"&amp;Z50&amp;"=Pay(Max(EURUSD("&amp;$O58&amp;")-GBPUSD("&amp;$O58&amp;")*"&amp;Z42&amp;",0.0),"&amp;$O58&amp;")"</f>
        <v>C10Apr20182250=Pay(Max(EURUSD(10Apr2018)-GBPUSD(10Apr2018)*2.25,0.0),10Apr2018)</v>
      </c>
      <c r="AU58">
        <v>8.3845886101853409E-2</v>
      </c>
      <c r="AV58">
        <v>8.1464648377107374E-2</v>
      </c>
      <c r="AW58">
        <v>8.0500501012611358E-2</v>
      </c>
      <c r="AX58">
        <v>7.9976904345437194E-2</v>
      </c>
      <c r="AY58">
        <v>8.0290620282676389E-2</v>
      </c>
      <c r="AZ58">
        <v>8.148545467090601E-2</v>
      </c>
      <c r="BA58">
        <v>8.4081275286777959E-2</v>
      </c>
      <c r="BB58">
        <v>8.7165233284080934E-2</v>
      </c>
      <c r="BC58">
        <v>9.2607237204742246E-2</v>
      </c>
      <c r="BD58">
        <v>9.7843329407651211E-2</v>
      </c>
      <c r="BE58">
        <v>0.10643437673431044</v>
      </c>
      <c r="BG58">
        <v>8.2329531403644504E-2</v>
      </c>
      <c r="BH58">
        <v>7.9872731413794848E-2</v>
      </c>
      <c r="BI58">
        <v>7.8892865372267529E-2</v>
      </c>
      <c r="BJ58">
        <v>7.8352478208071022E-2</v>
      </c>
      <c r="BK58">
        <v>7.8655010338857495E-2</v>
      </c>
      <c r="BL58">
        <v>7.9854284042274098E-2</v>
      </c>
      <c r="BM58">
        <v>8.2467914572864065E-2</v>
      </c>
      <c r="BN58">
        <v>8.5592330497596097E-2</v>
      </c>
      <c r="BO58">
        <v>9.1120566791174307E-2</v>
      </c>
      <c r="BP58">
        <v>9.6434089533935147E-2</v>
      </c>
      <c r="BQ58">
        <v>0.10511454227049194</v>
      </c>
      <c r="BV58">
        <v>8.309171760334276E-2</v>
      </c>
      <c r="BW58">
        <v>8.0674769322975376E-2</v>
      </c>
      <c r="BX58">
        <v>7.9700783214255E-2</v>
      </c>
      <c r="BY58">
        <v>7.9168957455323319E-2</v>
      </c>
      <c r="BZ58">
        <v>7.9477956371597033E-2</v>
      </c>
      <c r="CA58">
        <v>8.0674810523918172E-2</v>
      </c>
      <c r="CB58">
        <v>8.3279571423893944E-2</v>
      </c>
      <c r="CC58">
        <v>8.6383058723933689E-2</v>
      </c>
      <c r="CD58">
        <v>9.1867570928932329E-2</v>
      </c>
      <c r="CE58">
        <v>9.7140642501308411E-2</v>
      </c>
      <c r="CF58">
        <v>0.10577708176460859</v>
      </c>
    </row>
    <row r="59" spans="2:84">
      <c r="B59" s="7" t="s">
        <v>10</v>
      </c>
      <c r="C59" s="26"/>
      <c r="D59" s="27" t="s">
        <v>209</v>
      </c>
      <c r="M59" s="71" t="str">
        <f>M51</f>
        <v>9m</v>
      </c>
      <c r="N59" s="59">
        <f>_xll.qlCalendarAdvance("NullCalendar",$D$2,M59)</f>
        <v>43291</v>
      </c>
      <c r="O59" s="60" t="str">
        <f>TEXT(N59,"[$-900]TTMMMJJJ")</f>
        <v>10Jul2018</v>
      </c>
      <c r="P59" s="67" t="str">
        <f>"C"&amp;P51&amp;"=Pay(Max(EURUSD("&amp;$O59&amp;")-GBPUSD("&amp;$O59&amp;")*"&amp;P43&amp;",0.0),"&amp;$O59&amp;")"</f>
        <v>C10Jul2018-0250=Pay(Max(EURUSD(10Jul2018)-GBPUSD(10Jul2018)*-0.25,0.0),10Jul2018)</v>
      </c>
      <c r="Q59" s="48" t="str">
        <f>"C"&amp;Q51&amp;"=Pay(Max(EURUSD("&amp;$O59&amp;")-GBPUSD("&amp;$O59&amp;")*"&amp;Q43&amp;",0.0),"&amp;$O59&amp;")"</f>
        <v>C10Jul20180000=Pay(Max(EURUSD(10Jul2018)-GBPUSD(10Jul2018)*0,0.0),10Jul2018)</v>
      </c>
      <c r="R59" s="48" t="str">
        <f>"C"&amp;R51&amp;"=Pay(Max(EURUSD("&amp;$O59&amp;")-GBPUSD("&amp;$O59&amp;")*"&amp;R43&amp;",0.0),"&amp;$O59&amp;")"</f>
        <v>C10Jul20180250=Pay(Max(EURUSD(10Jul2018)-GBPUSD(10Jul2018)*0.25,0.0),10Jul2018)</v>
      </c>
      <c r="S59" s="48" t="str">
        <f>"C"&amp;S51&amp;"=Pay(Max(EURUSD("&amp;$O59&amp;")-GBPUSD("&amp;$O59&amp;")*"&amp;S43&amp;",0.0),"&amp;$O59&amp;")"</f>
        <v>C10Jul20180500=Pay(Max(EURUSD(10Jul2018)-GBPUSD(10Jul2018)*0.5,0.0),10Jul2018)</v>
      </c>
      <c r="T59" s="48" t="str">
        <f>"C"&amp;T51&amp;"=Pay(Max(EURUSD("&amp;$O59&amp;")-GBPUSD("&amp;$O59&amp;")*"&amp;T43&amp;",0.0),"&amp;$O59&amp;")"</f>
        <v>C10Jul20180750=Pay(Max(EURUSD(10Jul2018)-GBPUSD(10Jul2018)*0.75,0.0),10Jul2018)</v>
      </c>
      <c r="U59" s="48" t="str">
        <f>"C"&amp;U51&amp;"=Pay(Max(EURUSD("&amp;$O59&amp;")-GBPUSD("&amp;$O59&amp;")*"&amp;U43&amp;",0.0),"&amp;$O59&amp;")"</f>
        <v>C10Jul20181000=Pay(Max(EURUSD(10Jul2018)-GBPUSD(10Jul2018)*1,0.0),10Jul2018)</v>
      </c>
      <c r="V59" s="48" t="str">
        <f>"C"&amp;V51&amp;"=Pay(Max(EURUSD("&amp;$O59&amp;")-GBPUSD("&amp;$O59&amp;")*"&amp;V43&amp;",0.0),"&amp;$O59&amp;")"</f>
        <v>C10Jul20181250=Pay(Max(EURUSD(10Jul2018)-GBPUSD(10Jul2018)*1.25,0.0),10Jul2018)</v>
      </c>
      <c r="W59" s="48" t="str">
        <f>"C"&amp;W51&amp;"=Pay(Max(EURUSD("&amp;$O59&amp;")-GBPUSD("&amp;$O59&amp;")*"&amp;W43&amp;",0.0),"&amp;$O59&amp;")"</f>
        <v>C10Jul20181500=Pay(Max(EURUSD(10Jul2018)-GBPUSD(10Jul2018)*1.5,0.0),10Jul2018)</v>
      </c>
      <c r="X59" s="48" t="str">
        <f>"C"&amp;X51&amp;"=Pay(Max(EURUSD("&amp;$O59&amp;")-GBPUSD("&amp;$O59&amp;")*"&amp;X43&amp;",0.0),"&amp;$O59&amp;")"</f>
        <v>C10Jul20181750=Pay(Max(EURUSD(10Jul2018)-GBPUSD(10Jul2018)*1.75,0.0),10Jul2018)</v>
      </c>
      <c r="Y59" s="48" t="str">
        <f>"C"&amp;Y51&amp;"=Pay(Max(EURUSD("&amp;$O59&amp;")-GBPUSD("&amp;$O59&amp;")*"&amp;Y43&amp;",0.0),"&amp;$O59&amp;")"</f>
        <v>C10Jul20182000=Pay(Max(EURUSD(10Jul2018)-GBPUSD(10Jul2018)*2,0.0),10Jul2018)</v>
      </c>
      <c r="Z59" s="48" t="str">
        <f>"C"&amp;Z51&amp;"=Pay(Max(EURUSD("&amp;$O59&amp;")-GBPUSD("&amp;$O59&amp;")*"&amp;Z43&amp;",0.0),"&amp;$O59&amp;")"</f>
        <v>C10Jul20182250=Pay(Max(EURUSD(10Jul2018)-GBPUSD(10Jul2018)*2.25,0.0),10Jul2018)</v>
      </c>
      <c r="AR59" t="s">
        <v>89</v>
      </c>
      <c r="AU59" t="s">
        <v>31</v>
      </c>
      <c r="BG59" t="s">
        <v>31</v>
      </c>
      <c r="BS59" t="s">
        <v>89</v>
      </c>
      <c r="BV59" t="s">
        <v>31</v>
      </c>
    </row>
    <row r="60" spans="2:84">
      <c r="B60" s="7" t="s">
        <v>11</v>
      </c>
      <c r="C60" s="26"/>
      <c r="D60" s="9" t="str">
        <f>_xll.qlSchedule(,D2,D58,D59)</f>
        <v>obj_00025#0002</v>
      </c>
      <c r="M60" s="72" t="str">
        <f>M52</f>
        <v>1y</v>
      </c>
      <c r="N60" s="61">
        <f>_xll.qlCalendarAdvance("NullCalendar",$D$2,M60)</f>
        <v>43383</v>
      </c>
      <c r="O60" s="62" t="str">
        <f>TEXT(N60,"[$-900]TTMMMJJJ")</f>
        <v>10Okt2018</v>
      </c>
      <c r="P60" s="68" t="str">
        <f>"C"&amp;P52&amp;"=Pay(Max(EURUSD("&amp;$O60&amp;")-GBPUSD("&amp;$O60&amp;")*"&amp;P44&amp;",0.0),"&amp;$O60&amp;")"</f>
        <v>C10Okt2018-0250=Pay(Max(EURUSD(10Okt2018)-GBPUSD(10Okt2018)*-0.25,0.0),10Okt2018)</v>
      </c>
      <c r="Q60" s="69" t="str">
        <f>"C"&amp;Q52&amp;"=Pay(Max(EURUSD("&amp;$O60&amp;")-GBPUSD("&amp;$O60&amp;")*"&amp;Q44&amp;",0.0),"&amp;$O60&amp;")"</f>
        <v>C10Okt20180000=Pay(Max(EURUSD(10Okt2018)-GBPUSD(10Okt2018)*0,0.0),10Okt2018)</v>
      </c>
      <c r="R60" s="69" t="str">
        <f>"C"&amp;R52&amp;"=Pay(Max(EURUSD("&amp;$O60&amp;")-GBPUSD("&amp;$O60&amp;")*"&amp;R44&amp;",0.0),"&amp;$O60&amp;")"</f>
        <v>C10Okt20180250=Pay(Max(EURUSD(10Okt2018)-GBPUSD(10Okt2018)*0.25,0.0),10Okt2018)</v>
      </c>
      <c r="S60" s="69" t="str">
        <f>"C"&amp;S52&amp;"=Pay(Max(EURUSD("&amp;$O60&amp;")-GBPUSD("&amp;$O60&amp;")*"&amp;S44&amp;",0.0),"&amp;$O60&amp;")"</f>
        <v>C10Okt20180500=Pay(Max(EURUSD(10Okt2018)-GBPUSD(10Okt2018)*0.5,0.0),10Okt2018)</v>
      </c>
      <c r="T60" s="69" t="str">
        <f>"C"&amp;T52&amp;"=Pay(Max(EURUSD("&amp;$O60&amp;")-GBPUSD("&amp;$O60&amp;")*"&amp;T44&amp;",0.0),"&amp;$O60&amp;")"</f>
        <v>C10Okt20180750=Pay(Max(EURUSD(10Okt2018)-GBPUSD(10Okt2018)*0.75,0.0),10Okt2018)</v>
      </c>
      <c r="U60" s="48" t="str">
        <f>"C"&amp;U52&amp;"=Pay(Max(EURUSD("&amp;$O60&amp;")-GBPUSD("&amp;$O60&amp;")*"&amp;U44&amp;",0.0),"&amp;$O60&amp;")"</f>
        <v>C10Okt20181000=Pay(Max(EURUSD(10Okt2018)-GBPUSD(10Okt2018)*1,0.0),10Okt2018)</v>
      </c>
      <c r="V60" s="69" t="str">
        <f>"C"&amp;V52&amp;"=Pay(Max(EURUSD("&amp;$O60&amp;")-GBPUSD("&amp;$O60&amp;")*"&amp;V44&amp;",0.0),"&amp;$O60&amp;")"</f>
        <v>C10Okt20181250=Pay(Max(EURUSD(10Okt2018)-GBPUSD(10Okt2018)*1.25,0.0),10Okt2018)</v>
      </c>
      <c r="W60" s="69" t="str">
        <f>"C"&amp;W52&amp;"=Pay(Max(EURUSD("&amp;$O60&amp;")-GBPUSD("&amp;$O60&amp;")*"&amp;W44&amp;",0.0),"&amp;$O60&amp;")"</f>
        <v>C10Okt20181500=Pay(Max(EURUSD(10Okt2018)-GBPUSD(10Okt2018)*1.5,0.0),10Okt2018)</v>
      </c>
      <c r="X60" s="69" t="str">
        <f>"C"&amp;X52&amp;"=Pay(Max(EURUSD("&amp;$O60&amp;")-GBPUSD("&amp;$O60&amp;")*"&amp;X44&amp;",0.0),"&amp;$O60&amp;")"</f>
        <v>C10Okt20181750=Pay(Max(EURUSD(10Okt2018)-GBPUSD(10Okt2018)*1.75,0.0),10Okt2018)</v>
      </c>
      <c r="Y60" s="69" t="str">
        <f>"C"&amp;Y52&amp;"=Pay(Max(EURUSD("&amp;$O60&amp;")-GBPUSD("&amp;$O60&amp;")*"&amp;Y44&amp;",0.0),"&amp;$O60&amp;")"</f>
        <v>C10Okt20182000=Pay(Max(EURUSD(10Okt2018)-GBPUSD(10Okt2018)*2,0.0),10Okt2018)</v>
      </c>
      <c r="Z60" s="69" t="str">
        <f>"C"&amp;Z52&amp;"=Pay(Max(EURUSD("&amp;$O60&amp;")-GBPUSD("&amp;$O60&amp;")*"&amp;Z44&amp;",0.0),"&amp;$O60&amp;")"</f>
        <v>C10Okt20182250=Pay(Max(EURUSD(10Okt2018)-GBPUSD(10Okt2018)*2.25,0.0),10Okt2018)</v>
      </c>
      <c r="AR60" t="s">
        <v>25</v>
      </c>
      <c r="AS60" t="s">
        <v>30</v>
      </c>
      <c r="AT60" t="s">
        <v>4</v>
      </c>
      <c r="AU60">
        <v>0.87151206299808792</v>
      </c>
      <c r="AV60">
        <v>0.90216284644338041</v>
      </c>
      <c r="AW60">
        <v>0.92234769785879311</v>
      </c>
      <c r="AX60">
        <v>0.95081286797024822</v>
      </c>
      <c r="AY60">
        <v>0.97294871335629129</v>
      </c>
      <c r="AZ60">
        <v>1</v>
      </c>
      <c r="BA60">
        <v>1.0371120792715558</v>
      </c>
      <c r="BB60">
        <v>1.0668476834085139</v>
      </c>
      <c r="BC60">
        <v>1.1095919855494891</v>
      </c>
      <c r="BD60">
        <v>1.1457807621080653</v>
      </c>
      <c r="BE60">
        <v>1.203642429536993</v>
      </c>
      <c r="BG60">
        <v>0.87151206299808792</v>
      </c>
      <c r="BH60">
        <v>0.90216284644338041</v>
      </c>
      <c r="BI60">
        <v>0.92234769785879311</v>
      </c>
      <c r="BJ60">
        <v>0.95081286797024822</v>
      </c>
      <c r="BK60">
        <v>0.97294871335629129</v>
      </c>
      <c r="BL60">
        <v>1</v>
      </c>
      <c r="BM60">
        <v>1.0371120792715558</v>
      </c>
      <c r="BN60">
        <v>1.0668476834085139</v>
      </c>
      <c r="BO60">
        <v>1.1095919855494891</v>
      </c>
      <c r="BP60">
        <v>1.1457807621080653</v>
      </c>
      <c r="BQ60">
        <v>1.203642429536993</v>
      </c>
      <c r="BS60" t="s">
        <v>25</v>
      </c>
      <c r="BT60" t="s">
        <v>30</v>
      </c>
      <c r="BU60" t="s">
        <v>4</v>
      </c>
      <c r="BV60">
        <v>0.87151206299808792</v>
      </c>
      <c r="BW60">
        <v>0.90216284644338041</v>
      </c>
      <c r="BX60">
        <v>0.92234769785879311</v>
      </c>
      <c r="BY60">
        <v>0.95081286797024822</v>
      </c>
      <c r="BZ60">
        <v>0.97294871335629129</v>
      </c>
      <c r="CA60">
        <v>1</v>
      </c>
      <c r="CB60">
        <v>1.0371120792715558</v>
      </c>
      <c r="CC60">
        <v>1.0668476834085139</v>
      </c>
      <c r="CD60">
        <v>1.1095919855494891</v>
      </c>
      <c r="CE60">
        <v>1.1457807621080653</v>
      </c>
      <c r="CF60">
        <v>1.203642429536993</v>
      </c>
    </row>
    <row r="61" spans="2:84" ht="14.4">
      <c r="B61" s="7" t="s">
        <v>12</v>
      </c>
      <c r="C61" s="26"/>
      <c r="D61" s="28">
        <v>80000</v>
      </c>
      <c r="E61" s="343" t="s">
        <v>218</v>
      </c>
      <c r="AR61" t="s">
        <v>22</v>
      </c>
      <c r="AS61">
        <v>43049</v>
      </c>
      <c r="AT61" t="s">
        <v>139</v>
      </c>
      <c r="AU61">
        <v>0.12014831118703813</v>
      </c>
      <c r="AV61">
        <v>0.10467813682602423</v>
      </c>
      <c r="AW61">
        <v>9.4894550880234824E-2</v>
      </c>
      <c r="AX61">
        <v>8.2427040735924356E-2</v>
      </c>
      <c r="AY61">
        <v>7.5424740493400491E-2</v>
      </c>
      <c r="AZ61">
        <v>7.4156369822287543E-2</v>
      </c>
      <c r="BA61">
        <v>8.5753826275349804E-2</v>
      </c>
      <c r="BB61">
        <v>9.8846783589963363E-2</v>
      </c>
      <c r="BC61">
        <v>0.11785321368180297</v>
      </c>
      <c r="BD61">
        <v>0.13314106727230593</v>
      </c>
      <c r="BE61">
        <v>0.15583370309115221</v>
      </c>
      <c r="BG61">
        <v>0.12014831118703813</v>
      </c>
      <c r="BH61">
        <v>0.10467813682602423</v>
      </c>
      <c r="BI61">
        <v>9.4894550880234824E-2</v>
      </c>
      <c r="BJ61">
        <v>8.2427040735924356E-2</v>
      </c>
      <c r="BK61">
        <v>7.5424740493400491E-2</v>
      </c>
      <c r="BL61">
        <v>7.4156369822287543E-2</v>
      </c>
      <c r="BM61">
        <v>8.5753826275349804E-2</v>
      </c>
      <c r="BN61">
        <v>9.8846783589963363E-2</v>
      </c>
      <c r="BO61">
        <v>0.11785321368180297</v>
      </c>
      <c r="BP61">
        <v>0.13314106727230593</v>
      </c>
      <c r="BQ61">
        <v>0.15583370309115221</v>
      </c>
      <c r="BS61" t="s">
        <v>22</v>
      </c>
      <c r="BT61">
        <v>43049</v>
      </c>
      <c r="BU61" t="s">
        <v>139</v>
      </c>
      <c r="BV61">
        <v>0.12014831118703813</v>
      </c>
      <c r="BW61">
        <v>0.10467813682602423</v>
      </c>
      <c r="BX61">
        <v>9.4894550880234824E-2</v>
      </c>
      <c r="BY61">
        <v>8.2427040735924356E-2</v>
      </c>
      <c r="BZ61">
        <v>7.5424740493400491E-2</v>
      </c>
      <c r="CA61">
        <v>7.4156369822287543E-2</v>
      </c>
      <c r="CB61">
        <v>8.5753826275349804E-2</v>
      </c>
      <c r="CC61">
        <v>9.8846783589963363E-2</v>
      </c>
      <c r="CD61">
        <v>0.11785321368180297</v>
      </c>
      <c r="CE61">
        <v>0.13314106727230593</v>
      </c>
      <c r="CF61">
        <v>0.15583370309115221</v>
      </c>
    </row>
    <row r="62" spans="2:84">
      <c r="B62" s="7" t="s">
        <v>13</v>
      </c>
      <c r="C62" s="26"/>
      <c r="D62" s="28">
        <v>1</v>
      </c>
      <c r="M62" s="1" t="s">
        <v>36</v>
      </c>
      <c r="N62" s="2"/>
      <c r="O62" s="47"/>
      <c r="P62" s="4" t="s">
        <v>31</v>
      </c>
      <c r="Q62" s="19"/>
      <c r="R62" s="19"/>
      <c r="S62" s="19"/>
      <c r="T62" s="19"/>
      <c r="U62" s="19"/>
      <c r="V62" s="19"/>
      <c r="W62" s="19"/>
      <c r="X62" s="19"/>
      <c r="Y62" s="19"/>
      <c r="Z62" s="19"/>
      <c r="AR62" t="s">
        <v>29</v>
      </c>
      <c r="AS62">
        <v>43110</v>
      </c>
      <c r="AT62" t="s">
        <v>140</v>
      </c>
      <c r="AU62">
        <v>9.9726170530589853E-2</v>
      </c>
      <c r="AV62">
        <v>8.9570648998134175E-2</v>
      </c>
      <c r="AW62">
        <v>8.3578509629105305E-2</v>
      </c>
      <c r="AX62">
        <v>7.6926803462306098E-2</v>
      </c>
      <c r="AY62">
        <v>7.4288313657385044E-2</v>
      </c>
      <c r="AZ62">
        <v>7.5357265045069913E-2</v>
      </c>
      <c r="BA62">
        <v>8.318219377181485E-2</v>
      </c>
      <c r="BB62">
        <v>9.1805968209634201E-2</v>
      </c>
      <c r="BC62">
        <v>0.10489570530783726</v>
      </c>
      <c r="BD62">
        <v>0.11574785836003487</v>
      </c>
      <c r="BE62">
        <v>0.13215198044251009</v>
      </c>
      <c r="BG62">
        <v>9.9726170530589853E-2</v>
      </c>
      <c r="BH62">
        <v>8.9570648998134175E-2</v>
      </c>
      <c r="BI62">
        <v>8.3578509629105305E-2</v>
      </c>
      <c r="BJ62">
        <v>7.6926803462306098E-2</v>
      </c>
      <c r="BK62">
        <v>7.4288313657385044E-2</v>
      </c>
      <c r="BL62">
        <v>7.5357265045069913E-2</v>
      </c>
      <c r="BM62">
        <v>8.318219377181485E-2</v>
      </c>
      <c r="BN62">
        <v>9.1805968209634201E-2</v>
      </c>
      <c r="BO62">
        <v>0.10489570530783726</v>
      </c>
      <c r="BP62">
        <v>0.11574785836003487</v>
      </c>
      <c r="BQ62">
        <v>0.13215198044251009</v>
      </c>
      <c r="BS62" t="s">
        <v>29</v>
      </c>
      <c r="BT62">
        <v>43110</v>
      </c>
      <c r="BU62" t="s">
        <v>140</v>
      </c>
      <c r="BV62">
        <v>9.9726170530589853E-2</v>
      </c>
      <c r="BW62">
        <v>8.9570648998134175E-2</v>
      </c>
      <c r="BX62">
        <v>8.3578509629105305E-2</v>
      </c>
      <c r="BY62">
        <v>7.6926803462306098E-2</v>
      </c>
      <c r="BZ62">
        <v>7.4288313657385044E-2</v>
      </c>
      <c r="CA62">
        <v>7.5357265045069913E-2</v>
      </c>
      <c r="CB62">
        <v>8.318219377181485E-2</v>
      </c>
      <c r="CC62">
        <v>9.1805968209634201E-2</v>
      </c>
      <c r="CD62">
        <v>0.10489570530783726</v>
      </c>
      <c r="CE62">
        <v>0.11574785836003487</v>
      </c>
      <c r="CF62">
        <v>0.13215198044251009</v>
      </c>
    </row>
    <row r="63" spans="2:84">
      <c r="B63" s="7" t="s">
        <v>14</v>
      </c>
      <c r="C63" s="26"/>
      <c r="D63" s="27" t="b">
        <v>1</v>
      </c>
      <c r="M63" s="49" t="s">
        <v>25</v>
      </c>
      <c r="N63" s="50" t="s">
        <v>30</v>
      </c>
      <c r="O63" s="50" t="s">
        <v>4</v>
      </c>
      <c r="P63" s="72" t="str">
        <f>P55</f>
        <v>5D Put EUR</v>
      </c>
      <c r="Q63" s="73" t="str">
        <f>Q55</f>
        <v>10D Put EUR</v>
      </c>
      <c r="R63" s="73" t="str">
        <f>R55</f>
        <v>15D Put EUR</v>
      </c>
      <c r="S63" s="73" t="str">
        <f>S55</f>
        <v>25D Put EUR</v>
      </c>
      <c r="T63" s="73" t="str">
        <f>T55</f>
        <v>35D Put EUR</v>
      </c>
      <c r="U63" s="73" t="str">
        <f>U55</f>
        <v>ATM</v>
      </c>
      <c r="V63" s="73" t="str">
        <f>V55</f>
        <v>35D Call EUR</v>
      </c>
      <c r="W63" s="73" t="str">
        <f>W55</f>
        <v>25D Call EUR</v>
      </c>
      <c r="X63" s="73" t="str">
        <f>X55</f>
        <v>15D Call EUR</v>
      </c>
      <c r="Y63" s="73" t="str">
        <f>Y55</f>
        <v>10D Call EUR</v>
      </c>
      <c r="Z63" s="73" t="str">
        <f>Z55</f>
        <v>5D Call EUR</v>
      </c>
      <c r="AR63" t="s">
        <v>32</v>
      </c>
      <c r="AS63">
        <v>43200</v>
      </c>
      <c r="AT63" t="s">
        <v>141</v>
      </c>
      <c r="AU63">
        <v>9.1214074176713122E-2</v>
      </c>
      <c r="AV63">
        <v>8.478606153108767E-2</v>
      </c>
      <c r="AW63">
        <v>8.136729955829447E-2</v>
      </c>
      <c r="AX63">
        <v>7.818733460989602E-2</v>
      </c>
      <c r="AY63">
        <v>7.7445790619656743E-2</v>
      </c>
      <c r="AZ63">
        <v>7.8787763519219081E-2</v>
      </c>
      <c r="BA63">
        <v>8.3830426350083795E-2</v>
      </c>
      <c r="BB63">
        <v>8.9383978552930857E-2</v>
      </c>
      <c r="BC63">
        <v>9.8230726572849619E-2</v>
      </c>
      <c r="BD63">
        <v>0.10586121782124538</v>
      </c>
      <c r="BE63">
        <v>0.11772403335817493</v>
      </c>
      <c r="BG63">
        <v>9.1214074176713122E-2</v>
      </c>
      <c r="BH63">
        <v>8.478606153108767E-2</v>
      </c>
      <c r="BI63">
        <v>8.136729955829447E-2</v>
      </c>
      <c r="BJ63">
        <v>7.818733460989602E-2</v>
      </c>
      <c r="BK63">
        <v>7.7445790619656743E-2</v>
      </c>
      <c r="BL63">
        <v>7.8787763519219081E-2</v>
      </c>
      <c r="BM63">
        <v>8.3830426350083795E-2</v>
      </c>
      <c r="BN63">
        <v>8.9383978552930857E-2</v>
      </c>
      <c r="BO63">
        <v>9.8230726572849619E-2</v>
      </c>
      <c r="BP63">
        <v>0.10586121782124538</v>
      </c>
      <c r="BQ63">
        <v>0.11772403335817493</v>
      </c>
      <c r="BS63" t="s">
        <v>32</v>
      </c>
      <c r="BT63">
        <v>43200</v>
      </c>
      <c r="BU63" t="s">
        <v>141</v>
      </c>
      <c r="BV63">
        <v>9.1214074176713122E-2</v>
      </c>
      <c r="BW63">
        <v>8.478606153108767E-2</v>
      </c>
      <c r="BX63">
        <v>8.136729955829447E-2</v>
      </c>
      <c r="BY63">
        <v>7.818733460989602E-2</v>
      </c>
      <c r="BZ63">
        <v>7.7445790619656743E-2</v>
      </c>
      <c r="CA63">
        <v>7.8787763519219081E-2</v>
      </c>
      <c r="CB63">
        <v>8.3830426350083795E-2</v>
      </c>
      <c r="CC63">
        <v>8.9383978552930857E-2</v>
      </c>
      <c r="CD63">
        <v>9.8230726572849619E-2</v>
      </c>
      <c r="CE63">
        <v>0.10586121782124538</v>
      </c>
      <c r="CF63">
        <v>0.11772403335817493</v>
      </c>
    </row>
    <row r="64" spans="2:84">
      <c r="B64" s="7" t="s">
        <v>15</v>
      </c>
      <c r="C64" s="26"/>
      <c r="D64" s="27" t="b">
        <v>1</v>
      </c>
      <c r="M64" s="70" t="str">
        <f>M56</f>
        <v>1m</v>
      </c>
      <c r="N64" s="57">
        <f>_xll.qlCalendarAdvance("NullCalendar",$D$2,M64)</f>
        <v>43049</v>
      </c>
      <c r="O64" s="58" t="str">
        <f>TEXT(N64,"[$-900]TTMMMJJJ")</f>
        <v>10Nov2017</v>
      </c>
      <c r="P64" s="65" t="str">
        <f>"P"&amp;P48&amp;"=Pay(Max("&amp;P40&amp;"*GBPUSD("&amp;$O64&amp;")-EURUSD("&amp;$O64&amp;"),0),"&amp;$O64&amp;")"</f>
        <v>P10Nov2017-0250=Pay(Max(-0.25*GBPUSD(10Nov2017)-EURUSD(10Nov2017),0),10Nov2017)</v>
      </c>
      <c r="Q64" s="66" t="str">
        <f>"P"&amp;Q48&amp;"=Pay(Max("&amp;Q40&amp;"*GBPUSD("&amp;$O64&amp;")-EURUSD("&amp;$O64&amp;"),0),"&amp;$O64&amp;")"</f>
        <v>P10Nov20170000=Pay(Max(0*GBPUSD(10Nov2017)-EURUSD(10Nov2017),0),10Nov2017)</v>
      </c>
      <c r="R64" s="66" t="str">
        <f>"P"&amp;R48&amp;"=Pay(Max("&amp;R40&amp;"*GBPUSD("&amp;$O64&amp;")-EURUSD("&amp;$O64&amp;"),0),"&amp;$O64&amp;")"</f>
        <v>P10Nov20170250=Pay(Max(0.25*GBPUSD(10Nov2017)-EURUSD(10Nov2017),0),10Nov2017)</v>
      </c>
      <c r="S64" s="66" t="str">
        <f>"P"&amp;S48&amp;"=Pay(Max("&amp;S40&amp;"*GBPUSD("&amp;$O64&amp;")-EURUSD("&amp;$O64&amp;"),0),"&amp;$O64&amp;")"</f>
        <v>P10Nov20170500=Pay(Max(0.5*GBPUSD(10Nov2017)-EURUSD(10Nov2017),0),10Nov2017)</v>
      </c>
      <c r="T64" s="66" t="str">
        <f>"P"&amp;T48&amp;"=Pay(Max("&amp;T40&amp;"*GBPUSD("&amp;$O64&amp;")-EURUSD("&amp;$O64&amp;"),0),"&amp;$O64&amp;")"</f>
        <v>P10Nov20170750=Pay(Max(0.75*GBPUSD(10Nov2017)-EURUSD(10Nov2017),0),10Nov2017)</v>
      </c>
      <c r="U64" s="66" t="str">
        <f>"P"&amp;U48&amp;"=Pay(Max("&amp;U40&amp;"*GBPUSD("&amp;$O64&amp;")-EURUSD("&amp;$O64&amp;"),0),"&amp;$O64&amp;")"</f>
        <v>P10Nov20171000=Pay(Max(1*GBPUSD(10Nov2017)-EURUSD(10Nov2017),0),10Nov2017)</v>
      </c>
      <c r="V64" s="66" t="str">
        <f>"P"&amp;V48&amp;"=Pay(Max("&amp;V40&amp;"*GBPUSD("&amp;$O64&amp;")-EURUSD("&amp;$O64&amp;"),0),"&amp;$O64&amp;")"</f>
        <v>P10Nov20171250=Pay(Max(1.25*GBPUSD(10Nov2017)-EURUSD(10Nov2017),0),10Nov2017)</v>
      </c>
      <c r="W64" s="66" t="str">
        <f>"P"&amp;W48&amp;"=Pay(Max("&amp;W40&amp;"*GBPUSD("&amp;$O64&amp;")-EURUSD("&amp;$O64&amp;"),0),"&amp;$O64&amp;")"</f>
        <v>P10Nov20171500=Pay(Max(1.5*GBPUSD(10Nov2017)-EURUSD(10Nov2017),0),10Nov2017)</v>
      </c>
      <c r="X64" s="66" t="str">
        <f>"P"&amp;X48&amp;"=Pay(Max("&amp;X40&amp;"*GBPUSD("&amp;$O64&amp;")-EURUSD("&amp;$O64&amp;"),0),"&amp;$O64&amp;")"</f>
        <v>P10Nov20171750=Pay(Max(1.75*GBPUSD(10Nov2017)-EURUSD(10Nov2017),0),10Nov2017)</v>
      </c>
      <c r="Y64" s="66" t="str">
        <f>"P"&amp;Y48&amp;"=Pay(Max("&amp;Y40&amp;"*GBPUSD("&amp;$O64&amp;")-EURUSD("&amp;$O64&amp;"),0),"&amp;$O64&amp;")"</f>
        <v>P10Nov20172000=Pay(Max(2*GBPUSD(10Nov2017)-EURUSD(10Nov2017),0),10Nov2017)</v>
      </c>
      <c r="Z64" s="66" t="str">
        <f>"P"&amp;Z48&amp;"=Pay(Max("&amp;Z40&amp;"*GBPUSD("&amp;$O64&amp;")-EURUSD("&amp;$O64&amp;"),0),"&amp;$O64&amp;")"</f>
        <v>P10Nov20172250=Pay(Max(2.25*GBPUSD(10Nov2017)-EURUSD(10Nov2017),0),10Nov2017)</v>
      </c>
      <c r="AR64" t="s">
        <v>33</v>
      </c>
      <c r="AS64">
        <v>43291</v>
      </c>
      <c r="AT64" t="s">
        <v>142</v>
      </c>
      <c r="AU64">
        <v>8.7075540272110979E-2</v>
      </c>
      <c r="AV64">
        <v>8.2488562854483555E-2</v>
      </c>
      <c r="AW64">
        <v>8.0278223008537625E-2</v>
      </c>
      <c r="AX64">
        <v>7.8594474077963397E-2</v>
      </c>
      <c r="AY64">
        <v>7.8613655663538257E-2</v>
      </c>
      <c r="AZ64">
        <v>8.0185112419934396E-2</v>
      </c>
      <c r="BA64">
        <v>8.4483015435269246E-2</v>
      </c>
      <c r="BB64">
        <v>8.9004556059777459E-2</v>
      </c>
      <c r="BC64">
        <v>9.6228176716790806E-2</v>
      </c>
      <c r="BD64">
        <v>0.10253239532666766</v>
      </c>
      <c r="BE64">
        <v>0.11245430417822415</v>
      </c>
      <c r="BG64">
        <v>8.7075540272110979E-2</v>
      </c>
      <c r="BH64">
        <v>8.2488562854483555E-2</v>
      </c>
      <c r="BI64">
        <v>8.0278223008537625E-2</v>
      </c>
      <c r="BJ64">
        <v>7.8594474077963397E-2</v>
      </c>
      <c r="BK64">
        <v>7.8613655663538257E-2</v>
      </c>
      <c r="BL64">
        <v>8.0185112419934396E-2</v>
      </c>
      <c r="BM64">
        <v>8.4483015435269246E-2</v>
      </c>
      <c r="BN64">
        <v>8.9004556059777459E-2</v>
      </c>
      <c r="BO64">
        <v>9.6228176716790806E-2</v>
      </c>
      <c r="BP64">
        <v>0.10253239532666766</v>
      </c>
      <c r="BQ64">
        <v>0.11245430417822415</v>
      </c>
      <c r="BS64" t="s">
        <v>33</v>
      </c>
      <c r="BT64">
        <v>43291</v>
      </c>
      <c r="BU64" t="s">
        <v>142</v>
      </c>
      <c r="BV64">
        <v>8.7075540272110979E-2</v>
      </c>
      <c r="BW64">
        <v>8.2488562854483555E-2</v>
      </c>
      <c r="BX64">
        <v>8.0278223008537625E-2</v>
      </c>
      <c r="BY64">
        <v>7.8594474077963397E-2</v>
      </c>
      <c r="BZ64">
        <v>7.8613655663538257E-2</v>
      </c>
      <c r="CA64">
        <v>8.0185112419934396E-2</v>
      </c>
      <c r="CB64">
        <v>8.4483015435269246E-2</v>
      </c>
      <c r="CC64">
        <v>8.9004556059777459E-2</v>
      </c>
      <c r="CD64">
        <v>9.6228176716790806E-2</v>
      </c>
      <c r="CE64">
        <v>0.10253239532666766</v>
      </c>
      <c r="CF64">
        <v>0.11245430417822415</v>
      </c>
    </row>
    <row r="65" spans="2:84">
      <c r="B65" s="7" t="s">
        <v>16</v>
      </c>
      <c r="C65" s="26"/>
      <c r="D65" s="27" t="b">
        <v>0</v>
      </c>
      <c r="M65" s="71" t="str">
        <f>M57</f>
        <v>3m</v>
      </c>
      <c r="N65" s="59">
        <f>_xll.qlCalendarAdvance("NullCalendar",$D$2,M65)</f>
        <v>43110</v>
      </c>
      <c r="O65" s="60" t="str">
        <f>TEXT(N65,"[$-900]TTMMMJJJ")</f>
        <v>10Jan2018</v>
      </c>
      <c r="P65" s="67" t="str">
        <f>"P"&amp;P49&amp;"=Pay(Max("&amp;P41&amp;"*GBPUSD("&amp;$O65&amp;")-EURUSD("&amp;$O65&amp;"),0),"&amp;$O65&amp;")"</f>
        <v>P10Jan2018-0250=Pay(Max(-0.25*GBPUSD(10Jan2018)-EURUSD(10Jan2018),0),10Jan2018)</v>
      </c>
      <c r="Q65" s="48" t="str">
        <f>"P"&amp;Q49&amp;"=Pay(Max("&amp;Q41&amp;"*GBPUSD("&amp;$O65&amp;")-EURUSD("&amp;$O65&amp;"),0),"&amp;$O65&amp;")"</f>
        <v>P10Jan20180000=Pay(Max(0*GBPUSD(10Jan2018)-EURUSD(10Jan2018),0),10Jan2018)</v>
      </c>
      <c r="R65" s="48" t="str">
        <f>"P"&amp;R49&amp;"=Pay(Max("&amp;R41&amp;"*GBPUSD("&amp;$O65&amp;")-EURUSD("&amp;$O65&amp;"),0),"&amp;$O65&amp;")"</f>
        <v>P10Jan20180250=Pay(Max(0.25*GBPUSD(10Jan2018)-EURUSD(10Jan2018),0),10Jan2018)</v>
      </c>
      <c r="S65" s="48" t="str">
        <f>"P"&amp;S49&amp;"=Pay(Max("&amp;S41&amp;"*GBPUSD("&amp;$O65&amp;")-EURUSD("&amp;$O65&amp;"),0),"&amp;$O65&amp;")"</f>
        <v>P10Jan20180500=Pay(Max(0.5*GBPUSD(10Jan2018)-EURUSD(10Jan2018),0),10Jan2018)</v>
      </c>
      <c r="T65" s="48" t="str">
        <f>"P"&amp;T49&amp;"=Pay(Max("&amp;T41&amp;"*GBPUSD("&amp;$O65&amp;")-EURUSD("&amp;$O65&amp;"),0),"&amp;$O65&amp;")"</f>
        <v>P10Jan20180750=Pay(Max(0.75*GBPUSD(10Jan2018)-EURUSD(10Jan2018),0),10Jan2018)</v>
      </c>
      <c r="U65" s="48" t="str">
        <f>"P"&amp;U49&amp;"=Pay(Max("&amp;U41&amp;"*GBPUSD("&amp;$O65&amp;")-EURUSD("&amp;$O65&amp;"),0),"&amp;$O65&amp;")"</f>
        <v>P10Jan20181000=Pay(Max(1*GBPUSD(10Jan2018)-EURUSD(10Jan2018),0),10Jan2018)</v>
      </c>
      <c r="V65" s="48" t="str">
        <f>"P"&amp;V49&amp;"=Pay(Max("&amp;V41&amp;"*GBPUSD("&amp;$O65&amp;")-EURUSD("&amp;$O65&amp;"),0),"&amp;$O65&amp;")"</f>
        <v>P10Jan20181250=Pay(Max(1.25*GBPUSD(10Jan2018)-EURUSD(10Jan2018),0),10Jan2018)</v>
      </c>
      <c r="W65" s="48" t="str">
        <f>"P"&amp;W49&amp;"=Pay(Max("&amp;W41&amp;"*GBPUSD("&amp;$O65&amp;")-EURUSD("&amp;$O65&amp;"),0),"&amp;$O65&amp;")"</f>
        <v>P10Jan20181500=Pay(Max(1.5*GBPUSD(10Jan2018)-EURUSD(10Jan2018),0),10Jan2018)</v>
      </c>
      <c r="X65" s="48" t="str">
        <f>"P"&amp;X49&amp;"=Pay(Max("&amp;X41&amp;"*GBPUSD("&amp;$O65&amp;")-EURUSD("&amp;$O65&amp;"),0),"&amp;$O65&amp;")"</f>
        <v>P10Jan20181750=Pay(Max(1.75*GBPUSD(10Jan2018)-EURUSD(10Jan2018),0),10Jan2018)</v>
      </c>
      <c r="Y65" s="48" t="str">
        <f>"P"&amp;Y49&amp;"=Pay(Max("&amp;Y41&amp;"*GBPUSD("&amp;$O65&amp;")-EURUSD("&amp;$O65&amp;"),0),"&amp;$O65&amp;")"</f>
        <v>P10Jan20182000=Pay(Max(2*GBPUSD(10Jan2018)-EURUSD(10Jan2018),0),10Jan2018)</v>
      </c>
      <c r="Z65" s="48" t="str">
        <f>"P"&amp;Z49&amp;"=Pay(Max("&amp;Z41&amp;"*GBPUSD("&amp;$O65&amp;")-EURUSD("&amp;$O65&amp;"),0),"&amp;$O65&amp;")"</f>
        <v>P10Jan20182250=Pay(Max(2.25*GBPUSD(10Jan2018)-EURUSD(10Jan2018),0),10Jan2018)</v>
      </c>
      <c r="AR65" t="s">
        <v>24</v>
      </c>
      <c r="AS65">
        <v>43383</v>
      </c>
      <c r="AT65" t="s">
        <v>143</v>
      </c>
      <c r="AU65">
        <v>8.6398845629215473E-2</v>
      </c>
      <c r="AV65">
        <v>8.2513093970639162E-2</v>
      </c>
      <c r="AW65">
        <v>8.0731351593378908E-2</v>
      </c>
      <c r="AX65">
        <v>7.9517968835849828E-2</v>
      </c>
      <c r="AY65">
        <v>7.972293805861036E-2</v>
      </c>
      <c r="AZ65">
        <v>8.1269363029002575E-2</v>
      </c>
      <c r="BA65">
        <v>8.5185865900929789E-2</v>
      </c>
      <c r="BB65">
        <v>8.9259868123753236E-2</v>
      </c>
      <c r="BC65">
        <v>9.5795165214716788E-2</v>
      </c>
      <c r="BD65">
        <v>0.10153871577940916</v>
      </c>
      <c r="BE65">
        <v>0.11064192371413242</v>
      </c>
      <c r="BG65">
        <v>8.6398845629215473E-2</v>
      </c>
      <c r="BH65">
        <v>8.2513093970639162E-2</v>
      </c>
      <c r="BI65">
        <v>8.0731351593378908E-2</v>
      </c>
      <c r="BJ65">
        <v>7.9517968835849828E-2</v>
      </c>
      <c r="BK65">
        <v>7.972293805861036E-2</v>
      </c>
      <c r="BL65">
        <v>8.1269363029002575E-2</v>
      </c>
      <c r="BM65">
        <v>8.5185865900929789E-2</v>
      </c>
      <c r="BN65">
        <v>8.9259868123753236E-2</v>
      </c>
      <c r="BO65">
        <v>9.5795165214716788E-2</v>
      </c>
      <c r="BP65">
        <v>0.10153871577940916</v>
      </c>
      <c r="BQ65">
        <v>0.11064192371413242</v>
      </c>
      <c r="BS65" t="s">
        <v>24</v>
      </c>
      <c r="BT65">
        <v>43383</v>
      </c>
      <c r="BU65" t="s">
        <v>143</v>
      </c>
      <c r="BV65">
        <v>8.6398845629215473E-2</v>
      </c>
      <c r="BW65">
        <v>8.2513093970639162E-2</v>
      </c>
      <c r="BX65">
        <v>8.0731351593378908E-2</v>
      </c>
      <c r="BY65">
        <v>7.9517968835849828E-2</v>
      </c>
      <c r="BZ65">
        <v>7.972293805861036E-2</v>
      </c>
      <c r="CA65">
        <v>8.1269363029002575E-2</v>
      </c>
      <c r="CB65">
        <v>8.5185865900929789E-2</v>
      </c>
      <c r="CC65">
        <v>8.9259868123753236E-2</v>
      </c>
      <c r="CD65">
        <v>9.5795165214716788E-2</v>
      </c>
      <c r="CE65">
        <v>0.10153871577940916</v>
      </c>
      <c r="CF65">
        <v>0.11064192371413242</v>
      </c>
    </row>
    <row r="66" spans="2:84">
      <c r="B66" s="10" t="s">
        <v>17</v>
      </c>
      <c r="C66" s="21"/>
      <c r="D66" s="213" t="e">
        <f>_xll.qlRealMCSimulation(,D56,B72:B255,B72:B255,D61,D62,D63,D64,D65)</f>
        <v>#VALUE!</v>
      </c>
      <c r="M66" s="71" t="str">
        <f>M58</f>
        <v>6m</v>
      </c>
      <c r="N66" s="59">
        <f>_xll.qlCalendarAdvance("NullCalendar",$D$2,M66)</f>
        <v>43200</v>
      </c>
      <c r="O66" s="60" t="str">
        <f>TEXT(N66,"[$-900]TTMMMJJJ")</f>
        <v>10Apr2018</v>
      </c>
      <c r="P66" s="67" t="str">
        <f>"P"&amp;P50&amp;"=Pay(Max("&amp;P42&amp;"*GBPUSD("&amp;$O66&amp;")-EURUSD("&amp;$O66&amp;"),0),"&amp;$O66&amp;")"</f>
        <v>P10Apr2018-0250=Pay(Max(-0.25*GBPUSD(10Apr2018)-EURUSD(10Apr2018),0),10Apr2018)</v>
      </c>
      <c r="Q66" s="48" t="str">
        <f>"P"&amp;Q50&amp;"=Pay(Max("&amp;Q42&amp;"*GBPUSD("&amp;$O66&amp;")-EURUSD("&amp;$O66&amp;"),0),"&amp;$O66&amp;")"</f>
        <v>P10Apr20180000=Pay(Max(0*GBPUSD(10Apr2018)-EURUSD(10Apr2018),0),10Apr2018)</v>
      </c>
      <c r="R66" s="48" t="str">
        <f>"P"&amp;R50&amp;"=Pay(Max("&amp;R42&amp;"*GBPUSD("&amp;$O66&amp;")-EURUSD("&amp;$O66&amp;"),0),"&amp;$O66&amp;")"</f>
        <v>P10Apr20180250=Pay(Max(0.25*GBPUSD(10Apr2018)-EURUSD(10Apr2018),0),10Apr2018)</v>
      </c>
      <c r="S66" s="48" t="str">
        <f>"P"&amp;S50&amp;"=Pay(Max("&amp;S42&amp;"*GBPUSD("&amp;$O66&amp;")-EURUSD("&amp;$O66&amp;"),0),"&amp;$O66&amp;")"</f>
        <v>P10Apr20180500=Pay(Max(0.5*GBPUSD(10Apr2018)-EURUSD(10Apr2018),0),10Apr2018)</v>
      </c>
      <c r="T66" s="48" t="str">
        <f>"P"&amp;T50&amp;"=Pay(Max("&amp;T42&amp;"*GBPUSD("&amp;$O66&amp;")-EURUSD("&amp;$O66&amp;"),0),"&amp;$O66&amp;")"</f>
        <v>P10Apr20180750=Pay(Max(0.75*GBPUSD(10Apr2018)-EURUSD(10Apr2018),0),10Apr2018)</v>
      </c>
      <c r="U66" s="48" t="str">
        <f>"P"&amp;U50&amp;"=Pay(Max("&amp;U42&amp;"*GBPUSD("&amp;$O66&amp;")-EURUSD("&amp;$O66&amp;"),0),"&amp;$O66&amp;")"</f>
        <v>P10Apr20181000=Pay(Max(1*GBPUSD(10Apr2018)-EURUSD(10Apr2018),0),10Apr2018)</v>
      </c>
      <c r="V66" s="48" t="str">
        <f>"P"&amp;V50&amp;"=Pay(Max("&amp;V42&amp;"*GBPUSD("&amp;$O66&amp;")-EURUSD("&amp;$O66&amp;"),0),"&amp;$O66&amp;")"</f>
        <v>P10Apr20181250=Pay(Max(1.25*GBPUSD(10Apr2018)-EURUSD(10Apr2018),0),10Apr2018)</v>
      </c>
      <c r="W66" s="48" t="str">
        <f>"P"&amp;W50&amp;"=Pay(Max("&amp;W42&amp;"*GBPUSD("&amp;$O66&amp;")-EURUSD("&amp;$O66&amp;"),0),"&amp;$O66&amp;")"</f>
        <v>P10Apr20181500=Pay(Max(1.5*GBPUSD(10Apr2018)-EURUSD(10Apr2018),0),10Apr2018)</v>
      </c>
      <c r="X66" s="48" t="str">
        <f>"P"&amp;X50&amp;"=Pay(Max("&amp;X42&amp;"*GBPUSD("&amp;$O66&amp;")-EURUSD("&amp;$O66&amp;"),0),"&amp;$O66&amp;")"</f>
        <v>P10Apr20181750=Pay(Max(1.75*GBPUSD(10Apr2018)-EURUSD(10Apr2018),0),10Apr2018)</v>
      </c>
      <c r="Y66" s="48" t="str">
        <f>"P"&amp;Y50&amp;"=Pay(Max("&amp;Y42&amp;"*GBPUSD("&amp;$O66&amp;")-EURUSD("&amp;$O66&amp;"),0),"&amp;$O66&amp;")"</f>
        <v>P10Apr20182000=Pay(Max(2*GBPUSD(10Apr2018)-EURUSD(10Apr2018),0),10Apr2018)</v>
      </c>
      <c r="Z66" s="48" t="str">
        <f>"P"&amp;Z50&amp;"=Pay(Max("&amp;Z42&amp;"*GBPUSD("&amp;$O66&amp;")-EURUSD("&amp;$O66&amp;"),0),"&amp;$O66&amp;")"</f>
        <v>P10Apr20182250=Pay(Max(2.25*GBPUSD(10Apr2018)-EURUSD(10Apr2018),0),10Apr2018)</v>
      </c>
    </row>
    <row r="67" spans="2:84">
      <c r="B67" s="13" t="s">
        <v>18</v>
      </c>
      <c r="C67" s="19"/>
      <c r="D67" s="226" t="e">
        <f>_xll.qlRealMCSimulationSimulate(D66)</f>
        <v>#VALUE!</v>
      </c>
      <c r="M67" s="71" t="str">
        <f>M59</f>
        <v>9m</v>
      </c>
      <c r="N67" s="59">
        <f>_xll.qlCalendarAdvance("NullCalendar",$D$2,M67)</f>
        <v>43291</v>
      </c>
      <c r="O67" s="60" t="str">
        <f>TEXT(N67,"[$-900]TTMMMJJJ")</f>
        <v>10Jul2018</v>
      </c>
      <c r="P67" s="67" t="str">
        <f>"P"&amp;P51&amp;"=Pay(Max("&amp;P43&amp;"*GBPUSD("&amp;$O67&amp;")-EURUSD("&amp;$O67&amp;"),0),"&amp;$O67&amp;")"</f>
        <v>P10Jul2018-0250=Pay(Max(-0.25*GBPUSD(10Jul2018)-EURUSD(10Jul2018),0),10Jul2018)</v>
      </c>
      <c r="Q67" s="48" t="str">
        <f>"P"&amp;Q51&amp;"=Pay(Max("&amp;Q43&amp;"*GBPUSD("&amp;$O67&amp;")-EURUSD("&amp;$O67&amp;"),0),"&amp;$O67&amp;")"</f>
        <v>P10Jul20180000=Pay(Max(0*GBPUSD(10Jul2018)-EURUSD(10Jul2018),0),10Jul2018)</v>
      </c>
      <c r="R67" s="48" t="str">
        <f>"P"&amp;R51&amp;"=Pay(Max("&amp;R43&amp;"*GBPUSD("&amp;$O67&amp;")-EURUSD("&amp;$O67&amp;"),0),"&amp;$O67&amp;")"</f>
        <v>P10Jul20180250=Pay(Max(0.25*GBPUSD(10Jul2018)-EURUSD(10Jul2018),0),10Jul2018)</v>
      </c>
      <c r="S67" s="48" t="str">
        <f>"P"&amp;S51&amp;"=Pay(Max("&amp;S43&amp;"*GBPUSD("&amp;$O67&amp;")-EURUSD("&amp;$O67&amp;"),0),"&amp;$O67&amp;")"</f>
        <v>P10Jul20180500=Pay(Max(0.5*GBPUSD(10Jul2018)-EURUSD(10Jul2018),0),10Jul2018)</v>
      </c>
      <c r="T67" s="48" t="str">
        <f>"P"&amp;T51&amp;"=Pay(Max("&amp;T43&amp;"*GBPUSD("&amp;$O67&amp;")-EURUSD("&amp;$O67&amp;"),0),"&amp;$O67&amp;")"</f>
        <v>P10Jul20180750=Pay(Max(0.75*GBPUSD(10Jul2018)-EURUSD(10Jul2018),0),10Jul2018)</v>
      </c>
      <c r="U67" s="48" t="str">
        <f>"P"&amp;U51&amp;"=Pay(Max("&amp;U43&amp;"*GBPUSD("&amp;$O67&amp;")-EURUSD("&amp;$O67&amp;"),0),"&amp;$O67&amp;")"</f>
        <v>P10Jul20181000=Pay(Max(1*GBPUSD(10Jul2018)-EURUSD(10Jul2018),0),10Jul2018)</v>
      </c>
      <c r="V67" s="48" t="str">
        <f>"P"&amp;V51&amp;"=Pay(Max("&amp;V43&amp;"*GBPUSD("&amp;$O67&amp;")-EURUSD("&amp;$O67&amp;"),0),"&amp;$O67&amp;")"</f>
        <v>P10Jul20181250=Pay(Max(1.25*GBPUSD(10Jul2018)-EURUSD(10Jul2018),0),10Jul2018)</v>
      </c>
      <c r="W67" s="48" t="str">
        <f>"P"&amp;W51&amp;"=Pay(Max("&amp;W43&amp;"*GBPUSD("&amp;$O67&amp;")-EURUSD("&amp;$O67&amp;"),0),"&amp;$O67&amp;")"</f>
        <v>P10Jul20181500=Pay(Max(1.5*GBPUSD(10Jul2018)-EURUSD(10Jul2018),0),10Jul2018)</v>
      </c>
      <c r="X67" s="48" t="str">
        <f>"P"&amp;X51&amp;"=Pay(Max("&amp;X43&amp;"*GBPUSD("&amp;$O67&amp;")-EURUSD("&amp;$O67&amp;"),0),"&amp;$O67&amp;")"</f>
        <v>P10Jul20181750=Pay(Max(1.75*GBPUSD(10Jul2018)-EURUSD(10Jul2018),0),10Jul2018)</v>
      </c>
      <c r="Y67" s="48" t="str">
        <f>"P"&amp;Y51&amp;"=Pay(Max("&amp;Y43&amp;"*GBPUSD("&amp;$O67&amp;")-EURUSD("&amp;$O67&amp;"),0),"&amp;$O67&amp;")"</f>
        <v>P10Jul20182000=Pay(Max(2*GBPUSD(10Jul2018)-EURUSD(10Jul2018),0),10Jul2018)</v>
      </c>
      <c r="Z67" s="48" t="str">
        <f>"P"&amp;Z51&amp;"=Pay(Max("&amp;Z43&amp;"*GBPUSD("&amp;$O67&amp;")-EURUSD("&amp;$O67&amp;"),0),"&amp;$O67&amp;")"</f>
        <v>P10Jul20182250=Pay(Max(2.25*GBPUSD(10Jul2018)-EURUSD(10Jul2018),0),10Jul2018)</v>
      </c>
      <c r="AR67" t="s">
        <v>93</v>
      </c>
      <c r="AU67" t="s">
        <v>31</v>
      </c>
      <c r="BG67" t="s">
        <v>31</v>
      </c>
      <c r="BS67" t="s">
        <v>93</v>
      </c>
      <c r="BV67" t="s">
        <v>31</v>
      </c>
    </row>
    <row r="68" spans="2:84">
      <c r="B68" s="29" t="s">
        <v>19</v>
      </c>
      <c r="C68" s="26"/>
      <c r="D68" s="30" t="b">
        <v>1</v>
      </c>
      <c r="M68" s="72" t="str">
        <f>M60</f>
        <v>1y</v>
      </c>
      <c r="N68" s="61">
        <f>_xll.qlCalendarAdvance("NullCalendar",$D$2,M68)</f>
        <v>43383</v>
      </c>
      <c r="O68" s="62" t="str">
        <f>TEXT(N68,"[$-900]TTMMMJJJ")</f>
        <v>10Okt2018</v>
      </c>
      <c r="P68" s="68" t="str">
        <f>"P"&amp;P52&amp;"=Pay(Max("&amp;P44&amp;"*GBPUSD("&amp;$O68&amp;")-EURUSD("&amp;$O68&amp;"),0),"&amp;$O68&amp;")"</f>
        <v>P10Okt2018-0250=Pay(Max(-0.25*GBPUSD(10Okt2018)-EURUSD(10Okt2018),0),10Okt2018)</v>
      </c>
      <c r="Q68" s="69" t="str">
        <f>"P"&amp;Q52&amp;"=Pay(Max("&amp;Q44&amp;"*GBPUSD("&amp;$O68&amp;")-EURUSD("&amp;$O68&amp;"),0),"&amp;$O68&amp;")"</f>
        <v>P10Okt20180000=Pay(Max(0*GBPUSD(10Okt2018)-EURUSD(10Okt2018),0),10Okt2018)</v>
      </c>
      <c r="R68" s="69" t="str">
        <f>"P"&amp;R52&amp;"=Pay(Max("&amp;R44&amp;"*GBPUSD("&amp;$O68&amp;")-EURUSD("&amp;$O68&amp;"),0),"&amp;$O68&amp;")"</f>
        <v>P10Okt20180250=Pay(Max(0.25*GBPUSD(10Okt2018)-EURUSD(10Okt2018),0),10Okt2018)</v>
      </c>
      <c r="S68" s="69" t="str">
        <f>"P"&amp;S52&amp;"=Pay(Max("&amp;S44&amp;"*GBPUSD("&amp;$O68&amp;")-EURUSD("&amp;$O68&amp;"),0),"&amp;$O68&amp;")"</f>
        <v>P10Okt20180500=Pay(Max(0.5*GBPUSD(10Okt2018)-EURUSD(10Okt2018),0),10Okt2018)</v>
      </c>
      <c r="T68" s="69" t="str">
        <f>"P"&amp;T52&amp;"=Pay(Max("&amp;T44&amp;"*GBPUSD("&amp;$O68&amp;")-EURUSD("&amp;$O68&amp;"),0),"&amp;$O68&amp;")"</f>
        <v>P10Okt20180750=Pay(Max(0.75*GBPUSD(10Okt2018)-EURUSD(10Okt2018),0),10Okt2018)</v>
      </c>
      <c r="U68" s="48" t="str">
        <f>"P"&amp;U52&amp;"=Pay(Max("&amp;U44&amp;"*GBPUSD("&amp;$O68&amp;")-EURUSD("&amp;$O68&amp;"),0),"&amp;$O68&amp;")"</f>
        <v>P10Okt20181000=Pay(Max(1*GBPUSD(10Okt2018)-EURUSD(10Okt2018),0),10Okt2018)</v>
      </c>
      <c r="V68" s="69" t="str">
        <f>"P"&amp;V52&amp;"=Pay(Max("&amp;V44&amp;"*GBPUSD("&amp;$O68&amp;")-EURUSD("&amp;$O68&amp;"),0),"&amp;$O68&amp;")"</f>
        <v>P10Okt20181250=Pay(Max(1.25*GBPUSD(10Okt2018)-EURUSD(10Okt2018),0),10Okt2018)</v>
      </c>
      <c r="W68" s="69" t="str">
        <f>"P"&amp;W52&amp;"=Pay(Max("&amp;W44&amp;"*GBPUSD("&amp;$O68&amp;")-EURUSD("&amp;$O68&amp;"),0),"&amp;$O68&amp;")"</f>
        <v>P10Okt20181500=Pay(Max(1.5*GBPUSD(10Okt2018)-EURUSD(10Okt2018),0),10Okt2018)</v>
      </c>
      <c r="X68" s="69" t="str">
        <f>"P"&amp;X52&amp;"=Pay(Max("&amp;X44&amp;"*GBPUSD("&amp;$O68&amp;")-EURUSD("&amp;$O68&amp;"),0),"&amp;$O68&amp;")"</f>
        <v>P10Okt20181750=Pay(Max(1.75*GBPUSD(10Okt2018)-EURUSD(10Okt2018),0),10Okt2018)</v>
      </c>
      <c r="Y68" s="69" t="str">
        <f>"P"&amp;Y52&amp;"=Pay(Max("&amp;Y44&amp;"*GBPUSD("&amp;$O68&amp;")-EURUSD("&amp;$O68&amp;"),0),"&amp;$O68&amp;")"</f>
        <v>P10Okt20182000=Pay(Max(2*GBPUSD(10Okt2018)-EURUSD(10Okt2018),0),10Okt2018)</v>
      </c>
      <c r="Z68" s="69" t="str">
        <f>"P"&amp;Z52&amp;"=Pay(Max("&amp;Z44&amp;"*GBPUSD("&amp;$O68&amp;")-EURUSD("&amp;$O68&amp;"),0),"&amp;$O68&amp;")"</f>
        <v>P10Okt20182250=Pay(Max(2.25*GBPUSD(10Okt2018)-EURUSD(10Okt2018),0),10Okt2018)</v>
      </c>
      <c r="AR68" t="s">
        <v>25</v>
      </c>
      <c r="AS68" t="s">
        <v>30</v>
      </c>
      <c r="AT68" t="s">
        <v>4</v>
      </c>
      <c r="AU68">
        <v>0.87151206299808792</v>
      </c>
      <c r="AV68">
        <v>0.90216284644338041</v>
      </c>
      <c r="AW68">
        <v>0.92234769785879311</v>
      </c>
      <c r="AX68">
        <v>0.95081286797024822</v>
      </c>
      <c r="AY68">
        <v>0.97294871335629129</v>
      </c>
      <c r="AZ68">
        <v>1</v>
      </c>
      <c r="BA68">
        <v>1.0371120792715558</v>
      </c>
      <c r="BB68">
        <v>1.0668476834085139</v>
      </c>
      <c r="BC68">
        <v>1.1095919855494891</v>
      </c>
      <c r="BD68">
        <v>1.1457807621080653</v>
      </c>
      <c r="BE68">
        <v>1.203642429536993</v>
      </c>
      <c r="BG68">
        <v>0.87151206299808792</v>
      </c>
      <c r="BH68">
        <v>0.90216284644338041</v>
      </c>
      <c r="BI68">
        <v>0.92234769785879311</v>
      </c>
      <c r="BJ68">
        <v>0.95081286797024822</v>
      </c>
      <c r="BK68">
        <v>0.97294871335629129</v>
      </c>
      <c r="BL68">
        <v>1</v>
      </c>
      <c r="BM68">
        <v>1.0371120792715558</v>
      </c>
      <c r="BN68">
        <v>1.0668476834085139</v>
      </c>
      <c r="BO68">
        <v>1.1095919855494891</v>
      </c>
      <c r="BP68">
        <v>1.1457807621080653</v>
      </c>
      <c r="BQ68">
        <v>1.203642429536993</v>
      </c>
      <c r="BS68" t="s">
        <v>25</v>
      </c>
      <c r="BT68" t="s">
        <v>30</v>
      </c>
      <c r="BU68" t="s">
        <v>4</v>
      </c>
      <c r="BV68">
        <v>0.87151206299808792</v>
      </c>
      <c r="BW68">
        <v>0.90216284644338041</v>
      </c>
      <c r="BX68">
        <v>0.92234769785879311</v>
      </c>
      <c r="BY68">
        <v>0.95081286797024822</v>
      </c>
      <c r="BZ68">
        <v>0.97294871335629129</v>
      </c>
      <c r="CA68">
        <v>1</v>
      </c>
      <c r="CB68">
        <v>1.0371120792715558</v>
      </c>
      <c r="CC68">
        <v>1.0668476834085139</v>
      </c>
      <c r="CD68">
        <v>1.1095919855494891</v>
      </c>
      <c r="CE68">
        <v>1.1457807621080653</v>
      </c>
      <c r="CF68">
        <v>1.203642429536993</v>
      </c>
    </row>
    <row r="69" spans="2:84">
      <c r="B69" s="15" t="s">
        <v>20</v>
      </c>
      <c r="C69" s="21"/>
      <c r="D69" s="31" t="e">
        <f>IF(D68,_xll.qlRealMCSimulationCalcAssetAdjuster(D66,B72:B255,C20:C21,D67),"[DISABLED]")</f>
        <v>#VALUE!</v>
      </c>
      <c r="J69" s="39" t="s">
        <v>37</v>
      </c>
      <c r="K69" s="43" t="str">
        <f>_xll.qlRealMCScript(,M5:M6,N5:N6,P56:Z60,TRUE)</f>
        <v>obj_00631#0003</v>
      </c>
      <c r="AR69" t="s">
        <v>22</v>
      </c>
      <c r="AS69">
        <v>43049</v>
      </c>
      <c r="AT69" t="s">
        <v>139</v>
      </c>
      <c r="AU69">
        <v>0.15934101237278331</v>
      </c>
      <c r="AV69">
        <v>0.11919902139391206</v>
      </c>
      <c r="AW69">
        <v>9.4672150548288092E-2</v>
      </c>
      <c r="AX69">
        <v>6.4230112860524699E-2</v>
      </c>
      <c r="AY69">
        <v>4.7256641121022583E-2</v>
      </c>
      <c r="AZ69">
        <v>4.3356710206360706E-2</v>
      </c>
      <c r="BA69">
        <v>6.69454233590491E-2</v>
      </c>
      <c r="BB69">
        <v>9.4482246859751845E-2</v>
      </c>
      <c r="BC69">
        <v>0.13618361432452847</v>
      </c>
      <c r="BD69">
        <v>0.17112876662431648</v>
      </c>
      <c r="BE69">
        <v>0.22497139558913265</v>
      </c>
      <c r="BG69">
        <v>0.15934101237278331</v>
      </c>
      <c r="BH69">
        <v>0.11919902139391206</v>
      </c>
      <c r="BI69">
        <v>9.4672150548288092E-2</v>
      </c>
      <c r="BJ69">
        <v>6.4230112860524699E-2</v>
      </c>
      <c r="BK69">
        <v>4.7256641121022583E-2</v>
      </c>
      <c r="BL69">
        <v>4.3356710206360706E-2</v>
      </c>
      <c r="BM69">
        <v>6.69454233590491E-2</v>
      </c>
      <c r="BN69">
        <v>9.4482246859751845E-2</v>
      </c>
      <c r="BO69">
        <v>0.13618361432452847</v>
      </c>
      <c r="BP69">
        <v>0.17112876662431648</v>
      </c>
      <c r="BQ69">
        <v>0.22497139558913265</v>
      </c>
      <c r="BS69" t="s">
        <v>22</v>
      </c>
      <c r="BT69">
        <v>43049</v>
      </c>
      <c r="BU69" t="s">
        <v>139</v>
      </c>
      <c r="BV69">
        <v>0.15934101237278331</v>
      </c>
      <c r="BW69">
        <v>0.11919902139391206</v>
      </c>
      <c r="BX69">
        <v>9.4672150548288092E-2</v>
      </c>
      <c r="BY69">
        <v>6.4230112860524699E-2</v>
      </c>
      <c r="BZ69">
        <v>4.7256641121022583E-2</v>
      </c>
      <c r="CA69">
        <v>4.3356710206360706E-2</v>
      </c>
      <c r="CB69">
        <v>6.69454233590491E-2</v>
      </c>
      <c r="CC69">
        <v>9.4482246859751845E-2</v>
      </c>
      <c r="CD69">
        <v>0.13618361432452847</v>
      </c>
      <c r="CE69">
        <v>0.17112876662431648</v>
      </c>
      <c r="CF69">
        <v>0.22497139558913265</v>
      </c>
    </row>
    <row r="70" spans="2:84">
      <c r="J70" s="39" t="s">
        <v>38</v>
      </c>
      <c r="K70" s="43" t="str">
        <f>_xll.qlRealMCScript(,M5:M6,N5:N6,P64:AA68,TRUE)</f>
        <v>obj_00664#0003</v>
      </c>
      <c r="M70" s="1" t="s">
        <v>41</v>
      </c>
      <c r="N70" s="2"/>
      <c r="O70" s="47"/>
      <c r="P70" s="4" t="s">
        <v>31</v>
      </c>
      <c r="Q70" s="19"/>
      <c r="R70" s="19"/>
      <c r="S70" s="19"/>
      <c r="T70" s="19"/>
      <c r="U70" s="19"/>
      <c r="V70" s="19"/>
      <c r="W70" s="19"/>
      <c r="X70" s="19"/>
      <c r="Y70" s="19"/>
      <c r="Z70" s="19"/>
      <c r="AR70" t="s">
        <v>29</v>
      </c>
      <c r="AS70">
        <v>43110</v>
      </c>
      <c r="AT70" t="s">
        <v>140</v>
      </c>
      <c r="AU70">
        <v>0.15286510968038938</v>
      </c>
      <c r="AV70">
        <v>0.12141794895040556</v>
      </c>
      <c r="AW70">
        <v>0.10281774909291215</v>
      </c>
      <c r="AX70">
        <v>8.1283093779903892E-2</v>
      </c>
      <c r="AY70">
        <v>7.0768779364614565E-2</v>
      </c>
      <c r="AZ70">
        <v>6.8480726777785508E-2</v>
      </c>
      <c r="BA70">
        <v>8.145895972807668E-2</v>
      </c>
      <c r="BB70">
        <v>9.832379905659254E-2</v>
      </c>
      <c r="BC70">
        <v>0.12557968953212534</v>
      </c>
      <c r="BD70">
        <v>0.14917586010508044</v>
      </c>
      <c r="BE70">
        <v>0.18613388165880976</v>
      </c>
      <c r="BG70">
        <v>0.15286510968038938</v>
      </c>
      <c r="BH70">
        <v>0.12141794895040556</v>
      </c>
      <c r="BI70">
        <v>0.10281774909291215</v>
      </c>
      <c r="BJ70">
        <v>8.1283093779903892E-2</v>
      </c>
      <c r="BK70">
        <v>7.0768779364614565E-2</v>
      </c>
      <c r="BL70">
        <v>6.8480726777785508E-2</v>
      </c>
      <c r="BM70">
        <v>8.145895972807668E-2</v>
      </c>
      <c r="BN70">
        <v>9.832379905659254E-2</v>
      </c>
      <c r="BO70">
        <v>0.12557968953212534</v>
      </c>
      <c r="BP70">
        <v>0.14917586010508044</v>
      </c>
      <c r="BQ70">
        <v>0.18613388165880976</v>
      </c>
      <c r="BS70" t="s">
        <v>29</v>
      </c>
      <c r="BT70">
        <v>43110</v>
      </c>
      <c r="BU70" t="s">
        <v>140</v>
      </c>
      <c r="BV70">
        <v>0.15286510968038938</v>
      </c>
      <c r="BW70">
        <v>0.12141794895040556</v>
      </c>
      <c r="BX70">
        <v>0.10281774909291215</v>
      </c>
      <c r="BY70">
        <v>8.1283093779903892E-2</v>
      </c>
      <c r="BZ70">
        <v>7.0768779364614565E-2</v>
      </c>
      <c r="CA70">
        <v>6.8480726777785508E-2</v>
      </c>
      <c r="CB70">
        <v>8.145895972807668E-2</v>
      </c>
      <c r="CC70">
        <v>9.832379905659254E-2</v>
      </c>
      <c r="CD70">
        <v>0.12557968953212534</v>
      </c>
      <c r="CE70">
        <v>0.14917586010508044</v>
      </c>
      <c r="CF70">
        <v>0.18613388165880976</v>
      </c>
    </row>
    <row r="71" spans="2:84">
      <c r="M71" s="49" t="s">
        <v>25</v>
      </c>
      <c r="N71" s="50" t="s">
        <v>30</v>
      </c>
      <c r="O71" s="50" t="s">
        <v>4</v>
      </c>
      <c r="P71" s="72" t="str">
        <f>P63</f>
        <v>5D Put EUR</v>
      </c>
      <c r="Q71" s="73" t="str">
        <f>Q63</f>
        <v>10D Put EUR</v>
      </c>
      <c r="R71" s="73" t="str">
        <f>R63</f>
        <v>15D Put EUR</v>
      </c>
      <c r="S71" s="73" t="str">
        <f>S63</f>
        <v>25D Put EUR</v>
      </c>
      <c r="T71" s="73" t="str">
        <f>T63</f>
        <v>35D Put EUR</v>
      </c>
      <c r="U71" s="73" t="str">
        <f>U63</f>
        <v>ATM</v>
      </c>
      <c r="V71" s="73" t="str">
        <f>V63</f>
        <v>35D Call EUR</v>
      </c>
      <c r="W71" s="73" t="str">
        <f>W63</f>
        <v>25D Call EUR</v>
      </c>
      <c r="X71" s="73" t="str">
        <f>X63</f>
        <v>15D Call EUR</v>
      </c>
      <c r="Y71" s="73" t="str">
        <f>Y63</f>
        <v>10D Call EUR</v>
      </c>
      <c r="Z71" s="62" t="str">
        <f>Z63</f>
        <v>5D Call EUR</v>
      </c>
      <c r="AR71" t="s">
        <v>32</v>
      </c>
      <c r="AS71">
        <v>43200</v>
      </c>
      <c r="AT71" t="s">
        <v>141</v>
      </c>
      <c r="AU71">
        <v>0.12028275398763123</v>
      </c>
      <c r="AV71">
        <v>0.10041519470988668</v>
      </c>
      <c r="AW71">
        <v>8.9144893102752004E-2</v>
      </c>
      <c r="AX71">
        <v>7.6980983594155436E-2</v>
      </c>
      <c r="AY71">
        <v>7.1810418123624417E-2</v>
      </c>
      <c r="AZ71">
        <v>7.1787070187456808E-2</v>
      </c>
      <c r="BA71">
        <v>8.1616546930755998E-2</v>
      </c>
      <c r="BB71">
        <v>9.4320828766159659E-2</v>
      </c>
      <c r="BC71">
        <v>0.11540321618664542</v>
      </c>
      <c r="BD71">
        <v>0.13387718842385266</v>
      </c>
      <c r="BE71">
        <v>0.16286292550216025</v>
      </c>
      <c r="BG71">
        <v>0.12028275398763123</v>
      </c>
      <c r="BH71">
        <v>0.10041519470988668</v>
      </c>
      <c r="BI71">
        <v>8.9144893102752004E-2</v>
      </c>
      <c r="BJ71">
        <v>7.6980983594155436E-2</v>
      </c>
      <c r="BK71">
        <v>7.1810418123624417E-2</v>
      </c>
      <c r="BL71">
        <v>7.1787070187456808E-2</v>
      </c>
      <c r="BM71">
        <v>8.1616546930755998E-2</v>
      </c>
      <c r="BN71">
        <v>9.4320828766159659E-2</v>
      </c>
      <c r="BO71">
        <v>0.11540321618664542</v>
      </c>
      <c r="BP71">
        <v>0.13387718842385266</v>
      </c>
      <c r="BQ71">
        <v>0.16286292550216025</v>
      </c>
      <c r="BS71" t="s">
        <v>32</v>
      </c>
      <c r="BT71">
        <v>43200</v>
      </c>
      <c r="BU71" t="s">
        <v>141</v>
      </c>
      <c r="BV71">
        <v>0.12028275398763123</v>
      </c>
      <c r="BW71">
        <v>0.10041519470988668</v>
      </c>
      <c r="BX71">
        <v>8.9144893102752004E-2</v>
      </c>
      <c r="BY71">
        <v>7.6980983594155436E-2</v>
      </c>
      <c r="BZ71">
        <v>7.1810418123624417E-2</v>
      </c>
      <c r="CA71">
        <v>7.1787070187456808E-2</v>
      </c>
      <c r="CB71">
        <v>8.1616546930755998E-2</v>
      </c>
      <c r="CC71">
        <v>9.4320828766159659E-2</v>
      </c>
      <c r="CD71">
        <v>0.11540321618664542</v>
      </c>
      <c r="CE71">
        <v>0.13387718842385266</v>
      </c>
      <c r="CF71">
        <v>0.16286292550216025</v>
      </c>
    </row>
    <row r="72" spans="2:84">
      <c r="B72">
        <f t="array" ref="B72:B794">(_xll.qlScheduleDates(D60)-D2)/365</f>
        <v>0</v>
      </c>
      <c r="D72">
        <v>1.2500000000000001E-2</v>
      </c>
      <c r="M72" s="70" t="str">
        <f>M64</f>
        <v>1m</v>
      </c>
      <c r="N72" s="57">
        <f>_xll.qlCalendarAdvance("NullCalendar",$D$2,M72)</f>
        <v>43049</v>
      </c>
      <c r="O72" s="58" t="str">
        <f>TEXT(N72,"[$-900]TTMMMJJJ")</f>
        <v>10Nov2017</v>
      </c>
      <c r="P72" s="74" t="e">
        <f>_xll.qlRealMCScriptNPV($K$69,$D$66,"C"&amp;P48,$D$67:$D$69)</f>
        <v>#VALUE!</v>
      </c>
      <c r="Q72" s="75" t="e">
        <f>_xll.qlRealMCScriptNPV($K$69,$D$66,"C"&amp;Q48,$D$67:$D$69)</f>
        <v>#VALUE!</v>
      </c>
      <c r="R72" s="75" t="e">
        <f>_xll.qlRealMCScriptNPV($K$69,$D$66,"C"&amp;R48,$D$67:$D$69)</f>
        <v>#VALUE!</v>
      </c>
      <c r="S72" s="75" t="e">
        <f>_xll.qlRealMCScriptNPV($K$69,$D$66,"C"&amp;S48,$D$67:$D$69)</f>
        <v>#VALUE!</v>
      </c>
      <c r="T72" s="75" t="e">
        <f>_xll.qlRealMCScriptNPV($K$69,$D$66,"C"&amp;T48,$D$67:$D$69)</f>
        <v>#VALUE!</v>
      </c>
      <c r="U72" s="75" t="e">
        <f>_xll.qlRealMCScriptNPV($K$69,$D$66,"C"&amp;U48,$D$67:$D$69)</f>
        <v>#VALUE!</v>
      </c>
      <c r="V72" s="75" t="e">
        <f>_xll.qlRealMCScriptNPV($K$69,$D$66,"C"&amp;V48,$D$67:$D$69)</f>
        <v>#VALUE!</v>
      </c>
      <c r="W72" s="75" t="e">
        <f>_xll.qlRealMCScriptNPV($K$69,$D$66,"C"&amp;W48,$D$67:$D$69)</f>
        <v>#VALUE!</v>
      </c>
      <c r="X72" s="75" t="e">
        <f>_xll.qlRealMCScriptNPV($K$69,$D$66,"C"&amp;X48,$D$67:$D$69)</f>
        <v>#VALUE!</v>
      </c>
      <c r="Y72" s="75" t="e">
        <f>_xll.qlRealMCScriptNPV($K$69,$D$66,"C"&amp;Y48,$D$67:$D$69)</f>
        <v>#VALUE!</v>
      </c>
      <c r="Z72" s="76" t="e">
        <f>_xll.qlRealMCScriptNPV($K$69,$D$66,"C"&amp;Z48,$D$67:$D$69)</f>
        <v>#VALUE!</v>
      </c>
      <c r="AR72" t="s">
        <v>33</v>
      </c>
      <c r="AS72">
        <v>43291</v>
      </c>
      <c r="AT72" t="s">
        <v>142</v>
      </c>
      <c r="AU72">
        <v>0.11670896688953736</v>
      </c>
      <c r="AV72">
        <v>9.7959086190683914E-2</v>
      </c>
      <c r="AW72">
        <v>8.7621738942903996E-2</v>
      </c>
      <c r="AX72">
        <v>7.6770648217256807E-2</v>
      </c>
      <c r="AY72">
        <v>7.2165165194123762E-2</v>
      </c>
      <c r="AZ72">
        <v>7.1681459080631282E-2</v>
      </c>
      <c r="BA72">
        <v>7.9074951080568556E-2</v>
      </c>
      <c r="BB72">
        <v>8.9387666715035133E-2</v>
      </c>
      <c r="BC72">
        <v>0.10742751677683138</v>
      </c>
      <c r="BD72">
        <v>0.1238353426685237</v>
      </c>
      <c r="BE72">
        <v>0.15028306435039426</v>
      </c>
      <c r="BG72">
        <v>0.11670896688953736</v>
      </c>
      <c r="BH72">
        <v>9.7959086190683914E-2</v>
      </c>
      <c r="BI72">
        <v>8.7621738942903996E-2</v>
      </c>
      <c r="BJ72">
        <v>7.6770648217256807E-2</v>
      </c>
      <c r="BK72">
        <v>7.2165165194123762E-2</v>
      </c>
      <c r="BL72">
        <v>7.1681459080631282E-2</v>
      </c>
      <c r="BM72">
        <v>7.9074951080568556E-2</v>
      </c>
      <c r="BN72">
        <v>8.9387666715035133E-2</v>
      </c>
      <c r="BO72">
        <v>0.10742751677683138</v>
      </c>
      <c r="BP72">
        <v>0.1238353426685237</v>
      </c>
      <c r="BQ72">
        <v>0.15028306435039426</v>
      </c>
      <c r="BS72" t="s">
        <v>33</v>
      </c>
      <c r="BT72">
        <v>43291</v>
      </c>
      <c r="BU72" t="s">
        <v>142</v>
      </c>
      <c r="BV72">
        <v>0.11670896688953736</v>
      </c>
      <c r="BW72">
        <v>9.7959086190683914E-2</v>
      </c>
      <c r="BX72">
        <v>8.7621738942903996E-2</v>
      </c>
      <c r="BY72">
        <v>7.6770648217256807E-2</v>
      </c>
      <c r="BZ72">
        <v>7.2165165194123762E-2</v>
      </c>
      <c r="CA72">
        <v>7.1681459080631282E-2</v>
      </c>
      <c r="CB72">
        <v>7.9074951080568556E-2</v>
      </c>
      <c r="CC72">
        <v>8.9387666715035133E-2</v>
      </c>
      <c r="CD72">
        <v>0.10742751677683138</v>
      </c>
      <c r="CE72">
        <v>0.1238353426685237</v>
      </c>
      <c r="CF72">
        <v>0.15028306435039426</v>
      </c>
    </row>
    <row r="73" spans="2:84">
      <c r="B73">
        <v>5.4794520547945206E-3</v>
      </c>
      <c r="D73">
        <f>D72+$D$72</f>
        <v>2.5000000000000001E-2</v>
      </c>
      <c r="M73" s="71" t="str">
        <f>M65</f>
        <v>3m</v>
      </c>
      <c r="N73" s="59">
        <f>_xll.qlCalendarAdvance("NullCalendar",$D$2,M73)</f>
        <v>43110</v>
      </c>
      <c r="O73" s="60" t="str">
        <f>TEXT(N73,"[$-900]TTMMMJJJ")</f>
        <v>10Jan2018</v>
      </c>
      <c r="P73" s="77" t="e">
        <f>_xll.qlRealMCScriptNPV($K$69,$D$66,"C"&amp;P49,$D$67:$D$69)</f>
        <v>#VALUE!</v>
      </c>
      <c r="Q73" s="78" t="e">
        <f>_xll.qlRealMCScriptNPV($K$69,$D$66,"C"&amp;Q49,$D$67:$D$69)</f>
        <v>#VALUE!</v>
      </c>
      <c r="R73" s="78" t="e">
        <f>_xll.qlRealMCScriptNPV($K$69,$D$66,"C"&amp;R49,$D$67:$D$69)</f>
        <v>#VALUE!</v>
      </c>
      <c r="S73" s="78" t="e">
        <f>_xll.qlRealMCScriptNPV($K$69,$D$66,"C"&amp;S49,$D$67:$D$69)</f>
        <v>#VALUE!</v>
      </c>
      <c r="T73" s="78" t="e">
        <f>_xll.qlRealMCScriptNPV($K$69,$D$66,"C"&amp;T49,$D$67:$D$69)</f>
        <v>#VALUE!</v>
      </c>
      <c r="U73" s="78" t="e">
        <f>_xll.qlRealMCScriptNPV($K$69,$D$66,"C"&amp;U49,$D$67:$D$69)</f>
        <v>#VALUE!</v>
      </c>
      <c r="V73" s="78" t="e">
        <f>_xll.qlRealMCScriptNPV($K$69,$D$66,"C"&amp;V49,$D$67:$D$69)</f>
        <v>#VALUE!</v>
      </c>
      <c r="W73" s="78" t="e">
        <f>_xll.qlRealMCScriptNPV($K$69,$D$66,"C"&amp;W49,$D$67:$D$69)</f>
        <v>#VALUE!</v>
      </c>
      <c r="X73" s="78" t="e">
        <f>_xll.qlRealMCScriptNPV($K$69,$D$66,"C"&amp;X49,$D$67:$D$69)</f>
        <v>#VALUE!</v>
      </c>
      <c r="Y73" s="78" t="e">
        <f>_xll.qlRealMCScriptNPV($K$69,$D$66,"C"&amp;Y49,$D$67:$D$69)</f>
        <v>#VALUE!</v>
      </c>
      <c r="Z73" s="79" t="e">
        <f>_xll.qlRealMCScriptNPV($K$69,$D$66,"C"&amp;Z49,$D$67:$D$69)</f>
        <v>#VALUE!</v>
      </c>
      <c r="AR73" t="s">
        <v>24</v>
      </c>
      <c r="AS73">
        <v>43383</v>
      </c>
      <c r="AT73" t="s">
        <v>143</v>
      </c>
      <c r="AU73">
        <v>0.10957634573772355</v>
      </c>
      <c r="AV73">
        <v>9.4624528543282016E-2</v>
      </c>
      <c r="AW73">
        <v>8.6428976365395982E-2</v>
      </c>
      <c r="AX73">
        <v>7.7909269384724159E-2</v>
      </c>
      <c r="AY73">
        <v>7.4343175964198455E-2</v>
      </c>
      <c r="AZ73">
        <v>7.3991559332113294E-2</v>
      </c>
      <c r="BA73">
        <v>7.9754450555332923E-2</v>
      </c>
      <c r="BB73">
        <v>8.7839690807626547E-2</v>
      </c>
      <c r="BC73">
        <v>0.1020571810388593</v>
      </c>
      <c r="BD73">
        <v>0.11500118615377665</v>
      </c>
      <c r="BE73">
        <v>0.13580915050672401</v>
      </c>
      <c r="BG73">
        <v>0.10957634573772355</v>
      </c>
      <c r="BH73">
        <v>9.4624528543282016E-2</v>
      </c>
      <c r="BI73">
        <v>8.6428976365395982E-2</v>
      </c>
      <c r="BJ73">
        <v>7.7909269384724159E-2</v>
      </c>
      <c r="BK73">
        <v>7.4343175964198455E-2</v>
      </c>
      <c r="BL73">
        <v>7.3991559332113294E-2</v>
      </c>
      <c r="BM73">
        <v>7.9754450555332923E-2</v>
      </c>
      <c r="BN73">
        <v>8.7839690807626547E-2</v>
      </c>
      <c r="BO73">
        <v>0.1020571810388593</v>
      </c>
      <c r="BP73">
        <v>0.11500118615377665</v>
      </c>
      <c r="BQ73">
        <v>0.13580915050672401</v>
      </c>
      <c r="BS73" t="s">
        <v>24</v>
      </c>
      <c r="BT73">
        <v>43383</v>
      </c>
      <c r="BU73" t="s">
        <v>143</v>
      </c>
      <c r="BV73">
        <v>0.10957634573772355</v>
      </c>
      <c r="BW73">
        <v>9.4624528543282016E-2</v>
      </c>
      <c r="BX73">
        <v>8.6428976365395982E-2</v>
      </c>
      <c r="BY73">
        <v>7.7909269384724159E-2</v>
      </c>
      <c r="BZ73">
        <v>7.4343175964198455E-2</v>
      </c>
      <c r="CA73">
        <v>7.3991559332113294E-2</v>
      </c>
      <c r="CB73">
        <v>7.9754450555332923E-2</v>
      </c>
      <c r="CC73">
        <v>8.7839690807626547E-2</v>
      </c>
      <c r="CD73">
        <v>0.1020571810388593</v>
      </c>
      <c r="CE73">
        <v>0.11500118615377665</v>
      </c>
      <c r="CF73">
        <v>0.13580915050672401</v>
      </c>
    </row>
    <row r="74" spans="2:84">
      <c r="B74">
        <v>1.0958904109589041E-2</v>
      </c>
      <c r="D74">
        <f>D73+$D$72</f>
        <v>3.7500000000000006E-2</v>
      </c>
      <c r="M74" s="71" t="str">
        <f>M66</f>
        <v>6m</v>
      </c>
      <c r="N74" s="59">
        <f>_xll.qlCalendarAdvance("NullCalendar",$D$2,M74)</f>
        <v>43200</v>
      </c>
      <c r="O74" s="60" t="str">
        <f>TEXT(N74,"[$-900]TTMMMJJJ")</f>
        <v>10Apr2018</v>
      </c>
      <c r="P74" s="77" t="e">
        <f>_xll.qlRealMCScriptNPV($K$69,$D$66,"C"&amp;P50,$D$67:$D$69)</f>
        <v>#VALUE!</v>
      </c>
      <c r="Q74" s="78" t="e">
        <f>_xll.qlRealMCScriptNPV($K$69,$D$66,"C"&amp;Q50,$D$67:$D$69)</f>
        <v>#VALUE!</v>
      </c>
      <c r="R74" s="78" t="e">
        <f>_xll.qlRealMCScriptNPV($K$69,$D$66,"C"&amp;R50,$D$67:$D$69)</f>
        <v>#VALUE!</v>
      </c>
      <c r="S74" s="78" t="e">
        <f>_xll.qlRealMCScriptNPV($K$69,$D$66,"C"&amp;S50,$D$67:$D$69)</f>
        <v>#VALUE!</v>
      </c>
      <c r="T74" s="78" t="e">
        <f>_xll.qlRealMCScriptNPV($K$69,$D$66,"C"&amp;T50,$D$67:$D$69)</f>
        <v>#VALUE!</v>
      </c>
      <c r="U74" s="78" t="e">
        <f>_xll.qlRealMCScriptNPV($K$69,$D$66,"C"&amp;U50,$D$67:$D$69)</f>
        <v>#VALUE!</v>
      </c>
      <c r="V74" s="78" t="e">
        <f>_xll.qlRealMCScriptNPV($K$69,$D$66,"C"&amp;V50,$D$67:$D$69)</f>
        <v>#VALUE!</v>
      </c>
      <c r="W74" s="78" t="e">
        <f>_xll.qlRealMCScriptNPV($K$69,$D$66,"C"&amp;W50,$D$67:$D$69)</f>
        <v>#VALUE!</v>
      </c>
      <c r="X74" s="78" t="e">
        <f>_xll.qlRealMCScriptNPV($K$69,$D$66,"C"&amp;X50,$D$67:$D$69)</f>
        <v>#VALUE!</v>
      </c>
      <c r="Y74" s="78" t="e">
        <f>_xll.qlRealMCScriptNPV($K$69,$D$66,"C"&amp;Y50,$D$67:$D$69)</f>
        <v>#VALUE!</v>
      </c>
      <c r="Z74" s="79" t="e">
        <f>_xll.qlRealMCScriptNPV($K$69,$D$66,"C"&amp;Z50,$D$67:$D$69)</f>
        <v>#VALUE!</v>
      </c>
    </row>
    <row r="75" spans="2:84">
      <c r="B75">
        <v>1.643835616438356E-2</v>
      </c>
      <c r="D75">
        <f>D74+$D$72</f>
        <v>0.05</v>
      </c>
      <c r="M75" s="71" t="str">
        <f>M67</f>
        <v>9m</v>
      </c>
      <c r="N75" s="59">
        <f>_xll.qlCalendarAdvance("NullCalendar",$D$2,M75)</f>
        <v>43291</v>
      </c>
      <c r="O75" s="60" t="str">
        <f>TEXT(N75,"[$-900]TTMMMJJJ")</f>
        <v>10Jul2018</v>
      </c>
      <c r="P75" s="77" t="e">
        <f>_xll.qlRealMCScriptNPV($K$69,$D$66,"C"&amp;P51,$D$67:$D$69)</f>
        <v>#VALUE!</v>
      </c>
      <c r="Q75" s="78" t="e">
        <f>_xll.qlRealMCScriptNPV($K$69,$D$66,"C"&amp;Q51,$D$67:$D$69)</f>
        <v>#VALUE!</v>
      </c>
      <c r="R75" s="78" t="e">
        <f>_xll.qlRealMCScriptNPV($K$69,$D$66,"C"&amp;R51,$D$67:$D$69)</f>
        <v>#VALUE!</v>
      </c>
      <c r="S75" s="78" t="e">
        <f>_xll.qlRealMCScriptNPV($K$69,$D$66,"C"&amp;S51,$D$67:$D$69)</f>
        <v>#VALUE!</v>
      </c>
      <c r="T75" s="78" t="e">
        <f>_xll.qlRealMCScriptNPV($K$69,$D$66,"C"&amp;T51,$D$67:$D$69)</f>
        <v>#VALUE!</v>
      </c>
      <c r="U75" s="78" t="e">
        <f>_xll.qlRealMCScriptNPV($K$69,$D$66,"C"&amp;U51,$D$67:$D$69)</f>
        <v>#VALUE!</v>
      </c>
      <c r="V75" s="78" t="e">
        <f>_xll.qlRealMCScriptNPV($K$69,$D$66,"C"&amp;V51,$D$67:$D$69)</f>
        <v>#VALUE!</v>
      </c>
      <c r="W75" s="78" t="e">
        <f>_xll.qlRealMCScriptNPV($K$69,$D$66,"C"&amp;W51,$D$67:$D$69)</f>
        <v>#VALUE!</v>
      </c>
      <c r="X75" s="78" t="e">
        <f>_xll.qlRealMCScriptNPV($K$69,$D$66,"C"&amp;X51,$D$67:$D$69)</f>
        <v>#VALUE!</v>
      </c>
      <c r="Y75" s="78" t="e">
        <f>_xll.qlRealMCScriptNPV($K$69,$D$66,"C"&amp;Y51,$D$67:$D$69)</f>
        <v>#VALUE!</v>
      </c>
      <c r="Z75" s="79" t="e">
        <f>_xll.qlRealMCScriptNPV($K$69,$D$66,"C"&amp;Z51,$D$67:$D$69)</f>
        <v>#VALUE!</v>
      </c>
    </row>
    <row r="76" spans="2:84">
      <c r="B76">
        <v>2.1917808219178082E-2</v>
      </c>
      <c r="D76">
        <f>D75+$D$72</f>
        <v>6.25E-2</v>
      </c>
      <c r="M76" s="72" t="str">
        <f>M68</f>
        <v>1y</v>
      </c>
      <c r="N76" s="61">
        <f>_xll.qlCalendarAdvance("NullCalendar",$D$2,M76)</f>
        <v>43383</v>
      </c>
      <c r="O76" s="62" t="str">
        <f>TEXT(N76,"[$-900]TTMMMJJJ")</f>
        <v>10Okt2018</v>
      </c>
      <c r="P76" s="80" t="e">
        <f>_xll.qlRealMCScriptNPV($K$69,$D$66,"C"&amp;P52,$D$67:$D$69)</f>
        <v>#VALUE!</v>
      </c>
      <c r="Q76" s="81" t="e">
        <f>_xll.qlRealMCScriptNPV($K$69,$D$66,"C"&amp;Q52,$D$67:$D$69)</f>
        <v>#VALUE!</v>
      </c>
      <c r="R76" s="81" t="e">
        <f>_xll.qlRealMCScriptNPV($K$69,$D$66,"C"&amp;R52,$D$67:$D$69)</f>
        <v>#VALUE!</v>
      </c>
      <c r="S76" s="81" t="e">
        <f>_xll.qlRealMCScriptNPV($K$69,$D$66,"C"&amp;S52,$D$67:$D$69)</f>
        <v>#VALUE!</v>
      </c>
      <c r="T76" s="81" t="e">
        <f>_xll.qlRealMCScriptNPV($K$69,$D$66,"C"&amp;T52,$D$67:$D$69)</f>
        <v>#VALUE!</v>
      </c>
      <c r="U76" s="81" t="e">
        <f>_xll.qlRealMCScriptNPV($K$69,$D$66,"C"&amp;U52,$D$67:$D$69)</f>
        <v>#VALUE!</v>
      </c>
      <c r="V76" s="81" t="e">
        <f>_xll.qlRealMCScriptNPV($K$69,$D$66,"C"&amp;V52,$D$67:$D$69)</f>
        <v>#VALUE!</v>
      </c>
      <c r="W76" s="81" t="e">
        <f>_xll.qlRealMCScriptNPV($K$69,$D$66,"C"&amp;W52,$D$67:$D$69)</f>
        <v>#VALUE!</v>
      </c>
      <c r="X76" s="81" t="e">
        <f>_xll.qlRealMCScriptNPV($K$69,$D$66,"C"&amp;X52,$D$67:$D$69)</f>
        <v>#VALUE!</v>
      </c>
      <c r="Y76" s="81" t="e">
        <f>_xll.qlRealMCScriptNPV($K$69,$D$66,"C"&amp;Y52,$D$67:$D$69)</f>
        <v>#VALUE!</v>
      </c>
      <c r="Z76" s="82" t="e">
        <f>_xll.qlRealMCScriptNPV($K$69,$D$66,"C"&amp;Z52,$D$67:$D$69)</f>
        <v>#VALUE!</v>
      </c>
    </row>
    <row r="77" spans="2:84">
      <c r="B77">
        <v>2.7397260273972601E-2</v>
      </c>
      <c r="D77">
        <f>D76+$D$72</f>
        <v>7.4999999999999997E-2</v>
      </c>
      <c r="U77" s="18"/>
      <c r="Z77" s="18"/>
    </row>
    <row r="78" spans="2:84">
      <c r="B78">
        <v>3.287671232876712E-2</v>
      </c>
      <c r="D78">
        <f>D77+$D$72</f>
        <v>8.7499999999999994E-2</v>
      </c>
      <c r="M78" s="1" t="s">
        <v>42</v>
      </c>
      <c r="N78" s="2"/>
      <c r="O78" s="47"/>
      <c r="P78" s="4" t="s">
        <v>31</v>
      </c>
      <c r="Q78" s="19"/>
      <c r="R78" s="19"/>
      <c r="S78" s="19"/>
      <c r="T78" s="19"/>
      <c r="U78" s="19"/>
      <c r="V78" s="19"/>
      <c r="W78" s="19"/>
      <c r="X78" s="19"/>
      <c r="Y78" s="19"/>
      <c r="Z78" s="40"/>
    </row>
    <row r="79" spans="2:84">
      <c r="B79">
        <v>3.8356164383561646E-2</v>
      </c>
      <c r="D79">
        <f>D78+$D$72</f>
        <v>9.9999999999999992E-2</v>
      </c>
      <c r="M79" s="49" t="s">
        <v>25</v>
      </c>
      <c r="N79" s="50" t="s">
        <v>30</v>
      </c>
      <c r="O79" s="50" t="s">
        <v>4</v>
      </c>
      <c r="P79" s="72" t="str">
        <f>P71</f>
        <v>5D Put EUR</v>
      </c>
      <c r="Q79" s="73" t="str">
        <f>Q71</f>
        <v>10D Put EUR</v>
      </c>
      <c r="R79" s="73" t="str">
        <f>R71</f>
        <v>15D Put EUR</v>
      </c>
      <c r="S79" s="73" t="str">
        <f>S71</f>
        <v>25D Put EUR</v>
      </c>
      <c r="T79" s="73" t="str">
        <f>T71</f>
        <v>35D Put EUR</v>
      </c>
      <c r="U79" s="73" t="str">
        <f>U71</f>
        <v>ATM</v>
      </c>
      <c r="V79" s="73" t="str">
        <f>V71</f>
        <v>35D Call EUR</v>
      </c>
      <c r="W79" s="73" t="str">
        <f>W71</f>
        <v>25D Call EUR</v>
      </c>
      <c r="X79" s="73" t="str">
        <f>X71</f>
        <v>15D Call EUR</v>
      </c>
      <c r="Y79" s="73" t="str">
        <f>Y71</f>
        <v>10D Call EUR</v>
      </c>
      <c r="Z79" s="62" t="str">
        <f>Z71</f>
        <v>5D Call EUR</v>
      </c>
    </row>
    <row r="80" spans="2:84">
      <c r="B80">
        <v>4.3835616438356165E-2</v>
      </c>
      <c r="D80">
        <f>D79+$D$72</f>
        <v>0.11249999999999999</v>
      </c>
      <c r="M80" s="70" t="str">
        <f>M72</f>
        <v>1m</v>
      </c>
      <c r="N80" s="57">
        <f>_xll.qlCalendarAdvance("NullCalendar",$D$2,M80)</f>
        <v>43049</v>
      </c>
      <c r="O80" s="58" t="str">
        <f>TEXT(N80,"[$-900]TTMMMJJJ")</f>
        <v>10Nov2017</v>
      </c>
      <c r="P80" s="74" t="e">
        <f>_xll.qlRealMCScriptNPV($K$70,$D$66,"P"&amp;P48,$D$67:$D$69)</f>
        <v>#VALUE!</v>
      </c>
      <c r="Q80" s="75" t="e">
        <f>_xll.qlRealMCScriptNPV($K$70,$D$66,"P"&amp;Q48,$D$67:$D$69)</f>
        <v>#VALUE!</v>
      </c>
      <c r="R80" s="75" t="e">
        <f>_xll.qlRealMCScriptNPV($K$70,$D$66,"P"&amp;R48,$D$67:$D$69)</f>
        <v>#VALUE!</v>
      </c>
      <c r="S80" s="75" t="e">
        <f>_xll.qlRealMCScriptNPV($K$70,$D$66,"P"&amp;S48,$D$67:$D$69)</f>
        <v>#VALUE!</v>
      </c>
      <c r="T80" s="75" t="e">
        <f>_xll.qlRealMCScriptNPV($K$70,$D$66,"P"&amp;T48,$D$67:$D$69)</f>
        <v>#VALUE!</v>
      </c>
      <c r="U80" s="75" t="e">
        <f>_xll.qlRealMCScriptNPV($K$70,$D$66,"P"&amp;U48,$D$67:$D$69)</f>
        <v>#VALUE!</v>
      </c>
      <c r="V80" s="75" t="e">
        <f>_xll.qlRealMCScriptNPV($K$70,$D$66,"P"&amp;V48,$D$67:$D$69)</f>
        <v>#VALUE!</v>
      </c>
      <c r="W80" s="75" t="e">
        <f>_xll.qlRealMCScriptNPV($K$70,$D$66,"P"&amp;W48,$D$67:$D$69)</f>
        <v>#VALUE!</v>
      </c>
      <c r="X80" s="75" t="e">
        <f>_xll.qlRealMCScriptNPV($K$70,$D$66,"P"&amp;X48,$D$67:$D$69)</f>
        <v>#VALUE!</v>
      </c>
      <c r="Y80" s="75" t="e">
        <f>_xll.qlRealMCScriptNPV($K$70,$D$66,"P"&amp;Y48,$D$67:$D$69)</f>
        <v>#VALUE!</v>
      </c>
      <c r="Z80" s="76" t="e">
        <f>_xll.qlRealMCScriptNPV($K$70,$D$66,"P"&amp;Z48,$D$67:$D$69)</f>
        <v>#VALUE!</v>
      </c>
    </row>
    <row r="81" spans="2:85">
      <c r="B81">
        <v>4.9315068493150684E-2</v>
      </c>
      <c r="D81">
        <f>D80+$D$72</f>
        <v>0.12499999999999999</v>
      </c>
      <c r="M81" s="71" t="str">
        <f>M73</f>
        <v>3m</v>
      </c>
      <c r="N81" s="59">
        <f>_xll.qlCalendarAdvance("NullCalendar",$D$2,M81)</f>
        <v>43110</v>
      </c>
      <c r="O81" s="60" t="str">
        <f>TEXT(N81,"[$-900]TTMMMJJJ")</f>
        <v>10Jan2018</v>
      </c>
      <c r="P81" s="77" t="e">
        <f>_xll.qlRealMCScriptNPV($K$70,$D$66,"P"&amp;P49,$D$67:$D$69)</f>
        <v>#VALUE!</v>
      </c>
      <c r="Q81" s="78" t="e">
        <f>_xll.qlRealMCScriptNPV($K$70,$D$66,"P"&amp;Q49,$D$67:$D$69)</f>
        <v>#VALUE!</v>
      </c>
      <c r="R81" s="78" t="e">
        <f>_xll.qlRealMCScriptNPV($K$70,$D$66,"P"&amp;R49,$D$67:$D$69)</f>
        <v>#VALUE!</v>
      </c>
      <c r="S81" s="78" t="e">
        <f>_xll.qlRealMCScriptNPV($K$70,$D$66,"P"&amp;S49,$D$67:$D$69)</f>
        <v>#VALUE!</v>
      </c>
      <c r="T81" s="78" t="e">
        <f>_xll.qlRealMCScriptNPV($K$70,$D$66,"P"&amp;T49,$D$67:$D$69)</f>
        <v>#VALUE!</v>
      </c>
      <c r="U81" s="78" t="e">
        <f>_xll.qlRealMCScriptNPV($K$70,$D$66,"P"&amp;U49,$D$67:$D$69)</f>
        <v>#VALUE!</v>
      </c>
      <c r="V81" s="78" t="e">
        <f>_xll.qlRealMCScriptNPV($K$70,$D$66,"P"&amp;V49,$D$67:$D$69)</f>
        <v>#VALUE!</v>
      </c>
      <c r="W81" s="78" t="e">
        <f>_xll.qlRealMCScriptNPV($K$70,$D$66,"P"&amp;W49,$D$67:$D$69)</f>
        <v>#VALUE!</v>
      </c>
      <c r="X81" s="78" t="e">
        <f>_xll.qlRealMCScriptNPV($K$70,$D$66,"P"&amp;X49,$D$67:$D$69)</f>
        <v>#VALUE!</v>
      </c>
      <c r="Y81" s="78" t="e">
        <f>_xll.qlRealMCScriptNPV($K$70,$D$66,"P"&amp;Y49,$D$67:$D$69)</f>
        <v>#VALUE!</v>
      </c>
      <c r="Z81" s="79" t="e">
        <f>_xll.qlRealMCScriptNPV($K$70,$D$66,"P"&amp;Z49,$D$67:$D$69)</f>
        <v>#VALUE!</v>
      </c>
    </row>
    <row r="82" spans="2:85">
      <c r="B82">
        <v>5.4794520547945202E-2</v>
      </c>
      <c r="D82">
        <f>D81+$D$72</f>
        <v>0.13749999999999998</v>
      </c>
      <c r="M82" s="71" t="str">
        <f>M74</f>
        <v>6m</v>
      </c>
      <c r="N82" s="59">
        <f>_xll.qlCalendarAdvance("NullCalendar",$D$2,M82)</f>
        <v>43200</v>
      </c>
      <c r="O82" s="60" t="str">
        <f>TEXT(N82,"[$-900]TTMMMJJJ")</f>
        <v>10Apr2018</v>
      </c>
      <c r="P82" s="77" t="e">
        <f>_xll.qlRealMCScriptNPV($K$70,$D$66,"P"&amp;P50,$D$67:$D$69)</f>
        <v>#VALUE!</v>
      </c>
      <c r="Q82" s="78" t="e">
        <f>_xll.qlRealMCScriptNPV($K$70,$D$66,"P"&amp;Q50,$D$67:$D$69)</f>
        <v>#VALUE!</v>
      </c>
      <c r="R82" s="78" t="e">
        <f>_xll.qlRealMCScriptNPV($K$70,$D$66,"P"&amp;R50,$D$67:$D$69)</f>
        <v>#VALUE!</v>
      </c>
      <c r="S82" s="78" t="e">
        <f>_xll.qlRealMCScriptNPV($K$70,$D$66,"P"&amp;S50,$D$67:$D$69)</f>
        <v>#VALUE!</v>
      </c>
      <c r="T82" s="78" t="e">
        <f>_xll.qlRealMCScriptNPV($K$70,$D$66,"P"&amp;T50,$D$67:$D$69)</f>
        <v>#VALUE!</v>
      </c>
      <c r="U82" s="78" t="e">
        <f>_xll.qlRealMCScriptNPV($K$70,$D$66,"P"&amp;U50,$D$67:$D$69)</f>
        <v>#VALUE!</v>
      </c>
      <c r="V82" s="78" t="e">
        <f>_xll.qlRealMCScriptNPV($K$70,$D$66,"P"&amp;V50,$D$67:$D$69)</f>
        <v>#VALUE!</v>
      </c>
      <c r="W82" s="78" t="e">
        <f>_xll.qlRealMCScriptNPV($K$70,$D$66,"P"&amp;W50,$D$67:$D$69)</f>
        <v>#VALUE!</v>
      </c>
      <c r="X82" s="78" t="e">
        <f>_xll.qlRealMCScriptNPV($K$70,$D$66,"P"&amp;X50,$D$67:$D$69)</f>
        <v>#VALUE!</v>
      </c>
      <c r="Y82" s="78" t="e">
        <f>_xll.qlRealMCScriptNPV($K$70,$D$66,"P"&amp;Y50,$D$67:$D$69)</f>
        <v>#VALUE!</v>
      </c>
      <c r="Z82" s="79" t="e">
        <f>_xll.qlRealMCScriptNPV($K$70,$D$66,"P"&amp;Z50,$D$67:$D$69)</f>
        <v>#VALUE!</v>
      </c>
    </row>
    <row r="83" spans="2:85">
      <c r="B83">
        <v>6.0273972602739728E-2</v>
      </c>
      <c r="D83">
        <f>D82+$D$72</f>
        <v>0.15</v>
      </c>
      <c r="M83" s="71" t="str">
        <f>M75</f>
        <v>9m</v>
      </c>
      <c r="N83" s="59">
        <f>_xll.qlCalendarAdvance("NullCalendar",$D$2,M83)</f>
        <v>43291</v>
      </c>
      <c r="O83" s="60" t="str">
        <f>TEXT(N83,"[$-900]TTMMMJJJ")</f>
        <v>10Jul2018</v>
      </c>
      <c r="P83" s="77" t="e">
        <f>_xll.qlRealMCScriptNPV($K$70,$D$66,"P"&amp;P51,$D$67:$D$69)</f>
        <v>#VALUE!</v>
      </c>
      <c r="Q83" s="78" t="e">
        <f>_xll.qlRealMCScriptNPV($K$70,$D$66,"P"&amp;Q51,$D$67:$D$69)</f>
        <v>#VALUE!</v>
      </c>
      <c r="R83" s="78" t="e">
        <f>_xll.qlRealMCScriptNPV($K$70,$D$66,"P"&amp;R51,$D$67:$D$69)</f>
        <v>#VALUE!</v>
      </c>
      <c r="S83" s="78" t="e">
        <f>_xll.qlRealMCScriptNPV($K$70,$D$66,"P"&amp;S51,$D$67:$D$69)</f>
        <v>#VALUE!</v>
      </c>
      <c r="T83" s="78" t="e">
        <f>_xll.qlRealMCScriptNPV($K$70,$D$66,"P"&amp;T51,$D$67:$D$69)</f>
        <v>#VALUE!</v>
      </c>
      <c r="U83" s="78" t="e">
        <f>_xll.qlRealMCScriptNPV($K$70,$D$66,"P"&amp;U51,$D$67:$D$69)</f>
        <v>#VALUE!</v>
      </c>
      <c r="V83" s="78" t="e">
        <f>_xll.qlRealMCScriptNPV($K$70,$D$66,"P"&amp;V51,$D$67:$D$69)</f>
        <v>#VALUE!</v>
      </c>
      <c r="W83" s="78" t="e">
        <f>_xll.qlRealMCScriptNPV($K$70,$D$66,"P"&amp;W51,$D$67:$D$69)</f>
        <v>#VALUE!</v>
      </c>
      <c r="X83" s="78" t="e">
        <f>_xll.qlRealMCScriptNPV($K$70,$D$66,"P"&amp;X51,$D$67:$D$69)</f>
        <v>#VALUE!</v>
      </c>
      <c r="Y83" s="78" t="e">
        <f>_xll.qlRealMCScriptNPV($K$70,$D$66,"P"&amp;Y51,$D$67:$D$69)</f>
        <v>#VALUE!</v>
      </c>
      <c r="Z83" s="79" t="e">
        <f>_xll.qlRealMCScriptNPV($K$70,$D$66,"P"&amp;Z51,$D$67:$D$69)</f>
        <v>#VALUE!</v>
      </c>
    </row>
    <row r="84" spans="2:85">
      <c r="B84">
        <v>6.575342465753424E-2</v>
      </c>
      <c r="D84">
        <f>D83+$D$72</f>
        <v>0.16250000000000001</v>
      </c>
      <c r="M84" s="72" t="str">
        <f>M76</f>
        <v>1y</v>
      </c>
      <c r="N84" s="61">
        <f>_xll.qlCalendarAdvance("NullCalendar",$D$2,M84)</f>
        <v>43383</v>
      </c>
      <c r="O84" s="62" t="str">
        <f>TEXT(N84,"[$-900]TTMMMJJJ")</f>
        <v>10Okt2018</v>
      </c>
      <c r="P84" s="80" t="e">
        <f>_xll.qlRealMCScriptNPV($K$70,$D$66,"P"&amp;P52,$D$67:$D$69)</f>
        <v>#VALUE!</v>
      </c>
      <c r="Q84" s="81" t="e">
        <f>_xll.qlRealMCScriptNPV($K$70,$D$66,"P"&amp;Q52,$D$67:$D$69)</f>
        <v>#VALUE!</v>
      </c>
      <c r="R84" s="81" t="e">
        <f>_xll.qlRealMCScriptNPV($K$70,$D$66,"P"&amp;R52,$D$67:$D$69)</f>
        <v>#VALUE!</v>
      </c>
      <c r="S84" s="81" t="e">
        <f>_xll.qlRealMCScriptNPV($K$70,$D$66,"P"&amp;S52,$D$67:$D$69)</f>
        <v>#VALUE!</v>
      </c>
      <c r="T84" s="81" t="e">
        <f>_xll.qlRealMCScriptNPV($K$70,$D$66,"P"&amp;T52,$D$67:$D$69)</f>
        <v>#VALUE!</v>
      </c>
      <c r="U84" s="81" t="e">
        <f>_xll.qlRealMCScriptNPV($K$70,$D$66,"P"&amp;U52,$D$67:$D$69)</f>
        <v>#VALUE!</v>
      </c>
      <c r="V84" s="81" t="e">
        <f>_xll.qlRealMCScriptNPV($K$70,$D$66,"P"&amp;V52,$D$67:$D$69)</f>
        <v>#VALUE!</v>
      </c>
      <c r="W84" s="81" t="e">
        <f>_xll.qlRealMCScriptNPV($K$70,$D$66,"P"&amp;W52,$D$67:$D$69)</f>
        <v>#VALUE!</v>
      </c>
      <c r="X84" s="81" t="e">
        <f>_xll.qlRealMCScriptNPV($K$70,$D$66,"P"&amp;X52,$D$67:$D$69)</f>
        <v>#VALUE!</v>
      </c>
      <c r="Y84" s="81" t="e">
        <f>_xll.qlRealMCScriptNPV($K$70,$D$66,"P"&amp;Y52,$D$67:$D$69)</f>
        <v>#VALUE!</v>
      </c>
      <c r="Z84" s="82" t="e">
        <f>_xll.qlRealMCScriptNPV($K$70,$D$66,"P"&amp;Z52,$D$67:$D$69)</f>
        <v>#VALUE!</v>
      </c>
      <c r="BS84" s="342"/>
      <c r="BT84" s="342"/>
      <c r="BU84" s="342"/>
      <c r="BV84" s="342"/>
      <c r="BW84" s="342"/>
      <c r="BX84" s="342"/>
      <c r="BY84" s="342"/>
      <c r="BZ84" s="342"/>
      <c r="CA84" s="342"/>
      <c r="CB84" s="342"/>
      <c r="CC84" s="342"/>
      <c r="CD84" s="342"/>
      <c r="CE84" s="342"/>
      <c r="CF84" s="342"/>
      <c r="CG84" s="342"/>
    </row>
    <row r="85" spans="2:85">
      <c r="B85">
        <v>7.1232876712328766E-2</v>
      </c>
      <c r="D85">
        <f>D84+$D$72</f>
        <v>0.17500000000000002</v>
      </c>
      <c r="Z85" s="341"/>
      <c r="BS85" s="342"/>
      <c r="BT85" s="342"/>
      <c r="BU85" s="342"/>
      <c r="BV85" s="342"/>
      <c r="BW85" s="342"/>
      <c r="BX85" s="342"/>
      <c r="BY85" s="342"/>
      <c r="BZ85" s="342"/>
      <c r="CA85" s="342"/>
      <c r="CB85" s="342"/>
      <c r="CC85" s="342"/>
      <c r="CD85" s="342"/>
      <c r="CE85" s="342"/>
      <c r="CF85" s="342"/>
      <c r="CG85" s="342"/>
    </row>
    <row r="86" spans="2:85">
      <c r="B86">
        <v>7.6712328767123292E-2</v>
      </c>
      <c r="D86">
        <f>D85+$D$72</f>
        <v>0.18750000000000003</v>
      </c>
      <c r="M86" s="1" t="s">
        <v>39</v>
      </c>
      <c r="N86" s="2"/>
      <c r="O86" s="47"/>
      <c r="P86" s="4" t="s">
        <v>31</v>
      </c>
      <c r="Q86" s="19"/>
      <c r="R86" s="19"/>
      <c r="S86" s="19"/>
      <c r="T86" s="19"/>
      <c r="U86" s="19"/>
      <c r="V86" s="19"/>
      <c r="W86" s="19"/>
      <c r="X86" s="19"/>
      <c r="Y86" s="19"/>
      <c r="Z86" s="40"/>
      <c r="BS86" s="342"/>
      <c r="BT86" s="342"/>
      <c r="BU86" s="342"/>
      <c r="BV86" s="342"/>
      <c r="BW86" s="342"/>
      <c r="BX86" s="342"/>
      <c r="BY86" s="342"/>
      <c r="BZ86" s="342"/>
      <c r="CA86" s="342"/>
      <c r="CB86" s="342"/>
      <c r="CC86" s="342"/>
      <c r="CD86" s="342"/>
      <c r="CE86" s="342"/>
      <c r="CF86" s="342"/>
      <c r="CG86" s="342"/>
    </row>
    <row r="87" spans="2:85">
      <c r="B87">
        <v>8.2191780821917804E-2</v>
      </c>
      <c r="D87">
        <f>D86+$D$72</f>
        <v>0.20000000000000004</v>
      </c>
      <c r="M87" s="49" t="s">
        <v>25</v>
      </c>
      <c r="N87" s="50" t="s">
        <v>30</v>
      </c>
      <c r="O87" s="50" t="s">
        <v>4</v>
      </c>
      <c r="P87" s="72" t="str">
        <f>P79</f>
        <v>5D Put EUR</v>
      </c>
      <c r="Q87" s="73" t="str">
        <f>Q79</f>
        <v>10D Put EUR</v>
      </c>
      <c r="R87" s="73" t="str">
        <f>R79</f>
        <v>15D Put EUR</v>
      </c>
      <c r="S87" s="73" t="str">
        <f>S79</f>
        <v>25D Put EUR</v>
      </c>
      <c r="T87" s="73" t="str">
        <f>T79</f>
        <v>35D Put EUR</v>
      </c>
      <c r="U87" s="73" t="str">
        <f>U79</f>
        <v>ATM</v>
      </c>
      <c r="V87" s="73" t="str">
        <f>V79</f>
        <v>35D Call EUR</v>
      </c>
      <c r="W87" s="73" t="str">
        <f>W79</f>
        <v>25D Call EUR</v>
      </c>
      <c r="X87" s="73" t="str">
        <f>X79</f>
        <v>15D Call EUR</v>
      </c>
      <c r="Y87" s="73" t="str">
        <f>Y79</f>
        <v>10D Call EUR</v>
      </c>
      <c r="Z87" s="62" t="str">
        <f>Z79</f>
        <v>5D Call EUR</v>
      </c>
      <c r="BS87" s="342"/>
      <c r="BT87" s="342"/>
      <c r="BU87" s="342"/>
      <c r="BV87" s="342"/>
      <c r="BW87" s="342"/>
      <c r="BX87" s="342"/>
      <c r="BY87" s="342"/>
      <c r="BZ87" s="342"/>
      <c r="CA87" s="342"/>
      <c r="CB87" s="342"/>
      <c r="CC87" s="342"/>
      <c r="CD87" s="342"/>
      <c r="CE87" s="342"/>
      <c r="CF87" s="342"/>
      <c r="CG87" s="342"/>
    </row>
    <row r="88" spans="2:85">
      <c r="B88">
        <v>8.7671232876712329E-2</v>
      </c>
      <c r="D88">
        <f>D87+$D$72</f>
        <v>0.21250000000000005</v>
      </c>
      <c r="M88" s="70" t="str">
        <f>M80</f>
        <v>1m</v>
      </c>
      <c r="N88" s="57">
        <f>_xll.qlCalendarAdvance("NullCalendar",$D$2,M88)</f>
        <v>43049</v>
      </c>
      <c r="O88" s="58" t="str">
        <f>TEXT(N88,"[$-900]TTMMMJJJ")</f>
        <v>10Nov2017</v>
      </c>
      <c r="P88" s="83" t="e">
        <f>_xll.qlBlackFormulaImpliedStdDev("Call",P40,$D$17/$D$18,P72)/SQRT(($N88-$D$2)/365)</f>
        <v>#VALUE!</v>
      </c>
      <c r="Q88" s="84" t="e">
        <f>_xll.qlBlackFormulaImpliedStdDev("Call",Q40,$D$17/$D$18,Q72)/SQRT(($N88-$D$2)/365)</f>
        <v>#VALUE!</v>
      </c>
      <c r="R88" s="84" t="e">
        <f>_xll.qlBlackFormulaImpliedStdDev("Call",R40,$D$17/$D$18,R72)/SQRT(($N88-$D$2)/365)</f>
        <v>#VALUE!</v>
      </c>
      <c r="S88" s="84" t="e">
        <f>_xll.qlBlackFormulaImpliedStdDev("Call",S40,$D$17/$D$18,S72)/SQRT(($N88-$D$2)/365)</f>
        <v>#VALUE!</v>
      </c>
      <c r="T88" s="84" t="e">
        <f>_xll.qlBlackFormulaImpliedStdDev("Call",T40,$D$17/$D$18,T72)/SQRT(($N88-$D$2)/365)</f>
        <v>#VALUE!</v>
      </c>
      <c r="U88" s="84" t="e">
        <f>_xll.qlBlackFormulaImpliedStdDev("Call",U40,$D$17/$D$18,U72)/SQRT(($N88-$D$2)/365)</f>
        <v>#VALUE!</v>
      </c>
      <c r="V88" s="84" t="e">
        <f>_xll.qlBlackFormulaImpliedStdDev("Call",V40,$D$17/$D$18,V72)/SQRT(($N88-$D$2)/365)</f>
        <v>#VALUE!</v>
      </c>
      <c r="W88" s="84" t="e">
        <f>_xll.qlBlackFormulaImpliedStdDev("Call",W40,$D$17/$D$18,W72)/SQRT(($N88-$D$2)/365)</f>
        <v>#VALUE!</v>
      </c>
      <c r="X88" s="84" t="e">
        <f>_xll.qlBlackFormulaImpliedStdDev("Call",X40,$D$17/$D$18,X72)/SQRT(($N88-$D$2)/365)</f>
        <v>#VALUE!</v>
      </c>
      <c r="Y88" s="84" t="e">
        <f>_xll.qlBlackFormulaImpliedStdDev("Call",Y40,$D$17/$D$18,Y72)/SQRT(($N88-$D$2)/365)</f>
        <v>#VALUE!</v>
      </c>
      <c r="Z88" s="85" t="e">
        <f>_xll.qlBlackFormulaImpliedStdDev("Call",Z40,$D$17/$D$18,Z72)/SQRT(($N88-$D$2)/365)</f>
        <v>#VALUE!</v>
      </c>
      <c r="BS88" s="342"/>
      <c r="BT88" s="342"/>
      <c r="BU88" s="342"/>
      <c r="BV88" s="342"/>
      <c r="BW88" s="342"/>
      <c r="BX88" s="342"/>
      <c r="BY88" s="342"/>
      <c r="BZ88" s="342"/>
      <c r="CA88" s="342"/>
      <c r="CB88" s="342"/>
      <c r="CC88" s="342"/>
      <c r="CD88" s="342"/>
      <c r="CE88" s="342"/>
      <c r="CF88" s="342"/>
      <c r="CG88" s="342"/>
    </row>
    <row r="89" spans="2:85">
      <c r="B89">
        <v>9.3150684931506855E-2</v>
      </c>
      <c r="D89">
        <f>D88+$D$72</f>
        <v>0.22500000000000006</v>
      </c>
      <c r="M89" s="71" t="str">
        <f>M81</f>
        <v>3m</v>
      </c>
      <c r="N89" s="59">
        <f>_xll.qlCalendarAdvance("NullCalendar",$D$2,M89)</f>
        <v>43110</v>
      </c>
      <c r="O89" s="60" t="str">
        <f>TEXT(N89,"[$-900]TTMMMJJJ")</f>
        <v>10Jan2018</v>
      </c>
      <c r="P89" s="86" t="e">
        <f>_xll.qlBlackFormulaImpliedStdDev("Call",P41,$D$17/$D$18,P73)/SQRT(($N89-$D$2)/365)</f>
        <v>#VALUE!</v>
      </c>
      <c r="Q89" s="87" t="e">
        <f>_xll.qlBlackFormulaImpliedStdDev("Call",Q41,$D$17/$D$18,Q73)/SQRT(($N89-$D$2)/365)</f>
        <v>#VALUE!</v>
      </c>
      <c r="R89" s="87" t="e">
        <f>_xll.qlBlackFormulaImpliedStdDev("Call",R41,$D$17/$D$18,R73)/SQRT(($N89-$D$2)/365)</f>
        <v>#VALUE!</v>
      </c>
      <c r="S89" s="87" t="e">
        <f>_xll.qlBlackFormulaImpliedStdDev("Call",S41,$D$17/$D$18,S73)/SQRT(($N89-$D$2)/365)</f>
        <v>#VALUE!</v>
      </c>
      <c r="T89" s="87" t="e">
        <f>_xll.qlBlackFormulaImpliedStdDev("Call",T41,$D$17/$D$18,T73)/SQRT(($N89-$D$2)/365)</f>
        <v>#VALUE!</v>
      </c>
      <c r="U89" s="87" t="e">
        <f>_xll.qlBlackFormulaImpliedStdDev("Call",U41,$D$17/$D$18,U73)/SQRT(($N89-$D$2)/365)</f>
        <v>#VALUE!</v>
      </c>
      <c r="V89" s="87" t="e">
        <f>_xll.qlBlackFormulaImpliedStdDev("Call",V41,$D$17/$D$18,V73)/SQRT(($N89-$D$2)/365)</f>
        <v>#VALUE!</v>
      </c>
      <c r="W89" s="87" t="e">
        <f>_xll.qlBlackFormulaImpliedStdDev("Call",W41,$D$17/$D$18,W73)/SQRT(($N89-$D$2)/365)</f>
        <v>#VALUE!</v>
      </c>
      <c r="X89" s="87" t="e">
        <f>_xll.qlBlackFormulaImpliedStdDev("Call",X41,$D$17/$D$18,X73)/SQRT(($N89-$D$2)/365)</f>
        <v>#VALUE!</v>
      </c>
      <c r="Y89" s="87" t="e">
        <f>_xll.qlBlackFormulaImpliedStdDev("Call",Y41,$D$17/$D$18,Y73)/SQRT(($N89-$D$2)/365)</f>
        <v>#VALUE!</v>
      </c>
      <c r="Z89" s="88" t="e">
        <f>_xll.qlBlackFormulaImpliedStdDev("Call",Z41,$D$17/$D$18,Z73)/SQRT(($N89-$D$2)/365)</f>
        <v>#VALUE!</v>
      </c>
      <c r="BS89" s="342"/>
      <c r="BT89" s="342"/>
      <c r="BU89" s="342"/>
      <c r="BV89" s="342"/>
      <c r="BW89" s="342"/>
      <c r="BX89" s="342"/>
      <c r="BY89" s="342"/>
      <c r="BZ89" s="342"/>
      <c r="CA89" s="342"/>
      <c r="CB89" s="342"/>
      <c r="CC89" s="342"/>
      <c r="CD89" s="342"/>
      <c r="CE89" s="342"/>
      <c r="CF89" s="342"/>
      <c r="CG89" s="342"/>
    </row>
    <row r="90" spans="2:85">
      <c r="B90">
        <v>9.8630136986301367E-2</v>
      </c>
      <c r="D90">
        <f>D89+$D$72</f>
        <v>0.23750000000000007</v>
      </c>
      <c r="M90" s="71" t="str">
        <f>M82</f>
        <v>6m</v>
      </c>
      <c r="N90" s="59">
        <f>_xll.qlCalendarAdvance("NullCalendar",$D$2,M90)</f>
        <v>43200</v>
      </c>
      <c r="O90" s="60" t="str">
        <f>TEXT(N90,"[$-900]TTMMMJJJ")</f>
        <v>10Apr2018</v>
      </c>
      <c r="P90" s="86" t="e">
        <f>_xll.qlBlackFormulaImpliedStdDev("Call",P42,$D$17/$D$18,P74)/SQRT(($N90-$D$2)/365)</f>
        <v>#VALUE!</v>
      </c>
      <c r="Q90" s="87" t="e">
        <f>_xll.qlBlackFormulaImpliedStdDev("Call",Q42,$D$17/$D$18,Q74)/SQRT(($N90-$D$2)/365)</f>
        <v>#VALUE!</v>
      </c>
      <c r="R90" s="87" t="e">
        <f>_xll.qlBlackFormulaImpliedStdDev("Call",R42,$D$17/$D$18,R74)/SQRT(($N90-$D$2)/365)</f>
        <v>#VALUE!</v>
      </c>
      <c r="S90" s="87" t="e">
        <f>_xll.qlBlackFormulaImpliedStdDev("Call",S42,$D$17/$D$18,S74)/SQRT(($N90-$D$2)/365)</f>
        <v>#VALUE!</v>
      </c>
      <c r="T90" s="87" t="e">
        <f>_xll.qlBlackFormulaImpliedStdDev("Call",T42,$D$17/$D$18,T74)/SQRT(($N90-$D$2)/365)</f>
        <v>#VALUE!</v>
      </c>
      <c r="U90" s="87" t="e">
        <f>_xll.qlBlackFormulaImpliedStdDev("Call",U42,$D$17/$D$18,U74)/SQRT(($N90-$D$2)/365)</f>
        <v>#VALUE!</v>
      </c>
      <c r="V90" s="87" t="e">
        <f>_xll.qlBlackFormulaImpliedStdDev("Call",V42,$D$17/$D$18,V74)/SQRT(($N90-$D$2)/365)</f>
        <v>#VALUE!</v>
      </c>
      <c r="W90" s="87" t="e">
        <f>_xll.qlBlackFormulaImpliedStdDev("Call",W42,$D$17/$D$18,W74)/SQRT(($N90-$D$2)/365)</f>
        <v>#VALUE!</v>
      </c>
      <c r="X90" s="87" t="e">
        <f>_xll.qlBlackFormulaImpliedStdDev("Call",X42,$D$17/$D$18,X74)/SQRT(($N90-$D$2)/365)</f>
        <v>#VALUE!</v>
      </c>
      <c r="Y90" s="87" t="e">
        <f>_xll.qlBlackFormulaImpliedStdDev("Call",Y42,$D$17/$D$18,Y74)/SQRT(($N90-$D$2)/365)</f>
        <v>#VALUE!</v>
      </c>
      <c r="Z90" s="88" t="e">
        <f>_xll.qlBlackFormulaImpliedStdDev("Call",Z42,$D$17/$D$18,Z74)/SQRT(($N90-$D$2)/365)</f>
        <v>#VALUE!</v>
      </c>
      <c r="BS90" s="342"/>
      <c r="BT90" s="342"/>
      <c r="BU90" s="342"/>
      <c r="BV90" s="342"/>
      <c r="BW90" s="342"/>
      <c r="BX90" s="342"/>
      <c r="BY90" s="342"/>
      <c r="BZ90" s="342"/>
      <c r="CA90" s="342"/>
      <c r="CB90" s="342"/>
      <c r="CC90" s="342"/>
      <c r="CD90" s="342"/>
      <c r="CE90" s="342"/>
      <c r="CF90" s="342"/>
      <c r="CG90" s="342"/>
    </row>
    <row r="91" spans="2:85">
      <c r="B91">
        <v>0.10410958904109589</v>
      </c>
      <c r="D91">
        <f>D90+$D$72</f>
        <v>0.25000000000000006</v>
      </c>
      <c r="M91" s="71" t="str">
        <f>M83</f>
        <v>9m</v>
      </c>
      <c r="N91" s="59">
        <f>_xll.qlCalendarAdvance("NullCalendar",$D$2,M91)</f>
        <v>43291</v>
      </c>
      <c r="O91" s="60" t="str">
        <f>TEXT(N91,"[$-900]TTMMMJJJ")</f>
        <v>10Jul2018</v>
      </c>
      <c r="P91" s="86" t="e">
        <f>_xll.qlBlackFormulaImpliedStdDev("Call",P43,$D$17/$D$18,P75)/SQRT(($N91-$D$2)/365)</f>
        <v>#VALUE!</v>
      </c>
      <c r="Q91" s="87" t="e">
        <f>_xll.qlBlackFormulaImpliedStdDev("Call",Q43,$D$17/$D$18,Q75)/SQRT(($N91-$D$2)/365)</f>
        <v>#VALUE!</v>
      </c>
      <c r="R91" s="87" t="e">
        <f>_xll.qlBlackFormulaImpliedStdDev("Call",R43,$D$17/$D$18,R75)/SQRT(($N91-$D$2)/365)</f>
        <v>#VALUE!</v>
      </c>
      <c r="S91" s="87" t="e">
        <f>_xll.qlBlackFormulaImpliedStdDev("Call",S43,$D$17/$D$18,S75)/SQRT(($N91-$D$2)/365)</f>
        <v>#VALUE!</v>
      </c>
      <c r="T91" s="87" t="e">
        <f>_xll.qlBlackFormulaImpliedStdDev("Call",T43,$D$17/$D$18,T75)/SQRT(($N91-$D$2)/365)</f>
        <v>#VALUE!</v>
      </c>
      <c r="U91" s="87" t="e">
        <f>_xll.qlBlackFormulaImpliedStdDev("Call",U43,$D$17/$D$18,U75)/SQRT(($N91-$D$2)/365)</f>
        <v>#VALUE!</v>
      </c>
      <c r="V91" s="87" t="e">
        <f>_xll.qlBlackFormulaImpliedStdDev("Call",V43,$D$17/$D$18,V75)/SQRT(($N91-$D$2)/365)</f>
        <v>#VALUE!</v>
      </c>
      <c r="W91" s="87" t="e">
        <f>_xll.qlBlackFormulaImpliedStdDev("Call",W43,$D$17/$D$18,W75)/SQRT(($N91-$D$2)/365)</f>
        <v>#VALUE!</v>
      </c>
      <c r="X91" s="87" t="e">
        <f>_xll.qlBlackFormulaImpliedStdDev("Call",X43,$D$17/$D$18,X75)/SQRT(($N91-$D$2)/365)</f>
        <v>#VALUE!</v>
      </c>
      <c r="Y91" s="87" t="e">
        <f>_xll.qlBlackFormulaImpliedStdDev("Call",Y43,$D$17/$D$18,Y75)/SQRT(($N91-$D$2)/365)</f>
        <v>#VALUE!</v>
      </c>
      <c r="Z91" s="88" t="e">
        <f>_xll.qlBlackFormulaImpliedStdDev("Call",Z43,$D$17/$D$18,Z75)/SQRT(($N91-$D$2)/365)</f>
        <v>#VALUE!</v>
      </c>
      <c r="BS91" s="342"/>
      <c r="BT91" s="342"/>
      <c r="BU91" s="342"/>
      <c r="BV91" s="342"/>
      <c r="BW91" s="342"/>
      <c r="BX91" s="342"/>
      <c r="BY91" s="342"/>
      <c r="BZ91" s="342"/>
      <c r="CA91" s="342"/>
      <c r="CB91" s="342"/>
      <c r="CC91" s="342"/>
      <c r="CD91" s="342"/>
      <c r="CE91" s="342"/>
      <c r="CF91" s="342"/>
      <c r="CG91" s="342"/>
    </row>
    <row r="92" spans="2:85">
      <c r="B92">
        <v>0.1095890410958904</v>
      </c>
      <c r="D92">
        <f>D91+$D$72</f>
        <v>0.26250000000000007</v>
      </c>
      <c r="M92" s="72" t="str">
        <f>M84</f>
        <v>1y</v>
      </c>
      <c r="N92" s="61">
        <f>_xll.qlCalendarAdvance("NullCalendar",$D$2,M92)</f>
        <v>43383</v>
      </c>
      <c r="O92" s="62" t="str">
        <f>TEXT(N92,"[$-900]TTMMMJJJ")</f>
        <v>10Okt2018</v>
      </c>
      <c r="P92" s="89" t="e">
        <f>_xll.qlBlackFormulaImpliedStdDev("Call",P44,$D$17/$D$18,P76)/SQRT(($N92-$D$2)/365)</f>
        <v>#VALUE!</v>
      </c>
      <c r="Q92" s="90" t="e">
        <f>_xll.qlBlackFormulaImpliedStdDev("Call",Q44,$D$17/$D$18,Q76)/SQRT(($N92-$D$2)/365)</f>
        <v>#VALUE!</v>
      </c>
      <c r="R92" s="90" t="e">
        <f>_xll.qlBlackFormulaImpliedStdDev("Call",R44,$D$17/$D$18,R76)/SQRT(($N92-$D$2)/365)</f>
        <v>#VALUE!</v>
      </c>
      <c r="S92" s="90" t="e">
        <f>_xll.qlBlackFormulaImpliedStdDev("Call",S44,$D$17/$D$18,S76)/SQRT(($N92-$D$2)/365)</f>
        <v>#VALUE!</v>
      </c>
      <c r="T92" s="90" t="e">
        <f>_xll.qlBlackFormulaImpliedStdDev("Call",T44,$D$17/$D$18,T76)/SQRT(($N92-$D$2)/365)</f>
        <v>#VALUE!</v>
      </c>
      <c r="U92" s="90" t="e">
        <f>_xll.qlBlackFormulaImpliedStdDev("Call",U44,$D$17/$D$18,U76)/SQRT(($N92-$D$2)/365)</f>
        <v>#VALUE!</v>
      </c>
      <c r="V92" s="90" t="e">
        <f>_xll.qlBlackFormulaImpliedStdDev("Call",V44,$D$17/$D$18,V76)/SQRT(($N92-$D$2)/365)</f>
        <v>#VALUE!</v>
      </c>
      <c r="W92" s="90" t="e">
        <f>_xll.qlBlackFormulaImpliedStdDev("Call",W44,$D$17/$D$18,W76)/SQRT(($N92-$D$2)/365)</f>
        <v>#VALUE!</v>
      </c>
      <c r="X92" s="90" t="e">
        <f>_xll.qlBlackFormulaImpliedStdDev("Call",X44,$D$17/$D$18,X76)/SQRT(($N92-$D$2)/365)</f>
        <v>#VALUE!</v>
      </c>
      <c r="Y92" s="90" t="e">
        <f>_xll.qlBlackFormulaImpliedStdDev("Call",Y44,$D$17/$D$18,Y76)/SQRT(($N92-$D$2)/365)</f>
        <v>#VALUE!</v>
      </c>
      <c r="Z92" s="91" t="e">
        <f>_xll.qlBlackFormulaImpliedStdDev("Call",Z44,$D$17/$D$18,Z76)/SQRT(($N92-$D$2)/365)</f>
        <v>#VALUE!</v>
      </c>
      <c r="BS92" s="342"/>
      <c r="BT92" s="342"/>
      <c r="BU92" s="342"/>
      <c r="BV92" s="342"/>
      <c r="BW92" s="342"/>
      <c r="BX92" s="342"/>
      <c r="BY92" s="342"/>
      <c r="BZ92" s="342"/>
      <c r="CA92" s="342"/>
      <c r="CB92" s="342"/>
      <c r="CC92" s="342"/>
      <c r="CD92" s="342"/>
      <c r="CE92" s="342"/>
      <c r="CF92" s="342"/>
      <c r="CG92" s="342"/>
    </row>
    <row r="93" spans="2:85">
      <c r="B93">
        <v>0.11506849315068493</v>
      </c>
      <c r="D93">
        <f>D92+$D$72</f>
        <v>0.27500000000000008</v>
      </c>
      <c r="BS93" s="342"/>
      <c r="BT93" s="342"/>
      <c r="BU93" s="342"/>
      <c r="BV93" s="342"/>
      <c r="BW93" s="342"/>
      <c r="BX93" s="342"/>
      <c r="BY93" s="342"/>
      <c r="BZ93" s="342"/>
      <c r="CA93" s="342"/>
      <c r="CB93" s="342"/>
      <c r="CC93" s="342"/>
      <c r="CD93" s="342"/>
      <c r="CE93" s="342"/>
      <c r="CF93" s="342"/>
      <c r="CG93" s="342"/>
    </row>
    <row r="94" spans="2:85">
      <c r="B94">
        <v>0.12054794520547946</v>
      </c>
      <c r="D94">
        <f>D93+$D$72</f>
        <v>0.28750000000000009</v>
      </c>
      <c r="M94" s="1" t="s">
        <v>40</v>
      </c>
      <c r="N94" s="2"/>
      <c r="O94" s="47"/>
      <c r="P94" s="4" t="s">
        <v>31</v>
      </c>
      <c r="Q94" s="19"/>
      <c r="R94" s="19"/>
      <c r="S94" s="19"/>
      <c r="T94" s="19"/>
      <c r="U94" s="19"/>
      <c r="V94" s="19"/>
      <c r="W94" s="19"/>
      <c r="X94" s="19"/>
      <c r="Y94" s="19"/>
      <c r="Z94" s="40"/>
      <c r="BS94" s="342"/>
      <c r="BT94" s="342"/>
      <c r="BU94" s="342"/>
      <c r="BV94" s="342"/>
      <c r="BW94" s="342"/>
      <c r="BX94" s="342"/>
      <c r="BY94" s="342"/>
      <c r="BZ94" s="342"/>
      <c r="CA94" s="342"/>
      <c r="CB94" s="342"/>
      <c r="CC94" s="342"/>
      <c r="CD94" s="342"/>
      <c r="CE94" s="342"/>
      <c r="CF94" s="342"/>
      <c r="CG94" s="342"/>
    </row>
    <row r="95" spans="2:85">
      <c r="B95">
        <v>0.12602739726027398</v>
      </c>
      <c r="D95">
        <f>D94+$D$72</f>
        <v>0.3000000000000001</v>
      </c>
      <c r="M95" s="49" t="s">
        <v>25</v>
      </c>
      <c r="N95" s="50" t="s">
        <v>30</v>
      </c>
      <c r="O95" s="50" t="s">
        <v>4</v>
      </c>
      <c r="P95" s="72" t="str">
        <f>P87</f>
        <v>5D Put EUR</v>
      </c>
      <c r="Q95" s="73" t="str">
        <f>Q87</f>
        <v>10D Put EUR</v>
      </c>
      <c r="R95" s="73" t="str">
        <f>R87</f>
        <v>15D Put EUR</v>
      </c>
      <c r="S95" s="73" t="str">
        <f>S87</f>
        <v>25D Put EUR</v>
      </c>
      <c r="T95" s="73" t="str">
        <f>T87</f>
        <v>35D Put EUR</v>
      </c>
      <c r="U95" s="73" t="str">
        <f>U87</f>
        <v>ATM</v>
      </c>
      <c r="V95" s="73" t="str">
        <f>V87</f>
        <v>35D Call EUR</v>
      </c>
      <c r="W95" s="73" t="str">
        <f>W87</f>
        <v>25D Call EUR</v>
      </c>
      <c r="X95" s="73" t="str">
        <f>X87</f>
        <v>15D Call EUR</v>
      </c>
      <c r="Y95" s="73" t="str">
        <f>Y87</f>
        <v>10D Call EUR</v>
      </c>
      <c r="Z95" s="62" t="str">
        <f>Z87</f>
        <v>5D Call EUR</v>
      </c>
      <c r="BS95" s="342"/>
      <c r="BT95" s="342"/>
      <c r="BU95" s="342"/>
      <c r="BV95" s="342"/>
      <c r="BW95" s="342"/>
      <c r="BX95" s="342"/>
      <c r="BY95" s="342"/>
      <c r="BZ95" s="342"/>
      <c r="CA95" s="342"/>
      <c r="CB95" s="342"/>
      <c r="CC95" s="342"/>
      <c r="CD95" s="342"/>
      <c r="CE95" s="342"/>
      <c r="CF95" s="342"/>
      <c r="CG95" s="342"/>
    </row>
    <row r="96" spans="2:85">
      <c r="B96">
        <v>0.13150684931506848</v>
      </c>
      <c r="D96">
        <f>D95+$D$72</f>
        <v>0.31250000000000011</v>
      </c>
      <c r="M96" s="70" t="str">
        <f>M88</f>
        <v>1m</v>
      </c>
      <c r="N96" s="57">
        <f>_xll.qlCalendarAdvance("NullCalendar",$D$2,M96)</f>
        <v>43049</v>
      </c>
      <c r="O96" s="58" t="str">
        <f>TEXT(N96,"[$-900]TTMMMJJJ")</f>
        <v>10Nov2017</v>
      </c>
      <c r="P96" s="83" t="e">
        <f>_xll.qlBlackFormulaImpliedStdDev("Put",P40,$D$17/$D$18,P80)/SQRT(($N96-$D$2)/365)</f>
        <v>#VALUE!</v>
      </c>
      <c r="Q96" s="84" t="e">
        <f>_xll.qlBlackFormulaImpliedStdDev("Put",Q40,$D$17/$D$18,Q80)/SQRT(($N96-$D$2)/365)</f>
        <v>#VALUE!</v>
      </c>
      <c r="R96" s="84" t="e">
        <f>_xll.qlBlackFormulaImpliedStdDev("Put",R40,$D$17/$D$18,R80)/SQRT(($N96-$D$2)/365)</f>
        <v>#VALUE!</v>
      </c>
      <c r="S96" s="84" t="e">
        <f>_xll.qlBlackFormulaImpliedStdDev("Put",S40,$D$17/$D$18,S80)/SQRT(($N96-$D$2)/365)</f>
        <v>#VALUE!</v>
      </c>
      <c r="T96" s="84" t="e">
        <f>_xll.qlBlackFormulaImpliedStdDev("Put",T40,$D$17/$D$18,T80)/SQRT(($N96-$D$2)/365)</f>
        <v>#VALUE!</v>
      </c>
      <c r="U96" s="84" t="e">
        <f>_xll.qlBlackFormulaImpliedStdDev("Put",U40,$D$17/$D$18,U80)/SQRT(($N96-$D$2)/365)</f>
        <v>#VALUE!</v>
      </c>
      <c r="V96" s="84" t="e">
        <f>_xll.qlBlackFormulaImpliedStdDev("Put",V40,$D$17/$D$18,V80)/SQRT(($N96-$D$2)/365)</f>
        <v>#VALUE!</v>
      </c>
      <c r="W96" s="84" t="e">
        <f>_xll.qlBlackFormulaImpliedStdDev("Put",W40,$D$17/$D$18,W80)/SQRT(($N96-$D$2)/365)</f>
        <v>#VALUE!</v>
      </c>
      <c r="X96" s="84" t="e">
        <f>_xll.qlBlackFormulaImpliedStdDev("Put",X40,$D$17/$D$18,X80)/SQRT(($N96-$D$2)/365)</f>
        <v>#VALUE!</v>
      </c>
      <c r="Y96" s="84" t="e">
        <f>_xll.qlBlackFormulaImpliedStdDev("Put",Y40,$D$17/$D$18,Y80)/SQRT(($N96-$D$2)/365)</f>
        <v>#VALUE!</v>
      </c>
      <c r="Z96" s="85" t="e">
        <f>_xll.qlBlackFormulaImpliedStdDev("Put",Z40,$D$17/$D$18,Z80)/SQRT(($N96-$D$2)/365)</f>
        <v>#VALUE!</v>
      </c>
      <c r="BS96" s="342"/>
      <c r="BT96" s="342"/>
      <c r="BU96" s="342"/>
      <c r="BV96" s="342"/>
      <c r="BW96" s="342"/>
      <c r="BX96" s="342"/>
      <c r="BY96" s="342"/>
      <c r="BZ96" s="342"/>
      <c r="CA96" s="342"/>
      <c r="CB96" s="342"/>
      <c r="CC96" s="342"/>
      <c r="CD96" s="342"/>
      <c r="CE96" s="342"/>
      <c r="CF96" s="342"/>
      <c r="CG96" s="342"/>
    </row>
    <row r="97" spans="2:85">
      <c r="B97">
        <v>0.13698630136986301</v>
      </c>
      <c r="D97">
        <f>D96+$D$72</f>
        <v>0.32500000000000012</v>
      </c>
      <c r="M97" s="71" t="str">
        <f>M89</f>
        <v>3m</v>
      </c>
      <c r="N97" s="59">
        <f>_xll.qlCalendarAdvance("NullCalendar",$D$2,M97)</f>
        <v>43110</v>
      </c>
      <c r="O97" s="60" t="str">
        <f>TEXT(N97,"[$-900]TTMMMJJJ")</f>
        <v>10Jan2018</v>
      </c>
      <c r="P97" s="86" t="e">
        <f>_xll.qlBlackFormulaImpliedStdDev("Put",P41,$D$17/$D$18,P81)/SQRT(($N97-$D$2)/365)</f>
        <v>#VALUE!</v>
      </c>
      <c r="Q97" s="87" t="e">
        <f>_xll.qlBlackFormulaImpliedStdDev("Put",Q41,$D$17/$D$18,Q81)/SQRT(($N97-$D$2)/365)</f>
        <v>#VALUE!</v>
      </c>
      <c r="R97" s="87" t="e">
        <f>_xll.qlBlackFormulaImpliedStdDev("Put",R41,$D$17/$D$18,R81)/SQRT(($N97-$D$2)/365)</f>
        <v>#VALUE!</v>
      </c>
      <c r="S97" s="87" t="e">
        <f>_xll.qlBlackFormulaImpliedStdDev("Put",S41,$D$17/$D$18,S81)/SQRT(($N97-$D$2)/365)</f>
        <v>#VALUE!</v>
      </c>
      <c r="T97" s="87" t="e">
        <f>_xll.qlBlackFormulaImpliedStdDev("Put",T41,$D$17/$D$18,T81)/SQRT(($N97-$D$2)/365)</f>
        <v>#VALUE!</v>
      </c>
      <c r="U97" s="87" t="e">
        <f>_xll.qlBlackFormulaImpliedStdDev("Put",U41,$D$17/$D$18,U81)/SQRT(($N97-$D$2)/365)</f>
        <v>#VALUE!</v>
      </c>
      <c r="V97" s="87" t="e">
        <f>_xll.qlBlackFormulaImpliedStdDev("Put",V41,$D$17/$D$18,V81)/SQRT(($N97-$D$2)/365)</f>
        <v>#VALUE!</v>
      </c>
      <c r="W97" s="87" t="e">
        <f>_xll.qlBlackFormulaImpliedStdDev("Put",W41,$D$17/$D$18,W81)/SQRT(($N97-$D$2)/365)</f>
        <v>#VALUE!</v>
      </c>
      <c r="X97" s="87" t="e">
        <f>_xll.qlBlackFormulaImpliedStdDev("Put",X41,$D$17/$D$18,X81)/SQRT(($N97-$D$2)/365)</f>
        <v>#VALUE!</v>
      </c>
      <c r="Y97" s="87" t="e">
        <f>_xll.qlBlackFormulaImpliedStdDev("Put",Y41,$D$17/$D$18,Y81)/SQRT(($N97-$D$2)/365)</f>
        <v>#VALUE!</v>
      </c>
      <c r="Z97" s="88" t="e">
        <f>_xll.qlBlackFormulaImpliedStdDev("Put",Z41,$D$17/$D$18,Z81)/SQRT(($N97-$D$2)/365)</f>
        <v>#VALUE!</v>
      </c>
      <c r="BS97" s="342"/>
      <c r="BT97" s="342"/>
      <c r="BU97" s="342"/>
      <c r="BV97" s="342"/>
      <c r="BW97" s="342"/>
      <c r="BX97" s="342"/>
      <c r="BY97" s="342"/>
      <c r="BZ97" s="342"/>
      <c r="CA97" s="342"/>
      <c r="CB97" s="342"/>
      <c r="CC97" s="342"/>
      <c r="CD97" s="342"/>
      <c r="CE97" s="342"/>
      <c r="CF97" s="342"/>
      <c r="CG97" s="342"/>
    </row>
    <row r="98" spans="2:85">
      <c r="B98">
        <v>0.14246575342465753</v>
      </c>
      <c r="D98">
        <f>D97+$D$72</f>
        <v>0.33750000000000013</v>
      </c>
      <c r="M98" s="71" t="str">
        <f>M90</f>
        <v>6m</v>
      </c>
      <c r="N98" s="59">
        <f>_xll.qlCalendarAdvance("NullCalendar",$D$2,M98)</f>
        <v>43200</v>
      </c>
      <c r="O98" s="60" t="str">
        <f>TEXT(N98,"[$-900]TTMMMJJJ")</f>
        <v>10Apr2018</v>
      </c>
      <c r="P98" s="86" t="e">
        <f>_xll.qlBlackFormulaImpliedStdDev("Put",P42,$D$17/$D$18,P82)/SQRT(($N98-$D$2)/365)</f>
        <v>#VALUE!</v>
      </c>
      <c r="Q98" s="87" t="e">
        <f>_xll.qlBlackFormulaImpliedStdDev("Put",Q42,$D$17/$D$18,Q82)/SQRT(($N98-$D$2)/365)</f>
        <v>#VALUE!</v>
      </c>
      <c r="R98" s="87" t="e">
        <f>_xll.qlBlackFormulaImpliedStdDev("Put",R42,$D$17/$D$18,R82)/SQRT(($N98-$D$2)/365)</f>
        <v>#VALUE!</v>
      </c>
      <c r="S98" s="87" t="e">
        <f>_xll.qlBlackFormulaImpliedStdDev("Put",S42,$D$17/$D$18,S82)/SQRT(($N98-$D$2)/365)</f>
        <v>#VALUE!</v>
      </c>
      <c r="T98" s="87" t="e">
        <f>_xll.qlBlackFormulaImpliedStdDev("Put",T42,$D$17/$D$18,T82)/SQRT(($N98-$D$2)/365)</f>
        <v>#VALUE!</v>
      </c>
      <c r="U98" s="87" t="e">
        <f>_xll.qlBlackFormulaImpliedStdDev("Put",U42,$D$17/$D$18,U82)/SQRT(($N98-$D$2)/365)</f>
        <v>#VALUE!</v>
      </c>
      <c r="V98" s="87" t="e">
        <f>_xll.qlBlackFormulaImpliedStdDev("Put",V42,$D$17/$D$18,V82)/SQRT(($N98-$D$2)/365)</f>
        <v>#VALUE!</v>
      </c>
      <c r="W98" s="87" t="e">
        <f>_xll.qlBlackFormulaImpliedStdDev("Put",W42,$D$17/$D$18,W82)/SQRT(($N98-$D$2)/365)</f>
        <v>#VALUE!</v>
      </c>
      <c r="X98" s="87" t="e">
        <f>_xll.qlBlackFormulaImpliedStdDev("Put",X42,$D$17/$D$18,X82)/SQRT(($N98-$D$2)/365)</f>
        <v>#VALUE!</v>
      </c>
      <c r="Y98" s="87" t="e">
        <f>_xll.qlBlackFormulaImpliedStdDev("Put",Y42,$D$17/$D$18,Y82)/SQRT(($N98-$D$2)/365)</f>
        <v>#VALUE!</v>
      </c>
      <c r="Z98" s="88" t="e">
        <f>_xll.qlBlackFormulaImpliedStdDev("Put",Z42,$D$17/$D$18,Z82)/SQRT(($N98-$D$2)/365)</f>
        <v>#VALUE!</v>
      </c>
      <c r="BS98" s="342"/>
      <c r="BT98" s="342"/>
      <c r="BU98" s="342"/>
      <c r="BV98" s="342"/>
      <c r="BW98" s="342"/>
      <c r="BX98" s="342"/>
      <c r="BY98" s="342"/>
      <c r="BZ98" s="342"/>
      <c r="CA98" s="342"/>
      <c r="CB98" s="342"/>
      <c r="CC98" s="342"/>
      <c r="CD98" s="342"/>
      <c r="CE98" s="342"/>
      <c r="CF98" s="342"/>
      <c r="CG98" s="342"/>
    </row>
    <row r="99" spans="2:85">
      <c r="B99">
        <v>0.14794520547945206</v>
      </c>
      <c r="D99">
        <f>D98+$D$72</f>
        <v>0.35000000000000014</v>
      </c>
      <c r="M99" s="71" t="str">
        <f>M91</f>
        <v>9m</v>
      </c>
      <c r="N99" s="59">
        <f>_xll.qlCalendarAdvance("NullCalendar",$D$2,M99)</f>
        <v>43291</v>
      </c>
      <c r="O99" s="60" t="str">
        <f>TEXT(N99,"[$-900]TTMMMJJJ")</f>
        <v>10Jul2018</v>
      </c>
      <c r="P99" s="86" t="e">
        <f>_xll.qlBlackFormulaImpliedStdDev("Put",P43,$D$17/$D$18,P83)/SQRT(($N99-$D$2)/365)</f>
        <v>#VALUE!</v>
      </c>
      <c r="Q99" s="87" t="e">
        <f>_xll.qlBlackFormulaImpliedStdDev("Put",Q43,$D$17/$D$18,Q83)/SQRT(($N99-$D$2)/365)</f>
        <v>#VALUE!</v>
      </c>
      <c r="R99" s="87" t="e">
        <f>_xll.qlBlackFormulaImpliedStdDev("Put",R43,$D$17/$D$18,R83)/SQRT(($N99-$D$2)/365)</f>
        <v>#VALUE!</v>
      </c>
      <c r="S99" s="87" t="e">
        <f>_xll.qlBlackFormulaImpliedStdDev("Put",S43,$D$17/$D$18,S83)/SQRT(($N99-$D$2)/365)</f>
        <v>#VALUE!</v>
      </c>
      <c r="T99" s="87" t="e">
        <f>_xll.qlBlackFormulaImpliedStdDev("Put",T43,$D$17/$D$18,T83)/SQRT(($N99-$D$2)/365)</f>
        <v>#VALUE!</v>
      </c>
      <c r="U99" s="87" t="e">
        <f>_xll.qlBlackFormulaImpliedStdDev("Put",U43,$D$17/$D$18,U83)/SQRT(($N99-$D$2)/365)</f>
        <v>#VALUE!</v>
      </c>
      <c r="V99" s="87" t="e">
        <f>_xll.qlBlackFormulaImpliedStdDev("Put",V43,$D$17/$D$18,V83)/SQRT(($N99-$D$2)/365)</f>
        <v>#VALUE!</v>
      </c>
      <c r="W99" s="87" t="e">
        <f>_xll.qlBlackFormulaImpliedStdDev("Put",W43,$D$17/$D$18,W83)/SQRT(($N99-$D$2)/365)</f>
        <v>#VALUE!</v>
      </c>
      <c r="X99" s="87" t="e">
        <f>_xll.qlBlackFormulaImpliedStdDev("Put",X43,$D$17/$D$18,X83)/SQRT(($N99-$D$2)/365)</f>
        <v>#VALUE!</v>
      </c>
      <c r="Y99" s="87" t="e">
        <f>_xll.qlBlackFormulaImpliedStdDev("Put",Y43,$D$17/$D$18,Y83)/SQRT(($N99-$D$2)/365)</f>
        <v>#VALUE!</v>
      </c>
      <c r="Z99" s="88" t="e">
        <f>_xll.qlBlackFormulaImpliedStdDev("Put",Z43,$D$17/$D$18,Z83)/SQRT(($N99-$D$2)/365)</f>
        <v>#VALUE!</v>
      </c>
      <c r="BS99" s="342"/>
      <c r="BT99" s="342"/>
      <c r="BU99" s="342"/>
      <c r="BV99" s="342"/>
      <c r="BW99" s="342"/>
      <c r="BX99" s="342"/>
      <c r="BY99" s="342"/>
      <c r="BZ99" s="342"/>
      <c r="CA99" s="342"/>
      <c r="CB99" s="342"/>
      <c r="CC99" s="342"/>
      <c r="CD99" s="342"/>
      <c r="CE99" s="342"/>
      <c r="CF99" s="342"/>
      <c r="CG99" s="342"/>
    </row>
    <row r="100" spans="2:85">
      <c r="B100">
        <v>0.15342465753424658</v>
      </c>
      <c r="D100">
        <f>D99+$D$72</f>
        <v>0.36250000000000016</v>
      </c>
      <c r="M100" s="72" t="str">
        <f>M92</f>
        <v>1y</v>
      </c>
      <c r="N100" s="61">
        <f>_xll.qlCalendarAdvance("NullCalendar",$D$2,M100)</f>
        <v>43383</v>
      </c>
      <c r="O100" s="62" t="str">
        <f>TEXT(N100,"[$-900]TTMMMJJJ")</f>
        <v>10Okt2018</v>
      </c>
      <c r="P100" s="89" t="e">
        <f>_xll.qlBlackFormulaImpliedStdDev("Put",P44,$D$17/$D$18,P84)/SQRT(($N100-$D$2)/365)</f>
        <v>#VALUE!</v>
      </c>
      <c r="Q100" s="90" t="e">
        <f>_xll.qlBlackFormulaImpliedStdDev("Put",Q44,$D$17/$D$18,Q84)/SQRT(($N100-$D$2)/365)</f>
        <v>#VALUE!</v>
      </c>
      <c r="R100" s="90" t="e">
        <f>_xll.qlBlackFormulaImpliedStdDev("Put",R44,$D$17/$D$18,R84)/SQRT(($N100-$D$2)/365)</f>
        <v>#VALUE!</v>
      </c>
      <c r="S100" s="90" t="e">
        <f>_xll.qlBlackFormulaImpliedStdDev("Put",S44,$D$17/$D$18,S84)/SQRT(($N100-$D$2)/365)</f>
        <v>#VALUE!</v>
      </c>
      <c r="T100" s="90" t="e">
        <f>_xll.qlBlackFormulaImpliedStdDev("Put",T44,$D$17/$D$18,T84)/SQRT(($N100-$D$2)/365)</f>
        <v>#VALUE!</v>
      </c>
      <c r="U100" s="227" t="e">
        <f>_xll.qlBlackFormulaImpliedStdDev("Put",U44,$D$17/$D$18,U84)/SQRT(($N100-$D$2)/365)</f>
        <v>#VALUE!</v>
      </c>
      <c r="V100" s="227" t="e">
        <f>_xll.qlBlackFormulaImpliedStdDev("Put",V44,$D$17/$D$18,V84)/SQRT(($N100-$D$2)/365)</f>
        <v>#VALUE!</v>
      </c>
      <c r="W100" s="227" t="e">
        <f>_xll.qlBlackFormulaImpliedStdDev("Put",W44,$D$17/$D$18,W84)/SQRT(($N100-$D$2)/365)</f>
        <v>#VALUE!</v>
      </c>
      <c r="X100" s="227" t="e">
        <f>_xll.qlBlackFormulaImpliedStdDev("Put",X44,$D$17/$D$18,X84)/SQRT(($N100-$D$2)/365)</f>
        <v>#VALUE!</v>
      </c>
      <c r="Y100" s="227" t="e">
        <f>_xll.qlBlackFormulaImpliedStdDev("Put",Y44,$D$17/$D$18,Y84)/SQRT(($N100-$D$2)/365)</f>
        <v>#VALUE!</v>
      </c>
      <c r="Z100" s="228" t="e">
        <f>_xll.qlBlackFormulaImpliedStdDev("Put",Z44,$D$17/$D$18,Z84)/SQRT(($N100-$D$2)/365)</f>
        <v>#VALUE!</v>
      </c>
      <c r="BS100" s="342"/>
      <c r="BT100" s="342"/>
      <c r="BU100" s="342"/>
      <c r="BV100" s="342"/>
      <c r="BW100" s="342"/>
      <c r="BX100" s="342"/>
      <c r="BY100" s="342"/>
      <c r="BZ100" s="342"/>
      <c r="CA100" s="342"/>
      <c r="CB100" s="342"/>
      <c r="CC100" s="342"/>
      <c r="CD100" s="342"/>
      <c r="CE100" s="342"/>
      <c r="CF100" s="342"/>
      <c r="CG100" s="342"/>
    </row>
    <row r="101" spans="2:85">
      <c r="B101">
        <v>0.15890410958904111</v>
      </c>
      <c r="D101">
        <f>D100+$D$72</f>
        <v>0.37500000000000017</v>
      </c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BS101" s="342"/>
      <c r="BT101" s="342"/>
      <c r="BU101" s="342"/>
      <c r="BV101" s="342"/>
      <c r="BW101" s="342"/>
      <c r="BX101" s="342"/>
      <c r="BY101" s="342"/>
      <c r="BZ101" s="342"/>
      <c r="CA101" s="342"/>
      <c r="CB101" s="342"/>
      <c r="CC101" s="342"/>
      <c r="CD101" s="342"/>
      <c r="CE101" s="342"/>
      <c r="CF101" s="342"/>
      <c r="CG101" s="342"/>
    </row>
    <row r="102" spans="2:85">
      <c r="B102">
        <v>0.16438356164383561</v>
      </c>
      <c r="D102">
        <f>D101+$D$72</f>
        <v>0.38750000000000018</v>
      </c>
      <c r="M102" s="1" t="s">
        <v>211</v>
      </c>
      <c r="N102" s="2"/>
      <c r="O102" s="47"/>
      <c r="P102" s="4" t="s">
        <v>31</v>
      </c>
      <c r="Q102" s="19"/>
      <c r="R102" s="19"/>
      <c r="S102" s="19"/>
      <c r="T102" s="19"/>
      <c r="U102" s="19"/>
      <c r="V102" s="19"/>
      <c r="W102" s="19"/>
      <c r="X102" s="19"/>
      <c r="Y102" s="19"/>
      <c r="Z102" s="40"/>
      <c r="BS102" s="342"/>
      <c r="BT102" s="342"/>
      <c r="BU102" s="342"/>
      <c r="BV102" s="342"/>
      <c r="BW102" s="342"/>
      <c r="BX102" s="342"/>
      <c r="BY102" s="342"/>
      <c r="BZ102" s="342"/>
      <c r="CA102" s="342"/>
      <c r="CB102" s="342"/>
      <c r="CC102" s="342"/>
      <c r="CD102" s="342"/>
      <c r="CE102" s="342"/>
      <c r="CF102" s="342"/>
      <c r="CG102" s="342"/>
    </row>
    <row r="103" spans="2:85">
      <c r="B103">
        <v>0.16986301369863013</v>
      </c>
      <c r="D103">
        <f>D102+$D$72</f>
        <v>0.40000000000000019</v>
      </c>
      <c r="M103" s="49" t="s">
        <v>25</v>
      </c>
      <c r="N103" s="50" t="s">
        <v>30</v>
      </c>
      <c r="O103" s="50" t="s">
        <v>4</v>
      </c>
      <c r="P103" s="72" t="str">
        <f>P95</f>
        <v>5D Put EUR</v>
      </c>
      <c r="Q103" s="73" t="str">
        <f>Q95</f>
        <v>10D Put EUR</v>
      </c>
      <c r="R103" s="73" t="str">
        <f>R95</f>
        <v>15D Put EUR</v>
      </c>
      <c r="S103" s="73" t="str">
        <f>S95</f>
        <v>25D Put EUR</v>
      </c>
      <c r="T103" s="73" t="str">
        <f>T95</f>
        <v>35D Put EUR</v>
      </c>
      <c r="U103" s="73" t="str">
        <f>U95</f>
        <v>ATM</v>
      </c>
      <c r="V103" s="73" t="str">
        <f>V95</f>
        <v>35D Call EUR</v>
      </c>
      <c r="W103" s="73" t="str">
        <f>W95</f>
        <v>25D Call EUR</v>
      </c>
      <c r="X103" s="73" t="str">
        <f>X95</f>
        <v>15D Call EUR</v>
      </c>
      <c r="Y103" s="73" t="str">
        <f>Y95</f>
        <v>10D Call EUR</v>
      </c>
      <c r="Z103" s="62" t="str">
        <f>Z95</f>
        <v>5D Call EUR</v>
      </c>
      <c r="BS103" s="342"/>
      <c r="BT103" s="342"/>
      <c r="BU103" s="342"/>
      <c r="BV103" s="342"/>
      <c r="BW103" s="342"/>
      <c r="BX103" s="342"/>
      <c r="BY103" s="342"/>
      <c r="BZ103" s="342"/>
      <c r="CA103" s="342"/>
      <c r="CB103" s="342"/>
      <c r="CC103" s="342"/>
      <c r="CD103" s="342"/>
      <c r="CE103" s="342"/>
      <c r="CF103" s="342"/>
      <c r="CG103" s="342"/>
    </row>
    <row r="104" spans="2:85">
      <c r="B104">
        <v>0.17534246575342466</v>
      </c>
      <c r="D104">
        <f>D103+$D$72</f>
        <v>0.4125000000000002</v>
      </c>
      <c r="M104" s="70" t="str">
        <f>M96</f>
        <v>1m</v>
      </c>
      <c r="N104" s="57">
        <f>_xll.qlCalendarAdvance("NullCalendar",$D$2,M104)</f>
        <v>43049</v>
      </c>
      <c r="O104" s="58" t="str">
        <f>TEXT(N104,"[$-900]TTMMMJJJ")</f>
        <v>10Nov2017</v>
      </c>
      <c r="P104" s="83" t="e">
        <f>P96</f>
        <v>#VALUE!</v>
      </c>
      <c r="Q104" s="84" t="e">
        <f>Q96</f>
        <v>#VALUE!</v>
      </c>
      <c r="R104" s="84" t="e">
        <f>R96</f>
        <v>#VALUE!</v>
      </c>
      <c r="S104" s="84" t="e">
        <f>S96</f>
        <v>#VALUE!</v>
      </c>
      <c r="T104" s="84" t="e">
        <f>T96</f>
        <v>#VALUE!</v>
      </c>
      <c r="U104" s="84" t="e">
        <f>U88</f>
        <v>#VALUE!</v>
      </c>
      <c r="V104" s="84" t="e">
        <f>V88</f>
        <v>#VALUE!</v>
      </c>
      <c r="W104" s="84" t="e">
        <f>W88</f>
        <v>#VALUE!</v>
      </c>
      <c r="X104" s="84" t="e">
        <f>X88</f>
        <v>#VALUE!</v>
      </c>
      <c r="Y104" s="84" t="e">
        <f>Y88</f>
        <v>#VALUE!</v>
      </c>
      <c r="Z104" s="85" t="e">
        <f>Z88</f>
        <v>#VALUE!</v>
      </c>
      <c r="BS104" s="342"/>
      <c r="BT104" s="342"/>
      <c r="BU104" s="342"/>
      <c r="BV104" s="342"/>
      <c r="BW104" s="342"/>
      <c r="BX104" s="342"/>
      <c r="BY104" s="342"/>
      <c r="BZ104" s="342"/>
      <c r="CA104" s="342"/>
      <c r="CB104" s="342"/>
      <c r="CC104" s="342"/>
      <c r="CD104" s="342"/>
      <c r="CE104" s="342"/>
      <c r="CF104" s="342"/>
      <c r="CG104" s="342"/>
    </row>
    <row r="105" spans="2:85">
      <c r="B105">
        <v>0.18082191780821918</v>
      </c>
      <c r="D105">
        <f>D104+$D$72</f>
        <v>0.42500000000000021</v>
      </c>
      <c r="M105" s="71" t="str">
        <f>M97</f>
        <v>3m</v>
      </c>
      <c r="N105" s="59">
        <f>_xll.qlCalendarAdvance("NullCalendar",$D$2,M105)</f>
        <v>43110</v>
      </c>
      <c r="O105" s="60" t="str">
        <f>TEXT(N105,"[$-900]TTMMMJJJ")</f>
        <v>10Jan2018</v>
      </c>
      <c r="P105" s="86" t="e">
        <f>P97</f>
        <v>#VALUE!</v>
      </c>
      <c r="Q105" s="87" t="e">
        <f>Q97</f>
        <v>#VALUE!</v>
      </c>
      <c r="R105" s="87" t="e">
        <f>R97</f>
        <v>#VALUE!</v>
      </c>
      <c r="S105" s="87" t="e">
        <f>S97</f>
        <v>#VALUE!</v>
      </c>
      <c r="T105" s="87" t="e">
        <f>T97</f>
        <v>#VALUE!</v>
      </c>
      <c r="U105" s="87" t="e">
        <f>U89</f>
        <v>#VALUE!</v>
      </c>
      <c r="V105" s="87" t="e">
        <f>V89</f>
        <v>#VALUE!</v>
      </c>
      <c r="W105" s="87" t="e">
        <f>W89</f>
        <v>#VALUE!</v>
      </c>
      <c r="X105" s="87" t="e">
        <f>X89</f>
        <v>#VALUE!</v>
      </c>
      <c r="Y105" s="87" t="e">
        <f>Y89</f>
        <v>#VALUE!</v>
      </c>
      <c r="Z105" s="88" t="e">
        <f>Z89</f>
        <v>#VALUE!</v>
      </c>
      <c r="BS105" s="342"/>
      <c r="BT105" s="342"/>
      <c r="BU105" s="342"/>
      <c r="BV105" s="342"/>
      <c r="BW105" s="342"/>
      <c r="BX105" s="342"/>
      <c r="BY105" s="342"/>
      <c r="BZ105" s="342"/>
      <c r="CA105" s="342"/>
      <c r="CB105" s="342"/>
      <c r="CC105" s="342"/>
      <c r="CD105" s="342"/>
      <c r="CE105" s="342"/>
      <c r="CF105" s="342"/>
      <c r="CG105" s="342"/>
    </row>
    <row r="106" spans="2:85">
      <c r="B106">
        <v>0.18630136986301371</v>
      </c>
      <c r="D106">
        <f>D105+$D$72</f>
        <v>0.43750000000000022</v>
      </c>
      <c r="M106" s="71" t="str">
        <f>M98</f>
        <v>6m</v>
      </c>
      <c r="N106" s="59">
        <f>_xll.qlCalendarAdvance("NullCalendar",$D$2,M106)</f>
        <v>43200</v>
      </c>
      <c r="O106" s="60" t="str">
        <f>TEXT(N106,"[$-900]TTMMMJJJ")</f>
        <v>10Apr2018</v>
      </c>
      <c r="P106" s="86" t="e">
        <f>P98</f>
        <v>#VALUE!</v>
      </c>
      <c r="Q106" s="87" t="e">
        <f>Q98</f>
        <v>#VALUE!</v>
      </c>
      <c r="R106" s="87" t="e">
        <f>R98</f>
        <v>#VALUE!</v>
      </c>
      <c r="S106" s="87" t="e">
        <f>S98</f>
        <v>#VALUE!</v>
      </c>
      <c r="T106" s="87" t="e">
        <f>T98</f>
        <v>#VALUE!</v>
      </c>
      <c r="U106" s="87" t="e">
        <f>U90</f>
        <v>#VALUE!</v>
      </c>
      <c r="V106" s="87" t="e">
        <f>V90</f>
        <v>#VALUE!</v>
      </c>
      <c r="W106" s="87" t="e">
        <f>W90</f>
        <v>#VALUE!</v>
      </c>
      <c r="X106" s="87" t="e">
        <f>X90</f>
        <v>#VALUE!</v>
      </c>
      <c r="Y106" s="87" t="e">
        <f>Y90</f>
        <v>#VALUE!</v>
      </c>
      <c r="Z106" s="88" t="e">
        <f>Z90</f>
        <v>#VALUE!</v>
      </c>
      <c r="BS106" s="342"/>
      <c r="BT106" s="342"/>
      <c r="BU106" s="342"/>
      <c r="BV106" s="342"/>
      <c r="BW106" s="342"/>
      <c r="BX106" s="342"/>
      <c r="BY106" s="342"/>
      <c r="BZ106" s="342"/>
      <c r="CA106" s="342"/>
      <c r="CB106" s="342"/>
      <c r="CC106" s="342"/>
      <c r="CD106" s="342"/>
      <c r="CE106" s="342"/>
      <c r="CF106" s="342"/>
      <c r="CG106" s="342"/>
    </row>
    <row r="107" spans="2:85">
      <c r="B107">
        <v>0.19178082191780821</v>
      </c>
      <c r="D107">
        <f>D106+$D$72</f>
        <v>0.45000000000000023</v>
      </c>
      <c r="M107" s="71" t="str">
        <f>M99</f>
        <v>9m</v>
      </c>
      <c r="N107" s="59">
        <f>_xll.qlCalendarAdvance("NullCalendar",$D$2,M107)</f>
        <v>43291</v>
      </c>
      <c r="O107" s="60" t="str">
        <f>TEXT(N107,"[$-900]TTMMMJJJ")</f>
        <v>10Jul2018</v>
      </c>
      <c r="P107" s="86" t="e">
        <f>P99</f>
        <v>#VALUE!</v>
      </c>
      <c r="Q107" s="87" t="e">
        <f>Q99</f>
        <v>#VALUE!</v>
      </c>
      <c r="R107" s="87" t="e">
        <f>R99</f>
        <v>#VALUE!</v>
      </c>
      <c r="S107" s="87" t="e">
        <f>S99</f>
        <v>#VALUE!</v>
      </c>
      <c r="T107" s="87" t="e">
        <f>T99</f>
        <v>#VALUE!</v>
      </c>
      <c r="U107" s="87" t="e">
        <f>U91</f>
        <v>#VALUE!</v>
      </c>
      <c r="V107" s="87" t="e">
        <f>V91</f>
        <v>#VALUE!</v>
      </c>
      <c r="W107" s="87" t="e">
        <f>W91</f>
        <v>#VALUE!</v>
      </c>
      <c r="X107" s="87" t="e">
        <f>X91</f>
        <v>#VALUE!</v>
      </c>
      <c r="Y107" s="87" t="e">
        <f>Y91</f>
        <v>#VALUE!</v>
      </c>
      <c r="Z107" s="88" t="e">
        <f>Z91</f>
        <v>#VALUE!</v>
      </c>
      <c r="BS107" s="342"/>
      <c r="BT107" s="342"/>
      <c r="BU107" s="342"/>
      <c r="BV107" s="342"/>
      <c r="BW107" s="342"/>
      <c r="BX107" s="342"/>
      <c r="BY107" s="342"/>
      <c r="BZ107" s="342"/>
      <c r="CA107" s="342"/>
      <c r="CB107" s="342"/>
      <c r="CC107" s="342"/>
      <c r="CD107" s="342"/>
      <c r="CE107" s="342"/>
      <c r="CF107" s="342"/>
      <c r="CG107" s="342"/>
    </row>
    <row r="108" spans="2:85">
      <c r="B108">
        <v>0.19726027397260273</v>
      </c>
      <c r="D108">
        <f>D107+$D$72</f>
        <v>0.46250000000000024</v>
      </c>
      <c r="M108" s="72" t="str">
        <f>M100</f>
        <v>1y</v>
      </c>
      <c r="N108" s="61">
        <f>_xll.qlCalendarAdvance("NullCalendar",$D$2,M108)</f>
        <v>43383</v>
      </c>
      <c r="O108" s="62" t="str">
        <f>TEXT(N108,"[$-900]TTMMMJJJ")</f>
        <v>10Okt2018</v>
      </c>
      <c r="P108" s="89" t="e">
        <f>P100</f>
        <v>#VALUE!</v>
      </c>
      <c r="Q108" s="90" t="e">
        <f>Q100</f>
        <v>#VALUE!</v>
      </c>
      <c r="R108" s="90" t="e">
        <f>R100</f>
        <v>#VALUE!</v>
      </c>
      <c r="S108" s="90" t="e">
        <f>S100</f>
        <v>#VALUE!</v>
      </c>
      <c r="T108" s="90" t="e">
        <f>T100</f>
        <v>#VALUE!</v>
      </c>
      <c r="U108" s="227" t="e">
        <f>U92</f>
        <v>#VALUE!</v>
      </c>
      <c r="V108" s="227" t="e">
        <f>V92</f>
        <v>#VALUE!</v>
      </c>
      <c r="W108" s="227" t="e">
        <f>W92</f>
        <v>#VALUE!</v>
      </c>
      <c r="X108" s="227" t="e">
        <f>X92</f>
        <v>#VALUE!</v>
      </c>
      <c r="Y108" s="227" t="e">
        <f>Y92</f>
        <v>#VALUE!</v>
      </c>
      <c r="Z108" s="228" t="e">
        <f>Z92</f>
        <v>#VALUE!</v>
      </c>
      <c r="BS108" s="342"/>
      <c r="BT108" s="342"/>
      <c r="BU108" s="342"/>
      <c r="BV108" s="342"/>
      <c r="BW108" s="342"/>
      <c r="BX108" s="342"/>
      <c r="BY108" s="342"/>
      <c r="BZ108" s="342"/>
      <c r="CA108" s="342"/>
      <c r="CB108" s="342"/>
      <c r="CC108" s="342"/>
      <c r="CD108" s="342"/>
      <c r="CE108" s="342"/>
      <c r="CF108" s="342"/>
      <c r="CG108" s="342"/>
    </row>
    <row r="109" spans="2:85">
      <c r="B109">
        <v>0.20273972602739726</v>
      </c>
      <c r="D109">
        <f>D108+$D$72</f>
        <v>0.47500000000000026</v>
      </c>
      <c r="BS109" s="342"/>
      <c r="BT109" s="342"/>
      <c r="BU109" s="342"/>
      <c r="BV109" s="342"/>
      <c r="BW109" s="342"/>
      <c r="BX109" s="342"/>
      <c r="BY109" s="342"/>
      <c r="BZ109" s="342"/>
      <c r="CA109" s="342"/>
      <c r="CB109" s="342"/>
      <c r="CC109" s="342"/>
      <c r="CD109" s="342"/>
      <c r="CE109" s="342"/>
      <c r="CF109" s="342"/>
      <c r="CG109" s="342"/>
    </row>
    <row r="110" spans="2:85">
      <c r="B110">
        <v>0.20821917808219179</v>
      </c>
      <c r="D110">
        <f>D109+$D$72</f>
        <v>0.48750000000000027</v>
      </c>
      <c r="M110" s="1" t="s">
        <v>89</v>
      </c>
      <c r="N110" s="2"/>
      <c r="O110" s="47"/>
      <c r="P110" s="4" t="s">
        <v>31</v>
      </c>
      <c r="Q110" s="19"/>
      <c r="R110" s="19"/>
      <c r="S110" s="19"/>
      <c r="T110" s="19"/>
      <c r="U110" s="19"/>
      <c r="V110" s="19"/>
      <c r="W110" s="19"/>
      <c r="X110" s="19"/>
      <c r="Y110" s="19"/>
      <c r="Z110" s="40"/>
      <c r="BS110" s="342"/>
      <c r="BT110" s="342"/>
      <c r="BU110" s="342"/>
      <c r="BV110" s="342"/>
      <c r="BW110" s="342"/>
      <c r="BX110" s="342"/>
      <c r="BY110" s="342"/>
      <c r="BZ110" s="342"/>
      <c r="CA110" s="342"/>
      <c r="CB110" s="342"/>
      <c r="CC110" s="342"/>
      <c r="CD110" s="342"/>
      <c r="CE110" s="342"/>
      <c r="CF110" s="342"/>
      <c r="CG110" s="342"/>
    </row>
    <row r="111" spans="2:85">
      <c r="B111">
        <v>0.21369863013698631</v>
      </c>
      <c r="D111">
        <f>D110+$D$72</f>
        <v>0.50000000000000022</v>
      </c>
      <c r="M111" s="49" t="s">
        <v>25</v>
      </c>
      <c r="N111" s="50" t="s">
        <v>30</v>
      </c>
      <c r="O111" s="50" t="s">
        <v>4</v>
      </c>
      <c r="P111" s="72" t="str">
        <f>P95</f>
        <v>5D Put EUR</v>
      </c>
      <c r="Q111" s="73" t="str">
        <f>Q95</f>
        <v>10D Put EUR</v>
      </c>
      <c r="R111" s="73" t="str">
        <f>R95</f>
        <v>15D Put EUR</v>
      </c>
      <c r="S111" s="73" t="str">
        <f>S95</f>
        <v>25D Put EUR</v>
      </c>
      <c r="T111" s="73" t="str">
        <f>T95</f>
        <v>35D Put EUR</v>
      </c>
      <c r="U111" s="73" t="str">
        <f>U95</f>
        <v>ATM</v>
      </c>
      <c r="V111" s="73" t="str">
        <f>V95</f>
        <v>35D Call EUR</v>
      </c>
      <c r="W111" s="73" t="str">
        <f>W95</f>
        <v>25D Call EUR</v>
      </c>
      <c r="X111" s="73" t="str">
        <f>X95</f>
        <v>15D Call EUR</v>
      </c>
      <c r="Y111" s="73" t="str">
        <f>Y95</f>
        <v>10D Call EUR</v>
      </c>
      <c r="Z111" s="62" t="str">
        <f>Z95</f>
        <v>5D Call EUR</v>
      </c>
      <c r="BS111" s="342"/>
      <c r="BT111" s="342"/>
      <c r="BU111" s="342"/>
      <c r="BV111" s="342"/>
      <c r="BW111" s="342"/>
      <c r="BX111" s="342"/>
      <c r="BY111" s="342"/>
      <c r="BZ111" s="342"/>
      <c r="CA111" s="342"/>
      <c r="CB111" s="342"/>
      <c r="CC111" s="342"/>
      <c r="CD111" s="342"/>
      <c r="CE111" s="342"/>
      <c r="CF111" s="342"/>
      <c r="CG111" s="342"/>
    </row>
    <row r="112" spans="2:85">
      <c r="B112">
        <v>0.21917808219178081</v>
      </c>
      <c r="D112">
        <f>D111+$D$72</f>
        <v>0.51250000000000018</v>
      </c>
      <c r="M112" s="70" t="str">
        <f>M96</f>
        <v>1m</v>
      </c>
      <c r="N112" s="57">
        <f>_xll.qlCalendarAdvance("NullCalendar",$D$2,M112)</f>
        <v>43049</v>
      </c>
      <c r="O112" s="58" t="str">
        <f>TEXT(N112,"[$-900]TTMMMJJJ")</f>
        <v>10Nov2017</v>
      </c>
      <c r="P112" s="83">
        <f>_xll.qlBlackVolTermStructureBlackVol(II_VolSurface_Calender!$C$33,$N112,P40,TRUE)</f>
        <v>9.1930666913317194E-2</v>
      </c>
      <c r="Q112" s="84">
        <f>_xll.qlBlackVolTermStructureBlackVol(II_VolSurface_Calender!$C$33,$N112,Q40,TRUE)</f>
        <v>8.4177468909851866E-2</v>
      </c>
      <c r="R112" s="84">
        <f>_xll.qlBlackVolTermStructureBlackVol(II_VolSurface_Calender!$C$33,$N112,R40,TRUE)</f>
        <v>7.8358097176338348E-2</v>
      </c>
      <c r="S112" s="84">
        <f>_xll.qlBlackVolTermStructureBlackVol(II_VolSurface_Calender!$C$33,$N112,S40,TRUE)</f>
        <v>7.4667528242966186E-2</v>
      </c>
      <c r="T112" s="84">
        <f>_xll.qlBlackVolTermStructureBlackVol(II_VolSurface_Calender!$C$33,$N112,T40,TRUE)</f>
        <v>7.3239999824582305E-2</v>
      </c>
      <c r="U112" s="84">
        <f>_xll.qlBlackVolTermStructureBlackVol(II_VolSurface_Calender!$C$33,$N112,U40,TRUE)</f>
        <v>7.3850000000143079E-2</v>
      </c>
      <c r="V112" s="84">
        <f>_xll.qlBlackVolTermStructureBlackVol(II_VolSurface_Calender!$C$33,$N112,V40,TRUE)</f>
        <v>7.5909999885945545E-2</v>
      </c>
      <c r="W112" s="84">
        <f>_xll.qlBlackVolTermStructureBlackVol(II_VolSurface_Calender!$C$33,$N112,W40,TRUE)</f>
        <v>7.8789927704392387E-2</v>
      </c>
      <c r="X112" s="84">
        <f>_xll.qlBlackVolTermStructureBlackVol(II_VolSurface_Calender!$C$33,$N112,X40,TRUE)</f>
        <v>8.2038807595436608E-2</v>
      </c>
      <c r="Y112" s="84">
        <f>_xll.qlBlackVolTermStructureBlackVol(II_VolSurface_Calender!$C$33,$N112,Y40,TRUE)</f>
        <v>8.5394107932141805E-2</v>
      </c>
      <c r="Z112" s="85">
        <f>_xll.qlBlackVolTermStructureBlackVol(II_VolSurface_Calender!$C$33,$N112,Z40,TRUE)</f>
        <v>8.8718011263856478E-2</v>
      </c>
      <c r="BS112" s="342"/>
      <c r="BT112" s="342"/>
      <c r="BU112" s="342"/>
      <c r="BV112" s="342"/>
      <c r="BW112" s="342"/>
      <c r="BX112" s="342"/>
      <c r="BY112" s="342"/>
      <c r="BZ112" s="342"/>
      <c r="CA112" s="342"/>
      <c r="CB112" s="342"/>
      <c r="CC112" s="342"/>
      <c r="CD112" s="342"/>
      <c r="CE112" s="342"/>
      <c r="CF112" s="342"/>
      <c r="CG112" s="342"/>
    </row>
    <row r="113" spans="2:85">
      <c r="B113">
        <v>0.22465753424657534</v>
      </c>
      <c r="D113">
        <f>D112+$D$72</f>
        <v>0.52500000000000013</v>
      </c>
      <c r="M113" s="71" t="str">
        <f>M97</f>
        <v>3m</v>
      </c>
      <c r="N113" s="59">
        <f>_xll.qlCalendarAdvance("NullCalendar",$D$2,M113)</f>
        <v>43110</v>
      </c>
      <c r="O113" s="60" t="str">
        <f>TEXT(N113,"[$-900]TTMMMJJJ")</f>
        <v>10Jan2018</v>
      </c>
      <c r="P113" s="86">
        <f>_xll.qlBlackVolTermStructureBlackVol(II_VolSurface_Calender!$C$33,$N113,P41,TRUE)</f>
        <v>9.1465079914757011E-2</v>
      </c>
      <c r="Q113" s="87">
        <f>_xll.qlBlackVolTermStructureBlackVol(II_VolSurface_Calender!$C$33,$N113,Q41,TRUE)</f>
        <v>8.3957412080767346E-2</v>
      </c>
      <c r="R113" s="87">
        <f>_xll.qlBlackVolTermStructureBlackVol(II_VolSurface_Calender!$C$33,$N113,R41,TRUE)</f>
        <v>7.8467953381280389E-2</v>
      </c>
      <c r="S113" s="87">
        <f>_xll.qlBlackVolTermStructureBlackVol(II_VolSurface_Calender!$C$33,$N113,S41,TRUE)</f>
        <v>7.5202318816639691E-2</v>
      </c>
      <c r="T113" s="87">
        <f>_xll.qlBlackVolTermStructureBlackVol(II_VolSurface_Calender!$C$33,$N113,T41,TRUE)</f>
        <v>7.4251082854060776E-2</v>
      </c>
      <c r="U113" s="87">
        <f>_xll.qlBlackVolTermStructureBlackVol(II_VolSurface_Calender!$C$33,$N113,U41,TRUE)</f>
        <v>7.5299725965350325E-2</v>
      </c>
      <c r="V113" s="87">
        <f>_xll.qlBlackVolTermStructureBlackVol(II_VolSurface_Calender!$C$33,$N113,V41,TRUE)</f>
        <v>7.7702694598497019E-2</v>
      </c>
      <c r="W113" s="87">
        <f>_xll.qlBlackVolTermStructureBlackVol(II_VolSurface_Calender!$C$33,$N113,W41,TRUE)</f>
        <v>8.0831185570961403E-2</v>
      </c>
      <c r="X113" s="87">
        <f>_xll.qlBlackVolTermStructureBlackVol(II_VolSurface_Calender!$C$33,$N113,X41,TRUE)</f>
        <v>8.425982766071588E-2</v>
      </c>
      <c r="Y113" s="87">
        <f>_xll.qlBlackVolTermStructureBlackVol(II_VolSurface_Calender!$C$33,$N113,Y41,TRUE)</f>
        <v>8.774957946011655E-2</v>
      </c>
      <c r="Z113" s="88">
        <f>_xll.qlBlackVolTermStructureBlackVol(II_VolSurface_Calender!$C$33,$N113,Z41,TRUE)</f>
        <v>9.1178417606207304E-2</v>
      </c>
      <c r="BS113" s="342"/>
      <c r="BT113" s="342"/>
      <c r="BU113" s="342"/>
      <c r="BV113" s="342"/>
      <c r="BW113" s="342"/>
      <c r="BX113" s="342"/>
      <c r="BY113" s="342"/>
      <c r="BZ113" s="342"/>
      <c r="CA113" s="342"/>
      <c r="CB113" s="342"/>
      <c r="CC113" s="342"/>
      <c r="CD113" s="342"/>
      <c r="CE113" s="342"/>
      <c r="CF113" s="342"/>
      <c r="CG113" s="342"/>
    </row>
    <row r="114" spans="2:85">
      <c r="B114">
        <v>0.23013698630136986</v>
      </c>
      <c r="D114">
        <f>D113+$D$72</f>
        <v>0.53750000000000009</v>
      </c>
      <c r="M114" s="71" t="str">
        <f>M98</f>
        <v>6m</v>
      </c>
      <c r="N114" s="59">
        <f>_xll.qlCalendarAdvance("NullCalendar",$D$2,M114)</f>
        <v>43200</v>
      </c>
      <c r="O114" s="60" t="str">
        <f>TEXT(N114,"[$-900]TTMMMJJJ")</f>
        <v>10Apr2018</v>
      </c>
      <c r="P114" s="86">
        <f>_xll.qlBlackVolTermStructureBlackVol(II_VolSurface_Calender!$C$33,$N114,P42,TRUE)</f>
        <v>9.7424939812312927E-2</v>
      </c>
      <c r="Q114" s="87">
        <f>_xll.qlBlackVolTermStructureBlackVol(II_VolSurface_Calender!$C$33,$N114,Q42,TRUE)</f>
        <v>8.8668339604781835E-2</v>
      </c>
      <c r="R114" s="87">
        <f>_xll.qlBlackVolTermStructureBlackVol(II_VolSurface_Calender!$C$33,$N114,R42,TRUE)</f>
        <v>8.2142586377201746E-2</v>
      </c>
      <c r="S114" s="87">
        <f>_xll.qlBlackVolTermStructureBlackVol(II_VolSurface_Calender!$C$33,$N114,S42,TRUE)</f>
        <v>7.8198367966507518E-2</v>
      </c>
      <c r="T114" s="87">
        <f>_xll.qlBlackVolTermStructureBlackVol(II_VolSurface_Calender!$C$33,$N114,T42,TRUE)</f>
        <v>7.7106564199166727E-2</v>
      </c>
      <c r="U114" s="87">
        <f>_xll.qlBlackVolTermStructureBlackVol(II_VolSurface_Calender!$C$33,$N114,U42,TRUE)</f>
        <v>7.8554856274886745E-2</v>
      </c>
      <c r="V114" s="87">
        <f>_xll.qlBlackVolTermStructureBlackVol(II_VolSurface_Calender!$C$33,$N114,V42,TRUE)</f>
        <v>8.1680445614489075E-2</v>
      </c>
      <c r="W114" s="87">
        <f>_xll.qlBlackVolTermStructureBlackVol(II_VolSurface_Calender!$C$33,$N114,W42,TRUE)</f>
        <v>8.5634368423199062E-2</v>
      </c>
      <c r="X114" s="87">
        <f>_xll.qlBlackVolTermStructureBlackVol(II_VolSurface_Calender!$C$33,$N114,X42,TRUE)</f>
        <v>8.9876017386360502E-2</v>
      </c>
      <c r="Y114" s="87">
        <f>_xll.qlBlackVolTermStructureBlackVol(II_VolSurface_Calender!$C$33,$N114,Y42,TRUE)</f>
        <v>9.4125522067591463E-2</v>
      </c>
      <c r="Z114" s="88">
        <f>_xll.qlBlackVolTermStructureBlackVol(II_VolSurface_Calender!$C$33,$N114,Z42,TRUE)</f>
        <v>9.8252587266233329E-2</v>
      </c>
      <c r="BS114" s="342"/>
      <c r="BT114" s="342"/>
      <c r="BU114" s="342"/>
      <c r="BV114" s="342"/>
      <c r="BW114" s="342"/>
      <c r="BX114" s="342"/>
      <c r="BY114" s="342"/>
      <c r="BZ114" s="342"/>
      <c r="CA114" s="342"/>
      <c r="CB114" s="342"/>
      <c r="CC114" s="342"/>
      <c r="CD114" s="342"/>
      <c r="CE114" s="342"/>
      <c r="CF114" s="342"/>
      <c r="CG114" s="342"/>
    </row>
    <row r="115" spans="2:85">
      <c r="B115">
        <v>0.23561643835616439</v>
      </c>
      <c r="D115">
        <f>D114+$D$72</f>
        <v>0.55000000000000004</v>
      </c>
      <c r="M115" s="71" t="str">
        <f>M99</f>
        <v>9m</v>
      </c>
      <c r="N115" s="59">
        <f>_xll.qlCalendarAdvance("NullCalendar",$D$2,M115)</f>
        <v>43291</v>
      </c>
      <c r="O115" s="60" t="str">
        <f>TEXT(N115,"[$-900]TTMMMJJJ")</f>
        <v>10Jul2018</v>
      </c>
      <c r="P115" s="86">
        <f>_xll.qlBlackVolTermStructureBlackVol(II_VolSurface_Calender!$C$33,$N115,P43,TRUE)</f>
        <v>0.10057804335268575</v>
      </c>
      <c r="Q115" s="87">
        <f>_xll.qlBlackVolTermStructureBlackVol(II_VolSurface_Calender!$C$33,$N115,Q43,TRUE)</f>
        <v>9.1024751307614421E-2</v>
      </c>
      <c r="R115" s="87">
        <f>_xll.qlBlackVolTermStructureBlackVol(II_VolSurface_Calender!$C$33,$N115,R43,TRUE)</f>
        <v>8.3810726529375199E-2</v>
      </c>
      <c r="S115" s="87">
        <f>_xll.qlBlackVolTermStructureBlackVol(II_VolSurface_Calender!$C$33,$N115,S43,TRUE)</f>
        <v>7.938859160724196E-2</v>
      </c>
      <c r="T115" s="87">
        <f>_xll.qlBlackVolTermStructureBlackVol(II_VolSurface_Calender!$C$33,$N115,T43,TRUE)</f>
        <v>7.8184881628617794E-2</v>
      </c>
      <c r="U115" s="87">
        <f>_xll.qlBlackVolTermStructureBlackVol(II_VolSurface_Calender!$C$33,$N115,U43,TRUE)</f>
        <v>7.9914836119458599E-2</v>
      </c>
      <c r="V115" s="87">
        <f>_xll.qlBlackVolTermStructureBlackVol(II_VolSurface_Calender!$C$33,$N115,V43,TRUE)</f>
        <v>8.3549091444528517E-2</v>
      </c>
      <c r="W115" s="87">
        <f>_xll.qlBlackVolTermStructureBlackVol(II_VolSurface_Calender!$C$33,$N115,W43,TRUE)</f>
        <v>8.8069465313104944E-2</v>
      </c>
      <c r="X115" s="87">
        <f>_xll.qlBlackVolTermStructureBlackVol(II_VolSurface_Calender!$C$33,$N115,X43,TRUE)</f>
        <v>9.2855790337934369E-2</v>
      </c>
      <c r="Y115" s="87">
        <f>_xll.qlBlackVolTermStructureBlackVol(II_VolSurface_Calender!$C$33,$N115,Y43,TRUE)</f>
        <v>9.7605261997148654E-2</v>
      </c>
      <c r="Z115" s="88">
        <f>_xll.qlBlackVolTermStructureBlackVol(II_VolSurface_Calender!$C$33,$N115,Z43,TRUE)</f>
        <v>0.10218607409215091</v>
      </c>
      <c r="BS115" s="342"/>
      <c r="BT115" s="342"/>
      <c r="BU115" s="342"/>
      <c r="BV115" s="342"/>
      <c r="BW115" s="342"/>
      <c r="BX115" s="342"/>
      <c r="BY115" s="342"/>
      <c r="BZ115" s="342"/>
      <c r="CA115" s="342"/>
      <c r="CB115" s="342"/>
      <c r="CC115" s="342"/>
      <c r="CD115" s="342"/>
      <c r="CE115" s="342"/>
      <c r="CF115" s="342"/>
      <c r="CG115" s="342"/>
    </row>
    <row r="116" spans="2:85">
      <c r="B116">
        <v>0.24109589041095891</v>
      </c>
      <c r="D116">
        <f>D115+$D$72</f>
        <v>0.5625</v>
      </c>
      <c r="M116" s="72" t="str">
        <f>M100</f>
        <v>1y</v>
      </c>
      <c r="N116" s="61">
        <f>_xll.qlCalendarAdvance("NullCalendar",$D$2,M116)</f>
        <v>43383</v>
      </c>
      <c r="O116" s="62" t="str">
        <f>TEXT(N116,"[$-900]TTMMMJJJ")</f>
        <v>10Okt2018</v>
      </c>
      <c r="P116" s="89">
        <f>_xll.qlBlackVolTermStructureBlackVol(II_VolSurface_Calender!$C$33,$N116,P44,TRUE)</f>
        <v>0.10411427597206163</v>
      </c>
      <c r="Q116" s="90">
        <f>_xll.qlBlackVolTermStructureBlackVol(II_VolSurface_Calender!$C$33,$N116,Q44,TRUE)</f>
        <v>9.3626502262534828E-2</v>
      </c>
      <c r="R116" s="90">
        <f>_xll.qlBlackVolTermStructureBlackVol(II_VolSurface_Calender!$C$33,$N116,R44,TRUE)</f>
        <v>8.5563980710290449E-2</v>
      </c>
      <c r="S116" s="90">
        <f>_xll.qlBlackVolTermStructureBlackVol(II_VolSurface_Calender!$C$33,$N116,S44,TRUE)</f>
        <v>8.048463326382875E-2</v>
      </c>
      <c r="T116" s="90">
        <f>_xll.qlBlackVolTermStructureBlackVol(II_VolSurface_Calender!$C$33,$N116,T44,TRUE)</f>
        <v>7.9025925836837707E-2</v>
      </c>
      <c r="U116" s="90">
        <f>_xll.qlBlackVolTermStructureBlackVol(II_VolSurface_Calender!$C$33,$N116,U44,TRUE)</f>
        <v>8.0990650752885737E-2</v>
      </c>
      <c r="V116" s="90">
        <f>_xll.qlBlackVolTermStructureBlackVol(II_VolSurface_Calender!$C$33,$N116,V44,TRUE)</f>
        <v>8.5157960230710164E-2</v>
      </c>
      <c r="W116" s="90">
        <f>_xll.qlBlackVolTermStructureBlackVol(II_VolSurface_Calender!$C$33,$N116,W44,TRUE)</f>
        <v>9.0291899543684273E-2</v>
      </c>
      <c r="X116" s="90">
        <f>_xll.qlBlackVolTermStructureBlackVol(II_VolSurface_Calender!$C$33,$N116,X44,TRUE)</f>
        <v>9.5671280057994731E-2</v>
      </c>
      <c r="Y116" s="90">
        <f>_xll.qlBlackVolTermStructureBlackVol(II_VolSurface_Calender!$C$33,$N116,Y44,TRUE)</f>
        <v>0.10096514521073204</v>
      </c>
      <c r="Z116" s="91">
        <f>_xll.qlBlackVolTermStructureBlackVol(II_VolSurface_Calender!$C$33,$N116,Z44,TRUE)</f>
        <v>0.10603973853930813</v>
      </c>
      <c r="BS116" s="342"/>
      <c r="BT116" s="342"/>
      <c r="BU116" s="342"/>
      <c r="BV116" s="342"/>
      <c r="BW116" s="342"/>
      <c r="BX116" s="342"/>
      <c r="BY116" s="342"/>
      <c r="BZ116" s="342"/>
      <c r="CA116" s="342"/>
      <c r="CB116" s="342"/>
      <c r="CC116" s="342"/>
      <c r="CD116" s="342"/>
      <c r="CE116" s="342"/>
      <c r="CF116" s="342"/>
      <c r="CG116" s="342"/>
    </row>
    <row r="117" spans="2:85">
      <c r="B117">
        <v>0.24657534246575341</v>
      </c>
      <c r="D117">
        <f>D116+$D$72</f>
        <v>0.57499999999999996</v>
      </c>
      <c r="BS117" s="342"/>
      <c r="BT117" s="342"/>
      <c r="BU117" s="342"/>
      <c r="BV117" s="342"/>
      <c r="BW117" s="342"/>
      <c r="BX117" s="342"/>
      <c r="BY117" s="342"/>
      <c r="BZ117" s="342"/>
      <c r="CA117" s="342"/>
      <c r="CB117" s="342"/>
      <c r="CC117" s="342"/>
      <c r="CD117" s="342"/>
      <c r="CE117" s="342"/>
      <c r="CF117" s="342"/>
      <c r="CG117" s="342"/>
    </row>
    <row r="118" spans="2:85">
      <c r="B118">
        <v>0.25205479452054796</v>
      </c>
      <c r="D118">
        <f>D117+$D$72</f>
        <v>0.58749999999999991</v>
      </c>
      <c r="M118" s="1" t="s">
        <v>210</v>
      </c>
      <c r="N118" s="2"/>
      <c r="O118" s="47"/>
      <c r="P118" s="4" t="s">
        <v>31</v>
      </c>
      <c r="Q118" s="19"/>
      <c r="R118" s="19"/>
      <c r="S118" s="19"/>
      <c r="T118" s="19"/>
      <c r="U118" s="19"/>
      <c r="V118" s="19"/>
      <c r="W118" s="19"/>
      <c r="X118" s="19"/>
      <c r="Y118" s="19"/>
      <c r="Z118" s="40"/>
      <c r="BS118" s="342"/>
      <c r="BT118" s="342"/>
      <c r="BU118" s="342"/>
      <c r="BV118" s="342"/>
      <c r="BW118" s="342"/>
      <c r="BX118" s="342"/>
      <c r="BY118" s="342"/>
      <c r="BZ118" s="342"/>
      <c r="CA118" s="342"/>
      <c r="CB118" s="342"/>
      <c r="CC118" s="342"/>
      <c r="CD118" s="342"/>
      <c r="CE118" s="342"/>
      <c r="CF118" s="342"/>
      <c r="CG118" s="342"/>
    </row>
    <row r="119" spans="2:85">
      <c r="B119">
        <v>0.25753424657534246</v>
      </c>
      <c r="D119">
        <f>D118+$D$72</f>
        <v>0.59999999999999987</v>
      </c>
      <c r="M119" s="49" t="s">
        <v>25</v>
      </c>
      <c r="N119" s="50" t="s">
        <v>30</v>
      </c>
      <c r="O119" s="50" t="s">
        <v>4</v>
      </c>
      <c r="P119" s="72" t="str">
        <f>P111</f>
        <v>5D Put EUR</v>
      </c>
      <c r="Q119" s="73" t="str">
        <f>Q111</f>
        <v>10D Put EUR</v>
      </c>
      <c r="R119" s="73" t="str">
        <f>R111</f>
        <v>15D Put EUR</v>
      </c>
      <c r="S119" s="73" t="str">
        <f>S111</f>
        <v>25D Put EUR</v>
      </c>
      <c r="T119" s="73" t="str">
        <f>T111</f>
        <v>35D Put EUR</v>
      </c>
      <c r="U119" s="73" t="str">
        <f>U111</f>
        <v>ATM</v>
      </c>
      <c r="V119" s="73" t="str">
        <f>V111</f>
        <v>35D Call EUR</v>
      </c>
      <c r="W119" s="73" t="str">
        <f>W111</f>
        <v>25D Call EUR</v>
      </c>
      <c r="X119" s="73" t="str">
        <f>X111</f>
        <v>15D Call EUR</v>
      </c>
      <c r="Y119" s="73" t="str">
        <f>Y111</f>
        <v>10D Call EUR</v>
      </c>
      <c r="Z119" s="62" t="str">
        <f>Z111</f>
        <v>5D Call EUR</v>
      </c>
      <c r="BS119" s="342"/>
      <c r="BT119" s="342"/>
      <c r="BU119" s="342"/>
      <c r="BV119" s="342"/>
      <c r="BW119" s="342"/>
      <c r="BX119" s="342"/>
      <c r="BY119" s="342"/>
      <c r="BZ119" s="342"/>
      <c r="CA119" s="342"/>
      <c r="CB119" s="342"/>
      <c r="CC119" s="342"/>
      <c r="CD119" s="342"/>
      <c r="CE119" s="342"/>
      <c r="CF119" s="342"/>
      <c r="CG119" s="342"/>
    </row>
    <row r="120" spans="2:85">
      <c r="B120">
        <v>0.26301369863013696</v>
      </c>
      <c r="D120">
        <f>D119+$D$72</f>
        <v>0.61249999999999982</v>
      </c>
      <c r="M120" s="70" t="str">
        <f>M112</f>
        <v>1m</v>
      </c>
      <c r="N120" s="57">
        <f>_xll.qlCalendarAdvance("NullCalendar",$D$2,M120)</f>
        <v>43049</v>
      </c>
      <c r="O120" s="58" t="str">
        <f>TEXT(N120,"[$-900]TTMMMJJJ")</f>
        <v>10Nov2017</v>
      </c>
      <c r="P120" s="332" t="e">
        <f>P104-P112</f>
        <v>#VALUE!</v>
      </c>
      <c r="Q120" s="333" t="e">
        <f>Q104-Q112</f>
        <v>#VALUE!</v>
      </c>
      <c r="R120" s="333" t="e">
        <f>R104-R112</f>
        <v>#VALUE!</v>
      </c>
      <c r="S120" s="333" t="e">
        <f>S104-S112</f>
        <v>#VALUE!</v>
      </c>
      <c r="T120" s="333" t="e">
        <f>T104-T112</f>
        <v>#VALUE!</v>
      </c>
      <c r="U120" s="333" t="e">
        <f>U104-U112</f>
        <v>#VALUE!</v>
      </c>
      <c r="V120" s="333" t="e">
        <f>V104-V112</f>
        <v>#VALUE!</v>
      </c>
      <c r="W120" s="333" t="e">
        <f>W104-W112</f>
        <v>#VALUE!</v>
      </c>
      <c r="X120" s="333" t="e">
        <f>X104-X112</f>
        <v>#VALUE!</v>
      </c>
      <c r="Y120" s="333" t="e">
        <f>Y104-Y112</f>
        <v>#VALUE!</v>
      </c>
      <c r="Z120" s="334" t="e">
        <f>Z104-Z112</f>
        <v>#VALUE!</v>
      </c>
      <c r="BS120" s="342"/>
      <c r="BT120" s="342"/>
      <c r="BU120" s="342"/>
      <c r="BV120" s="342"/>
      <c r="BW120" s="342"/>
      <c r="BX120" s="342"/>
      <c r="BY120" s="342"/>
      <c r="BZ120" s="342"/>
      <c r="CA120" s="342"/>
      <c r="CB120" s="342"/>
      <c r="CC120" s="342"/>
      <c r="CD120" s="342"/>
      <c r="CE120" s="342"/>
      <c r="CF120" s="342"/>
      <c r="CG120" s="342"/>
    </row>
    <row r="121" spans="2:85">
      <c r="B121">
        <v>0.26849315068493151</v>
      </c>
      <c r="D121">
        <f>D120+$D$72</f>
        <v>0.62499999999999978</v>
      </c>
      <c r="M121" s="71" t="str">
        <f>M113</f>
        <v>3m</v>
      </c>
      <c r="N121" s="59">
        <f>_xll.qlCalendarAdvance("NullCalendar",$D$2,M121)</f>
        <v>43110</v>
      </c>
      <c r="O121" s="60" t="str">
        <f>TEXT(N121,"[$-900]TTMMMJJJ")</f>
        <v>10Jan2018</v>
      </c>
      <c r="P121" s="335" t="e">
        <f>P105-P113</f>
        <v>#VALUE!</v>
      </c>
      <c r="Q121" s="336" t="e">
        <f>Q105-Q113</f>
        <v>#VALUE!</v>
      </c>
      <c r="R121" s="336" t="e">
        <f>R105-R113</f>
        <v>#VALUE!</v>
      </c>
      <c r="S121" s="336" t="e">
        <f>S105-S113</f>
        <v>#VALUE!</v>
      </c>
      <c r="T121" s="336" t="e">
        <f>T105-T113</f>
        <v>#VALUE!</v>
      </c>
      <c r="U121" s="336" t="e">
        <f>U105-U113</f>
        <v>#VALUE!</v>
      </c>
      <c r="V121" s="336" t="e">
        <f>V105-V113</f>
        <v>#VALUE!</v>
      </c>
      <c r="W121" s="336" t="e">
        <f>W105-W113</f>
        <v>#VALUE!</v>
      </c>
      <c r="X121" s="336" t="e">
        <f>X105-X113</f>
        <v>#VALUE!</v>
      </c>
      <c r="Y121" s="336" t="e">
        <f>Y105-Y113</f>
        <v>#VALUE!</v>
      </c>
      <c r="Z121" s="337" t="e">
        <f>Z105-Z113</f>
        <v>#VALUE!</v>
      </c>
      <c r="BS121" s="342"/>
      <c r="BT121" s="342"/>
      <c r="BU121" s="342"/>
      <c r="BV121" s="342"/>
      <c r="BW121" s="342"/>
      <c r="BX121" s="342"/>
      <c r="BY121" s="342"/>
      <c r="BZ121" s="342"/>
      <c r="CA121" s="342"/>
      <c r="CB121" s="342"/>
      <c r="CC121" s="342"/>
      <c r="CD121" s="342"/>
      <c r="CE121" s="342"/>
      <c r="CF121" s="342"/>
      <c r="CG121" s="342"/>
    </row>
    <row r="122" spans="2:85">
      <c r="B122">
        <v>0.27397260273972601</v>
      </c>
      <c r="D122">
        <f>D121+$D$72</f>
        <v>0.63749999999999973</v>
      </c>
      <c r="M122" s="71" t="str">
        <f>M114</f>
        <v>6m</v>
      </c>
      <c r="N122" s="59">
        <f>_xll.qlCalendarAdvance("NullCalendar",$D$2,M122)</f>
        <v>43200</v>
      </c>
      <c r="O122" s="60" t="str">
        <f>TEXT(N122,"[$-900]TTMMMJJJ")</f>
        <v>10Apr2018</v>
      </c>
      <c r="P122" s="335" t="e">
        <f>P106-P114</f>
        <v>#VALUE!</v>
      </c>
      <c r="Q122" s="336" t="e">
        <f>Q106-Q114</f>
        <v>#VALUE!</v>
      </c>
      <c r="R122" s="336" t="e">
        <f>R106-R114</f>
        <v>#VALUE!</v>
      </c>
      <c r="S122" s="336" t="e">
        <f>S106-S114</f>
        <v>#VALUE!</v>
      </c>
      <c r="T122" s="336" t="e">
        <f>T106-T114</f>
        <v>#VALUE!</v>
      </c>
      <c r="U122" s="336" t="e">
        <f>U106-U114</f>
        <v>#VALUE!</v>
      </c>
      <c r="V122" s="336" t="e">
        <f>V106-V114</f>
        <v>#VALUE!</v>
      </c>
      <c r="W122" s="336" t="e">
        <f>W106-W114</f>
        <v>#VALUE!</v>
      </c>
      <c r="X122" s="336" t="e">
        <f>X106-X114</f>
        <v>#VALUE!</v>
      </c>
      <c r="Y122" s="336" t="e">
        <f>Y106-Y114</f>
        <v>#VALUE!</v>
      </c>
      <c r="Z122" s="337" t="e">
        <f>Z106-Z114</f>
        <v>#VALUE!</v>
      </c>
      <c r="BS122" s="342"/>
      <c r="BT122" s="342"/>
      <c r="BU122" s="342"/>
      <c r="BV122" s="342"/>
      <c r="BW122" s="342"/>
      <c r="BX122" s="342"/>
      <c r="BY122" s="342"/>
      <c r="BZ122" s="342"/>
      <c r="CA122" s="342"/>
      <c r="CB122" s="342"/>
      <c r="CC122" s="342"/>
      <c r="CD122" s="342"/>
      <c r="CE122" s="342"/>
      <c r="CF122" s="342"/>
      <c r="CG122" s="342"/>
    </row>
    <row r="123" spans="2:85">
      <c r="B123">
        <v>0.27945205479452057</v>
      </c>
      <c r="D123">
        <f>D122+$D$72</f>
        <v>0.64999999999999969</v>
      </c>
      <c r="M123" s="71" t="str">
        <f>M115</f>
        <v>9m</v>
      </c>
      <c r="N123" s="59">
        <f>_xll.qlCalendarAdvance("NullCalendar",$D$2,M123)</f>
        <v>43291</v>
      </c>
      <c r="O123" s="60" t="str">
        <f>TEXT(N123,"[$-900]TTMMMJJJ")</f>
        <v>10Jul2018</v>
      </c>
      <c r="P123" s="335" t="e">
        <f>P107-P115</f>
        <v>#VALUE!</v>
      </c>
      <c r="Q123" s="336" t="e">
        <f>Q107-Q115</f>
        <v>#VALUE!</v>
      </c>
      <c r="R123" s="336" t="e">
        <f>R107-R115</f>
        <v>#VALUE!</v>
      </c>
      <c r="S123" s="336" t="e">
        <f>S107-S115</f>
        <v>#VALUE!</v>
      </c>
      <c r="T123" s="336" t="e">
        <f>T107-T115</f>
        <v>#VALUE!</v>
      </c>
      <c r="U123" s="336" t="e">
        <f>U107-U115</f>
        <v>#VALUE!</v>
      </c>
      <c r="V123" s="336" t="e">
        <f>V107-V115</f>
        <v>#VALUE!</v>
      </c>
      <c r="W123" s="336" t="e">
        <f>W107-W115</f>
        <v>#VALUE!</v>
      </c>
      <c r="X123" s="336" t="e">
        <f>X107-X115</f>
        <v>#VALUE!</v>
      </c>
      <c r="Y123" s="336" t="e">
        <f>Y107-Y115</f>
        <v>#VALUE!</v>
      </c>
      <c r="Z123" s="337" t="e">
        <f>Z107-Z115</f>
        <v>#VALUE!</v>
      </c>
      <c r="BS123" s="342"/>
      <c r="BT123" s="342"/>
      <c r="BU123" s="342"/>
      <c r="BV123" s="342"/>
      <c r="BW123" s="342"/>
      <c r="BX123" s="342"/>
      <c r="BY123" s="342"/>
      <c r="BZ123" s="342"/>
      <c r="CA123" s="342"/>
      <c r="CB123" s="342"/>
      <c r="CC123" s="342"/>
      <c r="CD123" s="342"/>
      <c r="CE123" s="342"/>
      <c r="CF123" s="342"/>
      <c r="CG123" s="342"/>
    </row>
    <row r="124" spans="2:85">
      <c r="B124">
        <v>0.28493150684931506</v>
      </c>
      <c r="D124">
        <f>D123+$D$72</f>
        <v>0.66249999999999964</v>
      </c>
      <c r="M124" s="72" t="str">
        <f>M116</f>
        <v>1y</v>
      </c>
      <c r="N124" s="61">
        <f>_xll.qlCalendarAdvance("NullCalendar",$D$2,M124)</f>
        <v>43383</v>
      </c>
      <c r="O124" s="62" t="str">
        <f>TEXT(N124,"[$-900]TTMMMJJJ")</f>
        <v>10Okt2018</v>
      </c>
      <c r="P124" s="338" t="e">
        <f>P108-P116</f>
        <v>#VALUE!</v>
      </c>
      <c r="Q124" s="339" t="e">
        <f>Q108-Q116</f>
        <v>#VALUE!</v>
      </c>
      <c r="R124" s="339" t="e">
        <f>R108-R116</f>
        <v>#VALUE!</v>
      </c>
      <c r="S124" s="339" t="e">
        <f>S108-S116</f>
        <v>#VALUE!</v>
      </c>
      <c r="T124" s="339" t="e">
        <f>T108-T116</f>
        <v>#VALUE!</v>
      </c>
      <c r="U124" s="339" t="e">
        <f>U108-U116</f>
        <v>#VALUE!</v>
      </c>
      <c r="V124" s="339" t="e">
        <f>V108-V116</f>
        <v>#VALUE!</v>
      </c>
      <c r="W124" s="339" t="e">
        <f>W108-W116</f>
        <v>#VALUE!</v>
      </c>
      <c r="X124" s="339" t="e">
        <f>X108-X116</f>
        <v>#VALUE!</v>
      </c>
      <c r="Y124" s="339" t="e">
        <f>Y108-Y116</f>
        <v>#VALUE!</v>
      </c>
      <c r="Z124" s="340" t="e">
        <f>Z108-Z116</f>
        <v>#VALUE!</v>
      </c>
      <c r="BS124" s="342"/>
      <c r="BT124" s="342"/>
      <c r="BU124" s="342"/>
      <c r="BV124" s="342"/>
      <c r="BW124" s="342"/>
      <c r="BX124" s="342"/>
      <c r="BY124" s="342"/>
      <c r="BZ124" s="342"/>
      <c r="CA124" s="342"/>
      <c r="CB124" s="342"/>
      <c r="CC124" s="342"/>
      <c r="CD124" s="342"/>
      <c r="CE124" s="342"/>
      <c r="CF124" s="342"/>
      <c r="CG124" s="342"/>
    </row>
    <row r="125" spans="2:85">
      <c r="B125">
        <v>0.29041095890410956</v>
      </c>
      <c r="D125">
        <f>D124+$D$72</f>
        <v>0.6749999999999996</v>
      </c>
      <c r="BS125" s="342"/>
      <c r="BT125" s="342"/>
      <c r="BU125" s="342"/>
      <c r="BV125" s="342"/>
      <c r="BW125" s="342"/>
      <c r="BX125" s="342"/>
      <c r="BY125" s="342"/>
      <c r="BZ125" s="342"/>
      <c r="CA125" s="342"/>
      <c r="CB125" s="342"/>
      <c r="CC125" s="342"/>
      <c r="CD125" s="342"/>
      <c r="CE125" s="342"/>
      <c r="CF125" s="342"/>
      <c r="CG125" s="342"/>
    </row>
    <row r="126" spans="2:85">
      <c r="B126">
        <v>0.29589041095890412</v>
      </c>
      <c r="D126">
        <f>D125+$D$72</f>
        <v>0.68749999999999956</v>
      </c>
      <c r="M126" s="234" t="s">
        <v>214</v>
      </c>
      <c r="N126" s="234"/>
      <c r="BS126" s="342"/>
      <c r="BT126" s="342"/>
      <c r="BU126" s="342"/>
      <c r="BV126" s="342"/>
      <c r="BW126" s="342"/>
      <c r="BX126" s="342"/>
      <c r="BY126" s="342"/>
      <c r="BZ126" s="342"/>
      <c r="CA126" s="342"/>
      <c r="CB126" s="342"/>
      <c r="CC126" s="342"/>
      <c r="CD126" s="342"/>
      <c r="CE126" s="342"/>
      <c r="CF126" s="342"/>
      <c r="CG126" s="342"/>
    </row>
    <row r="127" spans="2:85">
      <c r="B127">
        <v>0.30136986301369861</v>
      </c>
      <c r="D127">
        <f>D126+$D$72</f>
        <v>0.69999999999999951</v>
      </c>
      <c r="M127" s="234" t="s">
        <v>212</v>
      </c>
      <c r="N127" s="331" t="e">
        <f>MIN(P120:Z124)</f>
        <v>#VALUE!</v>
      </c>
      <c r="BS127" s="342"/>
      <c r="BT127" s="342"/>
      <c r="BU127" s="342"/>
      <c r="BV127" s="342"/>
      <c r="BW127" s="342"/>
      <c r="BX127" s="342"/>
      <c r="BY127" s="342"/>
      <c r="BZ127" s="342"/>
      <c r="CA127" s="342"/>
      <c r="CB127" s="342"/>
      <c r="CC127" s="342"/>
      <c r="CD127" s="342"/>
      <c r="CE127" s="342"/>
      <c r="CF127" s="342"/>
      <c r="CG127" s="342"/>
    </row>
    <row r="128" spans="2:85">
      <c r="B128">
        <v>0.30684931506849317</v>
      </c>
      <c r="D128">
        <f>D127+$D$72</f>
        <v>0.71249999999999947</v>
      </c>
      <c r="M128" s="234" t="s">
        <v>213</v>
      </c>
      <c r="N128" s="331" t="e">
        <f>MAX(P120:Z124)</f>
        <v>#VALUE!</v>
      </c>
      <c r="BS128" s="342"/>
      <c r="BT128" s="342"/>
      <c r="BU128" s="342"/>
      <c r="BV128" s="342"/>
      <c r="BW128" s="342"/>
      <c r="BX128" s="342"/>
      <c r="BY128" s="342"/>
      <c r="BZ128" s="342"/>
      <c r="CA128" s="342"/>
      <c r="CB128" s="342"/>
      <c r="CC128" s="342"/>
      <c r="CD128" s="342"/>
      <c r="CE128" s="342"/>
      <c r="CF128" s="342"/>
      <c r="CG128" s="342"/>
    </row>
    <row r="129" spans="2:85">
      <c r="B129">
        <v>0.31232876712328766</v>
      </c>
      <c r="D129">
        <f>D128+$D$72</f>
        <v>0.72499999999999942</v>
      </c>
      <c r="M129" s="234" t="s">
        <v>215</v>
      </c>
      <c r="N129" s="234" t="e">
        <f>SUMPRODUCT(SIGN(P120:Z124),P120:Z124)</f>
        <v>#VALUE!</v>
      </c>
      <c r="O129" s="225"/>
      <c r="P129" s="225"/>
      <c r="BS129" s="342"/>
      <c r="BT129" s="342"/>
      <c r="BU129" s="342"/>
      <c r="BV129" s="342"/>
      <c r="BW129" s="342"/>
      <c r="BX129" s="342"/>
      <c r="BY129" s="342"/>
      <c r="BZ129" s="342"/>
      <c r="CA129" s="342"/>
      <c r="CB129" s="342"/>
      <c r="CC129" s="342"/>
      <c r="CD129" s="342"/>
      <c r="CE129" s="342"/>
      <c r="CF129" s="342"/>
      <c r="CG129" s="342"/>
    </row>
    <row r="130" spans="2:85">
      <c r="B130">
        <v>0.31780821917808222</v>
      </c>
      <c r="D130">
        <f>D129+$D$72</f>
        <v>0.73749999999999938</v>
      </c>
      <c r="BS130" s="342"/>
      <c r="BT130" s="342"/>
      <c r="BU130" s="342"/>
      <c r="BV130" s="342"/>
      <c r="BW130" s="342"/>
      <c r="BX130" s="342"/>
      <c r="BY130" s="342"/>
      <c r="BZ130" s="342"/>
      <c r="CA130" s="342"/>
      <c r="CB130" s="342"/>
      <c r="CC130" s="342"/>
      <c r="CD130" s="342"/>
      <c r="CE130" s="342"/>
      <c r="CF130" s="342"/>
      <c r="CG130" s="342"/>
    </row>
    <row r="131" spans="2:85">
      <c r="B131">
        <v>0.32328767123287672</v>
      </c>
      <c r="D131">
        <f>D130+$D$72</f>
        <v>0.74999999999999933</v>
      </c>
      <c r="BS131" s="342"/>
      <c r="BT131" s="342"/>
      <c r="BU131" s="342"/>
      <c r="BV131" s="342"/>
      <c r="BW131" s="342"/>
      <c r="BX131" s="342"/>
      <c r="BY131" s="342"/>
      <c r="BZ131" s="342"/>
      <c r="CA131" s="342"/>
      <c r="CB131" s="342"/>
      <c r="CC131" s="342"/>
      <c r="CD131" s="342"/>
      <c r="CE131" s="342"/>
      <c r="CF131" s="342"/>
      <c r="CG131" s="342"/>
    </row>
    <row r="132" spans="2:85">
      <c r="B132">
        <v>0.32876712328767121</v>
      </c>
      <c r="D132">
        <f>D131+$D$72</f>
        <v>0.76249999999999929</v>
      </c>
      <c r="BS132" s="342"/>
      <c r="BT132" s="342"/>
      <c r="BU132" s="342"/>
      <c r="BV132" s="342"/>
      <c r="BW132" s="342"/>
      <c r="BX132" s="342"/>
      <c r="BY132" s="342"/>
      <c r="BZ132" s="342"/>
      <c r="CA132" s="342"/>
      <c r="CB132" s="342"/>
      <c r="CC132" s="342"/>
      <c r="CD132" s="342"/>
      <c r="CE132" s="342"/>
      <c r="CF132" s="342"/>
      <c r="CG132" s="342"/>
    </row>
    <row r="133" spans="2:85">
      <c r="B133">
        <v>0.33424657534246577</v>
      </c>
      <c r="D133">
        <f>D132+$D$72</f>
        <v>0.77499999999999925</v>
      </c>
      <c r="BS133" s="342"/>
      <c r="BT133" s="342"/>
      <c r="BU133" s="342"/>
      <c r="BV133" s="342"/>
      <c r="BW133" s="342"/>
      <c r="BX133" s="342"/>
      <c r="BY133" s="342"/>
      <c r="BZ133" s="342"/>
      <c r="CA133" s="342"/>
      <c r="CB133" s="342"/>
      <c r="CC133" s="342"/>
      <c r="CD133" s="342"/>
      <c r="CE133" s="342"/>
      <c r="CF133" s="342"/>
      <c r="CG133" s="342"/>
    </row>
    <row r="134" spans="2:85">
      <c r="B134">
        <v>0.33972602739726027</v>
      </c>
      <c r="D134">
        <f>D133+$D$72</f>
        <v>0.7874999999999992</v>
      </c>
      <c r="BS134" s="342"/>
      <c r="BT134" s="342"/>
      <c r="BU134" s="342"/>
      <c r="BV134" s="342"/>
      <c r="BW134" s="342"/>
      <c r="BX134" s="342"/>
      <c r="BY134" s="342"/>
      <c r="BZ134" s="342"/>
      <c r="CA134" s="342"/>
      <c r="CB134" s="342"/>
      <c r="CC134" s="342"/>
      <c r="CD134" s="342"/>
      <c r="CE134" s="342"/>
      <c r="CF134" s="342"/>
      <c r="CG134" s="342"/>
    </row>
    <row r="135" spans="2:85">
      <c r="B135">
        <v>0.34520547945205482</v>
      </c>
      <c r="D135">
        <f>D134+$D$72</f>
        <v>0.79999999999999916</v>
      </c>
      <c r="BS135" s="342"/>
      <c r="BT135" s="342"/>
      <c r="BU135" s="342"/>
      <c r="BV135" s="342"/>
      <c r="BW135" s="342"/>
      <c r="BX135" s="342"/>
      <c r="BY135" s="342"/>
      <c r="BZ135" s="342"/>
      <c r="CA135" s="342"/>
      <c r="CB135" s="342"/>
      <c r="CC135" s="342"/>
      <c r="CD135" s="342"/>
      <c r="CE135" s="342"/>
      <c r="CF135" s="342"/>
      <c r="CG135" s="342"/>
    </row>
    <row r="136" spans="2:85">
      <c r="B136">
        <v>0.35068493150684932</v>
      </c>
      <c r="D136">
        <f>D135+$D$72</f>
        <v>0.81249999999999911</v>
      </c>
      <c r="BS136" s="342"/>
      <c r="BT136" s="342"/>
      <c r="BU136" s="342"/>
      <c r="BV136" s="342"/>
      <c r="BW136" s="342"/>
      <c r="BX136" s="342"/>
      <c r="BY136" s="342"/>
      <c r="BZ136" s="342"/>
      <c r="CA136" s="342"/>
      <c r="CB136" s="342"/>
      <c r="CC136" s="342"/>
      <c r="CD136" s="342"/>
      <c r="CE136" s="342"/>
      <c r="CF136" s="342"/>
      <c r="CG136" s="342"/>
    </row>
    <row r="137" spans="2:85">
      <c r="B137">
        <v>0.35616438356164382</v>
      </c>
      <c r="D137">
        <f>D136+$D$72</f>
        <v>0.82499999999999907</v>
      </c>
      <c r="BS137" s="342"/>
      <c r="BT137" s="342"/>
      <c r="BU137" s="342"/>
      <c r="BV137" s="342"/>
      <c r="BW137" s="342"/>
      <c r="BX137" s="342"/>
      <c r="BY137" s="342"/>
      <c r="BZ137" s="342"/>
      <c r="CA137" s="342"/>
      <c r="CB137" s="342"/>
      <c r="CC137" s="342"/>
      <c r="CD137" s="342"/>
      <c r="CE137" s="342"/>
      <c r="CF137" s="342"/>
      <c r="CG137" s="342"/>
    </row>
    <row r="138" spans="2:85">
      <c r="B138">
        <v>0.36164383561643837</v>
      </c>
      <c r="D138">
        <f>D137+$D$72</f>
        <v>0.83749999999999902</v>
      </c>
      <c r="BS138" s="342"/>
      <c r="BT138" s="342"/>
      <c r="BU138" s="342"/>
      <c r="BV138" s="342"/>
      <c r="BW138" s="342"/>
      <c r="BX138" s="342"/>
      <c r="BY138" s="342"/>
      <c r="BZ138" s="342"/>
      <c r="CA138" s="342"/>
      <c r="CB138" s="342"/>
      <c r="CC138" s="342"/>
      <c r="CD138" s="342"/>
      <c r="CE138" s="342"/>
      <c r="CF138" s="342"/>
      <c r="CG138" s="342"/>
    </row>
    <row r="139" spans="2:85">
      <c r="B139">
        <v>0.36712328767123287</v>
      </c>
      <c r="D139">
        <f>D138+$D$72</f>
        <v>0.84999999999999898</v>
      </c>
      <c r="BS139" s="342"/>
      <c r="BT139" s="342"/>
      <c r="BU139" s="342"/>
      <c r="BV139" s="342"/>
      <c r="BW139" s="342"/>
      <c r="BX139" s="342"/>
      <c r="BY139" s="342"/>
      <c r="BZ139" s="342"/>
      <c r="CA139" s="342"/>
      <c r="CB139" s="342"/>
      <c r="CC139" s="342"/>
      <c r="CD139" s="342"/>
      <c r="CE139" s="342"/>
      <c r="CF139" s="342"/>
      <c r="CG139" s="342"/>
    </row>
    <row r="140" spans="2:85">
      <c r="B140">
        <v>0.37260273972602742</v>
      </c>
      <c r="D140">
        <f>D139+$D$72</f>
        <v>0.86249999999999893</v>
      </c>
      <c r="BS140" s="342"/>
      <c r="BT140" s="342"/>
      <c r="BU140" s="342"/>
      <c r="BV140" s="342"/>
      <c r="BW140" s="342"/>
      <c r="BX140" s="342"/>
      <c r="BY140" s="342"/>
      <c r="BZ140" s="342"/>
      <c r="CA140" s="342"/>
      <c r="CB140" s="342"/>
      <c r="CC140" s="342"/>
      <c r="CD140" s="342"/>
      <c r="CE140" s="342"/>
      <c r="CF140" s="342"/>
      <c r="CG140" s="342"/>
    </row>
    <row r="141" spans="2:85">
      <c r="B141">
        <v>0.37808219178082192</v>
      </c>
      <c r="D141">
        <f>D140+$D$72</f>
        <v>0.87499999999999889</v>
      </c>
      <c r="BS141" s="342"/>
      <c r="BT141" s="342"/>
      <c r="BU141" s="342"/>
      <c r="BV141" s="342"/>
      <c r="BW141" s="342"/>
      <c r="BX141" s="342"/>
      <c r="BY141" s="342"/>
      <c r="BZ141" s="342"/>
      <c r="CA141" s="342"/>
      <c r="CB141" s="342"/>
      <c r="CC141" s="342"/>
      <c r="CD141" s="342"/>
      <c r="CE141" s="342"/>
      <c r="CF141" s="342"/>
      <c r="CG141" s="342"/>
    </row>
    <row r="142" spans="2:85">
      <c r="B142">
        <v>0.38356164383561642</v>
      </c>
      <c r="D142">
        <f>D141+$D$72</f>
        <v>0.88749999999999885</v>
      </c>
      <c r="BS142" s="342"/>
      <c r="BT142" s="342"/>
      <c r="BU142" s="342"/>
      <c r="BV142" s="342"/>
      <c r="BW142" s="342"/>
      <c r="BX142" s="342"/>
      <c r="BY142" s="342"/>
      <c r="BZ142" s="342"/>
      <c r="CA142" s="342"/>
      <c r="CB142" s="342"/>
      <c r="CC142" s="342"/>
      <c r="CD142" s="342"/>
      <c r="CE142" s="342"/>
      <c r="CF142" s="342"/>
      <c r="CG142" s="342"/>
    </row>
    <row r="143" spans="2:85">
      <c r="B143">
        <v>0.38904109589041097</v>
      </c>
      <c r="D143">
        <f>D142+$D$72</f>
        <v>0.8999999999999988</v>
      </c>
      <c r="BS143" s="342"/>
      <c r="BT143" s="342"/>
      <c r="BU143" s="342"/>
      <c r="BV143" s="342"/>
      <c r="BW143" s="342"/>
      <c r="BX143" s="342"/>
      <c r="BY143" s="342"/>
      <c r="BZ143" s="342"/>
      <c r="CA143" s="342"/>
      <c r="CB143" s="342"/>
      <c r="CC143" s="342"/>
      <c r="CD143" s="342"/>
      <c r="CE143" s="342"/>
      <c r="CF143" s="342"/>
      <c r="CG143" s="342"/>
    </row>
    <row r="144" spans="2:85">
      <c r="B144">
        <v>0.39452054794520547</v>
      </c>
      <c r="D144">
        <f>D143+$D$72</f>
        <v>0.91249999999999876</v>
      </c>
      <c r="BS144" s="342"/>
      <c r="BT144" s="342"/>
      <c r="BU144" s="342"/>
      <c r="BV144" s="342"/>
      <c r="BW144" s="342"/>
      <c r="BX144" s="342"/>
      <c r="BY144" s="342"/>
      <c r="BZ144" s="342"/>
      <c r="CA144" s="342"/>
      <c r="CB144" s="342"/>
      <c r="CC144" s="342"/>
      <c r="CD144" s="342"/>
      <c r="CE144" s="342"/>
      <c r="CF144" s="342"/>
      <c r="CG144" s="342"/>
    </row>
    <row r="145" spans="2:85">
      <c r="B145">
        <v>0.4</v>
      </c>
      <c r="D145">
        <f>D144+$D$72</f>
        <v>0.92499999999999871</v>
      </c>
      <c r="BS145" s="342"/>
      <c r="BT145" s="342"/>
      <c r="BU145" s="342"/>
      <c r="BV145" s="342"/>
      <c r="BW145" s="342"/>
      <c r="BX145" s="342"/>
      <c r="BY145" s="342"/>
      <c r="BZ145" s="342"/>
      <c r="CA145" s="342"/>
      <c r="CB145" s="342"/>
      <c r="CC145" s="342"/>
      <c r="CD145" s="342"/>
      <c r="CE145" s="342"/>
      <c r="CF145" s="342"/>
      <c r="CG145" s="342"/>
    </row>
    <row r="146" spans="2:85">
      <c r="B146">
        <v>0.40547945205479452</v>
      </c>
      <c r="D146">
        <f>D145+$D$72</f>
        <v>0.93749999999999867</v>
      </c>
      <c r="BS146" s="342"/>
      <c r="BT146" s="342"/>
      <c r="BU146" s="342"/>
      <c r="BV146" s="342"/>
      <c r="BW146" s="342"/>
      <c r="BX146" s="342"/>
      <c r="BY146" s="342"/>
      <c r="BZ146" s="342"/>
      <c r="CA146" s="342"/>
      <c r="CB146" s="342"/>
      <c r="CC146" s="342"/>
      <c r="CD146" s="342"/>
      <c r="CE146" s="342"/>
      <c r="CF146" s="342"/>
      <c r="CG146" s="342"/>
    </row>
    <row r="147" spans="2:85">
      <c r="B147">
        <v>0.41095890410958902</v>
      </c>
      <c r="D147">
        <f>D146+$D$72</f>
        <v>0.94999999999999862</v>
      </c>
      <c r="BS147" s="342"/>
      <c r="BT147" s="342"/>
      <c r="BU147" s="342"/>
      <c r="BV147" s="342"/>
      <c r="BW147" s="342"/>
      <c r="BX147" s="342"/>
      <c r="BY147" s="342"/>
      <c r="BZ147" s="342"/>
      <c r="CA147" s="342"/>
      <c r="CB147" s="342"/>
      <c r="CC147" s="342"/>
      <c r="CD147" s="342"/>
      <c r="CE147" s="342"/>
      <c r="CF147" s="342"/>
      <c r="CG147" s="342"/>
    </row>
    <row r="148" spans="2:85">
      <c r="B148">
        <v>0.41643835616438357</v>
      </c>
      <c r="D148">
        <f>D147+$D$72</f>
        <v>0.96249999999999858</v>
      </c>
      <c r="BS148" s="342"/>
      <c r="BT148" s="342"/>
      <c r="BU148" s="342"/>
      <c r="BV148" s="342"/>
      <c r="BW148" s="342"/>
      <c r="BX148" s="342"/>
      <c r="BY148" s="342"/>
      <c r="BZ148" s="342"/>
      <c r="CA148" s="342"/>
      <c r="CB148" s="342"/>
      <c r="CC148" s="342"/>
      <c r="CD148" s="342"/>
      <c r="CE148" s="342"/>
      <c r="CF148" s="342"/>
      <c r="CG148" s="342"/>
    </row>
    <row r="149" spans="2:85">
      <c r="B149">
        <v>0.42191780821917807</v>
      </c>
      <c r="D149">
        <f>D148+$D$72</f>
        <v>0.97499999999999853</v>
      </c>
      <c r="BS149" s="342"/>
      <c r="BT149" s="342"/>
      <c r="BU149" s="342"/>
      <c r="BV149" s="342"/>
      <c r="BW149" s="342"/>
      <c r="BX149" s="342"/>
      <c r="BY149" s="342"/>
      <c r="BZ149" s="342"/>
      <c r="CA149" s="342"/>
      <c r="CB149" s="342"/>
      <c r="CC149" s="342"/>
      <c r="CD149" s="342"/>
      <c r="CE149" s="342"/>
      <c r="CF149" s="342"/>
      <c r="CG149" s="342"/>
    </row>
    <row r="150" spans="2:85">
      <c r="B150">
        <v>0.42739726027397262</v>
      </c>
      <c r="D150">
        <f>D149+$D$72</f>
        <v>0.98749999999999849</v>
      </c>
      <c r="BS150" s="342"/>
      <c r="BT150" s="342"/>
      <c r="BU150" s="342"/>
      <c r="BV150" s="342"/>
      <c r="BW150" s="342"/>
      <c r="BX150" s="342"/>
      <c r="BY150" s="342"/>
      <c r="BZ150" s="342"/>
      <c r="CA150" s="342"/>
      <c r="CB150" s="342"/>
      <c r="CC150" s="342"/>
      <c r="CD150" s="342"/>
      <c r="CE150" s="342"/>
      <c r="CF150" s="342"/>
      <c r="CG150" s="342"/>
    </row>
    <row r="151" spans="2:85">
      <c r="B151">
        <v>0.43287671232876712</v>
      </c>
      <c r="D151">
        <f>D150+$D$72</f>
        <v>0.99999999999999845</v>
      </c>
      <c r="BS151" s="342"/>
      <c r="BT151" s="342"/>
      <c r="BU151" s="342"/>
      <c r="BV151" s="342"/>
      <c r="BW151" s="342"/>
      <c r="BX151" s="342"/>
      <c r="BY151" s="342"/>
      <c r="BZ151" s="342"/>
      <c r="CA151" s="342"/>
      <c r="CB151" s="342"/>
      <c r="CC151" s="342"/>
      <c r="CD151" s="342"/>
      <c r="CE151" s="342"/>
      <c r="CF151" s="342"/>
      <c r="CG151" s="342"/>
    </row>
    <row r="152" spans="2:85">
      <c r="B152">
        <v>0.43835616438356162</v>
      </c>
      <c r="BS152" s="342"/>
      <c r="BT152" s="342"/>
      <c r="BU152" s="342"/>
      <c r="BV152" s="342"/>
      <c r="BW152" s="342"/>
      <c r="BX152" s="342"/>
      <c r="BY152" s="342"/>
      <c r="BZ152" s="342"/>
      <c r="CA152" s="342"/>
      <c r="CB152" s="342"/>
      <c r="CC152" s="342"/>
      <c r="CD152" s="342"/>
      <c r="CE152" s="342"/>
      <c r="CF152" s="342"/>
      <c r="CG152" s="342"/>
    </row>
    <row r="153" spans="2:85">
      <c r="B153">
        <v>0.44383561643835617</v>
      </c>
      <c r="BS153" s="342"/>
      <c r="BT153" s="342"/>
      <c r="BU153" s="342"/>
      <c r="BV153" s="342"/>
      <c r="BW153" s="342"/>
      <c r="BX153" s="342"/>
      <c r="BY153" s="342"/>
      <c r="BZ153" s="342"/>
      <c r="CA153" s="342"/>
      <c r="CB153" s="342"/>
      <c r="CC153" s="342"/>
      <c r="CD153" s="342"/>
      <c r="CE153" s="342"/>
      <c r="CF153" s="342"/>
      <c r="CG153" s="342"/>
    </row>
    <row r="154" spans="2:85">
      <c r="B154">
        <v>0.44931506849315067</v>
      </c>
      <c r="BS154" s="342"/>
      <c r="BT154" s="342"/>
      <c r="BU154" s="342"/>
      <c r="BV154" s="342"/>
      <c r="BW154" s="342"/>
      <c r="BX154" s="342"/>
      <c r="BY154" s="342"/>
      <c r="BZ154" s="342"/>
      <c r="CA154" s="342"/>
      <c r="CB154" s="342"/>
      <c r="CC154" s="342"/>
      <c r="CD154" s="342"/>
      <c r="CE154" s="342"/>
      <c r="CF154" s="342"/>
      <c r="CG154" s="342"/>
    </row>
    <row r="155" spans="2:85">
      <c r="B155">
        <v>0.45479452054794522</v>
      </c>
      <c r="BS155" s="342"/>
      <c r="BT155" s="342"/>
      <c r="BU155" s="342"/>
      <c r="BV155" s="342"/>
      <c r="BW155" s="342"/>
      <c r="BX155" s="342"/>
      <c r="BY155" s="342"/>
      <c r="BZ155" s="342"/>
      <c r="CA155" s="342"/>
      <c r="CB155" s="342"/>
      <c r="CC155" s="342"/>
      <c r="CD155" s="342"/>
      <c r="CE155" s="342"/>
      <c r="CF155" s="342"/>
      <c r="CG155" s="342"/>
    </row>
    <row r="156" spans="2:85">
      <c r="B156">
        <v>0.46027397260273972</v>
      </c>
      <c r="BS156" s="342"/>
      <c r="BT156" s="342"/>
      <c r="BU156" s="342"/>
      <c r="BV156" s="342"/>
      <c r="BW156" s="342"/>
      <c r="BX156" s="342"/>
      <c r="BY156" s="342"/>
      <c r="BZ156" s="342"/>
      <c r="CA156" s="342"/>
      <c r="CB156" s="342"/>
      <c r="CC156" s="342"/>
      <c r="CD156" s="342"/>
      <c r="CE156" s="342"/>
      <c r="CF156" s="342"/>
      <c r="CG156" s="342"/>
    </row>
    <row r="157" spans="2:85">
      <c r="B157">
        <v>0.46575342465753422</v>
      </c>
      <c r="BS157" s="342"/>
      <c r="BT157" s="342"/>
      <c r="BU157" s="342"/>
      <c r="BV157" s="342"/>
      <c r="BW157" s="342"/>
      <c r="BX157" s="342"/>
      <c r="BY157" s="342"/>
      <c r="BZ157" s="342"/>
      <c r="CA157" s="342"/>
      <c r="CB157" s="342"/>
      <c r="CC157" s="342"/>
      <c r="CD157" s="342"/>
      <c r="CE157" s="342"/>
      <c r="CF157" s="342"/>
      <c r="CG157" s="342"/>
    </row>
    <row r="158" spans="2:85">
      <c r="B158">
        <v>0.47123287671232877</v>
      </c>
      <c r="BS158" s="342"/>
      <c r="BT158" s="342"/>
      <c r="BU158" s="342"/>
      <c r="BV158" s="342"/>
      <c r="BW158" s="342"/>
      <c r="BX158" s="342"/>
      <c r="BY158" s="342"/>
      <c r="BZ158" s="342"/>
      <c r="CA158" s="342"/>
      <c r="CB158" s="342"/>
      <c r="CC158" s="342"/>
      <c r="CD158" s="342"/>
      <c r="CE158" s="342"/>
      <c r="CF158" s="342"/>
      <c r="CG158" s="342"/>
    </row>
    <row r="159" spans="2:85">
      <c r="B159">
        <v>0.47671232876712327</v>
      </c>
      <c r="BS159" s="342"/>
      <c r="BT159" s="342"/>
      <c r="BU159" s="342"/>
      <c r="BV159" s="342"/>
      <c r="BW159" s="342"/>
      <c r="BX159" s="342"/>
      <c r="BY159" s="342"/>
      <c r="BZ159" s="342"/>
      <c r="CA159" s="342"/>
      <c r="CB159" s="342"/>
      <c r="CC159" s="342"/>
      <c r="CD159" s="342"/>
      <c r="CE159" s="342"/>
      <c r="CF159" s="342"/>
      <c r="CG159" s="342"/>
    </row>
    <row r="160" spans="2:85">
      <c r="B160">
        <v>0.48219178082191783</v>
      </c>
      <c r="BS160" s="342"/>
      <c r="BT160" s="342"/>
      <c r="BU160" s="342"/>
      <c r="BV160" s="342"/>
      <c r="BW160" s="342"/>
      <c r="BX160" s="342"/>
      <c r="BY160" s="342"/>
      <c r="BZ160" s="342"/>
      <c r="CA160" s="342"/>
      <c r="CB160" s="342"/>
      <c r="CC160" s="342"/>
      <c r="CD160" s="342"/>
      <c r="CE160" s="342"/>
      <c r="CF160" s="342"/>
      <c r="CG160" s="342"/>
    </row>
    <row r="161" spans="2:85">
      <c r="B161">
        <v>0.48767123287671232</v>
      </c>
      <c r="BS161" s="342"/>
      <c r="BT161" s="342"/>
      <c r="BU161" s="342"/>
      <c r="BV161" s="342"/>
      <c r="BW161" s="342"/>
      <c r="BX161" s="342"/>
      <c r="BY161" s="342"/>
      <c r="BZ161" s="342"/>
      <c r="CA161" s="342"/>
      <c r="CB161" s="342"/>
      <c r="CC161" s="342"/>
      <c r="CD161" s="342"/>
      <c r="CE161" s="342"/>
      <c r="CF161" s="342"/>
      <c r="CG161" s="342"/>
    </row>
    <row r="162" spans="2:85">
      <c r="B162">
        <v>0.49315068493150682</v>
      </c>
      <c r="BS162" s="342"/>
      <c r="BT162" s="342"/>
      <c r="BU162" s="342"/>
      <c r="BV162" s="342"/>
      <c r="BW162" s="342"/>
      <c r="BX162" s="342"/>
      <c r="BY162" s="342"/>
      <c r="BZ162" s="342"/>
      <c r="CA162" s="342"/>
      <c r="CB162" s="342"/>
      <c r="CC162" s="342"/>
      <c r="CD162" s="342"/>
      <c r="CE162" s="342"/>
      <c r="CF162" s="342"/>
      <c r="CG162" s="342"/>
    </row>
    <row r="163" spans="2:85">
      <c r="B163">
        <v>0.49863013698630138</v>
      </c>
      <c r="BS163" s="342"/>
      <c r="BT163" s="342"/>
      <c r="BU163" s="342"/>
      <c r="BV163" s="342"/>
      <c r="BW163" s="342"/>
      <c r="BX163" s="342"/>
      <c r="BY163" s="342"/>
      <c r="BZ163" s="342"/>
      <c r="CA163" s="342"/>
      <c r="CB163" s="342"/>
      <c r="CC163" s="342"/>
      <c r="CD163" s="342"/>
      <c r="CE163" s="342"/>
      <c r="CF163" s="342"/>
      <c r="CG163" s="342"/>
    </row>
    <row r="164" spans="2:85">
      <c r="B164">
        <v>0.50410958904109593</v>
      </c>
      <c r="BS164" s="342"/>
      <c r="BT164" s="342"/>
      <c r="BU164" s="342"/>
      <c r="BV164" s="342"/>
      <c r="BW164" s="342"/>
      <c r="BX164" s="342"/>
      <c r="BY164" s="342"/>
      <c r="BZ164" s="342"/>
      <c r="CA164" s="342"/>
      <c r="CB164" s="342"/>
      <c r="CC164" s="342"/>
      <c r="CD164" s="342"/>
      <c r="CE164" s="342"/>
      <c r="CF164" s="342"/>
      <c r="CG164" s="342"/>
    </row>
    <row r="165" spans="2:85">
      <c r="B165">
        <v>0.50958904109589043</v>
      </c>
      <c r="BS165" s="342"/>
      <c r="BT165" s="342"/>
      <c r="BU165" s="342"/>
      <c r="BV165" s="342"/>
      <c r="BW165" s="342"/>
      <c r="BX165" s="342"/>
      <c r="BY165" s="342"/>
      <c r="BZ165" s="342"/>
      <c r="CA165" s="342"/>
      <c r="CB165" s="342"/>
      <c r="CC165" s="342"/>
      <c r="CD165" s="342"/>
      <c r="CE165" s="342"/>
      <c r="CF165" s="342"/>
      <c r="CG165" s="342"/>
    </row>
    <row r="166" spans="2:85">
      <c r="B166">
        <v>0.51506849315068493</v>
      </c>
    </row>
    <row r="167" spans="2:85">
      <c r="B167">
        <v>0.52054794520547942</v>
      </c>
    </row>
    <row r="168" spans="2:85">
      <c r="B168">
        <v>0.52602739726027392</v>
      </c>
    </row>
    <row r="169" spans="2:85">
      <c r="B169">
        <v>0.53150684931506853</v>
      </c>
    </row>
    <row r="170" spans="2:85">
      <c r="B170">
        <v>0.53698630136986303</v>
      </c>
    </row>
    <row r="171" spans="2:85">
      <c r="B171">
        <v>0.54246575342465753</v>
      </c>
    </row>
    <row r="172" spans="2:85">
      <c r="B172">
        <v>0.54794520547945202</v>
      </c>
    </row>
    <row r="173" spans="2:85">
      <c r="B173">
        <v>0.55342465753424652</v>
      </c>
    </row>
    <row r="174" spans="2:85">
      <c r="B174">
        <v>0.55890410958904113</v>
      </c>
    </row>
    <row r="175" spans="2:85">
      <c r="B175">
        <v>0.56438356164383563</v>
      </c>
    </row>
    <row r="176" spans="2:85">
      <c r="B176">
        <v>0.56986301369863013</v>
      </c>
    </row>
    <row r="177" spans="2:2">
      <c r="B177">
        <v>0.57534246575342463</v>
      </c>
    </row>
    <row r="178" spans="2:2">
      <c r="B178">
        <v>0.58082191780821912</v>
      </c>
    </row>
    <row r="179" spans="2:2">
      <c r="B179">
        <v>0.58630136986301373</v>
      </c>
    </row>
    <row r="180" spans="2:2">
      <c r="B180">
        <v>0.59178082191780823</v>
      </c>
    </row>
    <row r="181" spans="2:2">
      <c r="B181">
        <v>0.59726027397260273</v>
      </c>
    </row>
    <row r="182" spans="2:2">
      <c r="B182">
        <v>0.60273972602739723</v>
      </c>
    </row>
    <row r="183" spans="2:2">
      <c r="B183">
        <v>0.60821917808219184</v>
      </c>
    </row>
    <row r="184" spans="2:2">
      <c r="B184">
        <v>0.61369863013698633</v>
      </c>
    </row>
    <row r="185" spans="2:2">
      <c r="B185">
        <v>0.61917808219178083</v>
      </c>
    </row>
    <row r="186" spans="2:2">
      <c r="B186">
        <v>0.62465753424657533</v>
      </c>
    </row>
    <row r="187" spans="2:2">
      <c r="B187">
        <v>0.63013698630136983</v>
      </c>
    </row>
    <row r="188" spans="2:2">
      <c r="B188">
        <v>0.63561643835616444</v>
      </c>
    </row>
    <row r="189" spans="2:2">
      <c r="B189">
        <v>0.64109589041095894</v>
      </c>
    </row>
    <row r="190" spans="2:2">
      <c r="B190">
        <v>0.64657534246575343</v>
      </c>
    </row>
    <row r="191" spans="2:2">
      <c r="B191">
        <v>0.65205479452054793</v>
      </c>
    </row>
    <row r="192" spans="2:2">
      <c r="B192">
        <v>0.65753424657534243</v>
      </c>
    </row>
    <row r="193" spans="2:2">
      <c r="B193">
        <v>0.66301369863013704</v>
      </c>
    </row>
    <row r="194" spans="2:2">
      <c r="B194">
        <v>0.66849315068493154</v>
      </c>
    </row>
    <row r="195" spans="2:2">
      <c r="B195">
        <v>0.67397260273972603</v>
      </c>
    </row>
    <row r="196" spans="2:2">
      <c r="B196">
        <v>0.67945205479452053</v>
      </c>
    </row>
    <row r="197" spans="2:2">
      <c r="B197">
        <v>0.68493150684931503</v>
      </c>
    </row>
    <row r="198" spans="2:2">
      <c r="B198">
        <v>0.69041095890410964</v>
      </c>
    </row>
    <row r="199" spans="2:2">
      <c r="B199">
        <v>0.69589041095890414</v>
      </c>
    </row>
    <row r="200" spans="2:2">
      <c r="B200">
        <v>0.70136986301369864</v>
      </c>
    </row>
    <row r="201" spans="2:2">
      <c r="B201">
        <v>0.70684931506849313</v>
      </c>
    </row>
    <row r="202" spans="2:2">
      <c r="B202">
        <v>0.71232876712328763</v>
      </c>
    </row>
    <row r="203" spans="2:2">
      <c r="B203">
        <v>0.71780821917808224</v>
      </c>
    </row>
    <row r="204" spans="2:2">
      <c r="B204">
        <v>0.72328767123287674</v>
      </c>
    </row>
    <row r="205" spans="2:2">
      <c r="B205">
        <v>0.72876712328767124</v>
      </c>
    </row>
    <row r="206" spans="2:2">
      <c r="B206">
        <v>0.73424657534246573</v>
      </c>
    </row>
    <row r="207" spans="2:2">
      <c r="B207">
        <v>0.73972602739726023</v>
      </c>
    </row>
    <row r="208" spans="2:2">
      <c r="B208">
        <v>0.74520547945205484</v>
      </c>
    </row>
    <row r="209" spans="2:2">
      <c r="B209">
        <v>0.75068493150684934</v>
      </c>
    </row>
    <row r="210" spans="2:2">
      <c r="B210">
        <v>0.75616438356164384</v>
      </c>
    </row>
    <row r="211" spans="2:2">
      <c r="B211">
        <v>0.76164383561643834</v>
      </c>
    </row>
    <row r="212" spans="2:2">
      <c r="B212">
        <v>0.76712328767123283</v>
      </c>
    </row>
    <row r="213" spans="2:2">
      <c r="B213">
        <v>0.77260273972602744</v>
      </c>
    </row>
    <row r="214" spans="2:2">
      <c r="B214">
        <v>0.77808219178082194</v>
      </c>
    </row>
    <row r="215" spans="2:2">
      <c r="B215">
        <v>0.78356164383561644</v>
      </c>
    </row>
    <row r="216" spans="2:2">
      <c r="B216">
        <v>0.78904109589041094</v>
      </c>
    </row>
    <row r="217" spans="2:2">
      <c r="B217">
        <v>0.79452054794520544</v>
      </c>
    </row>
    <row r="218" spans="2:2">
      <c r="B218">
        <v>0.8</v>
      </c>
    </row>
    <row r="219" spans="2:2">
      <c r="B219">
        <v>0.80547945205479454</v>
      </c>
    </row>
    <row r="220" spans="2:2">
      <c r="B220">
        <v>0.81095890410958904</v>
      </c>
    </row>
    <row r="221" spans="2:2">
      <c r="B221">
        <v>0.81643835616438354</v>
      </c>
    </row>
    <row r="222" spans="2:2">
      <c r="B222">
        <v>0.82191780821917804</v>
      </c>
    </row>
    <row r="223" spans="2:2">
      <c r="B223">
        <v>0.82739726027397265</v>
      </c>
    </row>
    <row r="224" spans="2:2">
      <c r="B224">
        <v>0.83287671232876714</v>
      </c>
    </row>
    <row r="225" spans="2:2">
      <c r="B225">
        <v>0.83835616438356164</v>
      </c>
    </row>
    <row r="226" spans="2:2">
      <c r="B226">
        <v>0.84383561643835614</v>
      </c>
    </row>
    <row r="227" spans="2:2">
      <c r="B227">
        <v>0.84931506849315064</v>
      </c>
    </row>
    <row r="228" spans="2:2">
      <c r="B228">
        <v>0.85479452054794525</v>
      </c>
    </row>
    <row r="229" spans="2:2">
      <c r="B229">
        <v>0.86027397260273974</v>
      </c>
    </row>
    <row r="230" spans="2:2">
      <c r="B230">
        <v>0.86575342465753424</v>
      </c>
    </row>
    <row r="231" spans="2:2">
      <c r="B231">
        <v>0.87123287671232874</v>
      </c>
    </row>
    <row r="232" spans="2:2">
      <c r="B232">
        <v>0.87671232876712324</v>
      </c>
    </row>
    <row r="233" spans="2:2">
      <c r="B233">
        <v>0.88219178082191785</v>
      </c>
    </row>
    <row r="234" spans="2:2">
      <c r="B234">
        <v>0.88767123287671235</v>
      </c>
    </row>
    <row r="235" spans="2:2">
      <c r="B235">
        <v>0.89315068493150684</v>
      </c>
    </row>
    <row r="236" spans="2:2">
      <c r="B236">
        <v>0.89863013698630134</v>
      </c>
    </row>
    <row r="237" spans="2:2">
      <c r="B237">
        <v>0.90410958904109584</v>
      </c>
    </row>
    <row r="238" spans="2:2">
      <c r="B238">
        <v>0.90958904109589045</v>
      </c>
    </row>
    <row r="239" spans="2:2">
      <c r="B239">
        <v>0.91506849315068495</v>
      </c>
    </row>
    <row r="240" spans="2:2">
      <c r="B240">
        <v>0.92054794520547945</v>
      </c>
    </row>
    <row r="241" spans="2:2">
      <c r="B241">
        <v>0.92602739726027394</v>
      </c>
    </row>
    <row r="242" spans="2:2">
      <c r="B242">
        <v>0.93150684931506844</v>
      </c>
    </row>
    <row r="243" spans="2:2">
      <c r="B243">
        <v>0.93698630136986305</v>
      </c>
    </row>
    <row r="244" spans="2:2">
      <c r="B244">
        <v>0.94246575342465755</v>
      </c>
    </row>
    <row r="245" spans="2:2">
      <c r="B245">
        <v>0.94794520547945205</v>
      </c>
    </row>
    <row r="246" spans="2:2">
      <c r="B246">
        <v>0.95342465753424654</v>
      </c>
    </row>
    <row r="247" spans="2:2">
      <c r="B247">
        <v>0.95890410958904104</v>
      </c>
    </row>
    <row r="248" spans="2:2">
      <c r="B248">
        <v>0.96438356164383565</v>
      </c>
    </row>
    <row r="249" spans="2:2">
      <c r="B249">
        <v>0.96986301369863015</v>
      </c>
    </row>
    <row r="250" spans="2:2">
      <c r="B250">
        <v>0.97534246575342465</v>
      </c>
    </row>
    <row r="251" spans="2:2">
      <c r="B251">
        <v>0.98082191780821915</v>
      </c>
    </row>
    <row r="252" spans="2:2">
      <c r="B252">
        <v>0.98630136986301364</v>
      </c>
    </row>
    <row r="253" spans="2:2">
      <c r="B253">
        <v>0.99178082191780825</v>
      </c>
    </row>
    <row r="254" spans="2:2">
      <c r="B254">
        <v>0.99726027397260275</v>
      </c>
    </row>
    <row r="255" spans="2:2">
      <c r="B255">
        <v>1.0027397260273974</v>
      </c>
    </row>
    <row r="256" spans="2:2">
      <c r="B256">
        <v>1.0082191780821919</v>
      </c>
    </row>
    <row r="257" spans="2:2">
      <c r="B257">
        <v>1.0136986301369864</v>
      </c>
    </row>
    <row r="258" spans="2:2">
      <c r="B258">
        <v>1.0191780821917809</v>
      </c>
    </row>
    <row r="259" spans="2:2">
      <c r="B259">
        <v>1.0246575342465754</v>
      </c>
    </row>
    <row r="260" spans="2:2">
      <c r="B260">
        <v>1.0301369863013699</v>
      </c>
    </row>
    <row r="261" spans="2:2">
      <c r="B261">
        <v>1.0356164383561643</v>
      </c>
    </row>
    <row r="262" spans="2:2">
      <c r="B262">
        <v>1.0410958904109588</v>
      </c>
    </row>
    <row r="263" spans="2:2">
      <c r="B263">
        <v>1.0465753424657533</v>
      </c>
    </row>
    <row r="264" spans="2:2">
      <c r="B264">
        <v>1.0520547945205478</v>
      </c>
    </row>
    <row r="265" spans="2:2">
      <c r="B265">
        <v>1.0575342465753426</v>
      </c>
    </row>
    <row r="266" spans="2:2">
      <c r="B266">
        <v>1.0630136986301371</v>
      </c>
    </row>
    <row r="267" spans="2:2">
      <c r="B267">
        <v>1.0684931506849316</v>
      </c>
    </row>
    <row r="268" spans="2:2">
      <c r="B268">
        <v>1.0739726027397261</v>
      </c>
    </row>
    <row r="269" spans="2:2">
      <c r="B269">
        <v>1.0794520547945206</v>
      </c>
    </row>
    <row r="270" spans="2:2">
      <c r="B270">
        <v>1.0849315068493151</v>
      </c>
    </row>
    <row r="271" spans="2:2">
      <c r="B271" t="e">
        <v>#N/A</v>
      </c>
    </row>
    <row r="272" spans="2:2">
      <c r="B272" t="e">
        <v>#N/A</v>
      </c>
    </row>
    <row r="273" spans="2:2">
      <c r="B273" t="e">
        <v>#N/A</v>
      </c>
    </row>
    <row r="274" spans="2:2">
      <c r="B274" t="e">
        <v>#N/A</v>
      </c>
    </row>
    <row r="275" spans="2:2">
      <c r="B275" t="e">
        <v>#N/A</v>
      </c>
    </row>
    <row r="276" spans="2:2">
      <c r="B276" t="e">
        <v>#N/A</v>
      </c>
    </row>
    <row r="277" spans="2:2">
      <c r="B277" t="e">
        <v>#N/A</v>
      </c>
    </row>
    <row r="278" spans="2:2">
      <c r="B278" t="e">
        <v>#N/A</v>
      </c>
    </row>
    <row r="279" spans="2:2">
      <c r="B279" t="e">
        <v>#N/A</v>
      </c>
    </row>
    <row r="280" spans="2:2">
      <c r="B280" t="e">
        <v>#N/A</v>
      </c>
    </row>
    <row r="281" spans="2:2">
      <c r="B281" t="e">
        <v>#N/A</v>
      </c>
    </row>
    <row r="282" spans="2:2">
      <c r="B282" t="e">
        <v>#N/A</v>
      </c>
    </row>
    <row r="283" spans="2:2">
      <c r="B283" t="e">
        <v>#N/A</v>
      </c>
    </row>
    <row r="284" spans="2:2">
      <c r="B284" t="e">
        <v>#N/A</v>
      </c>
    </row>
    <row r="285" spans="2:2">
      <c r="B285" t="e">
        <v>#N/A</v>
      </c>
    </row>
    <row r="286" spans="2:2">
      <c r="B286" t="e">
        <v>#N/A</v>
      </c>
    </row>
    <row r="287" spans="2:2">
      <c r="B287" t="e">
        <v>#N/A</v>
      </c>
    </row>
    <row r="288" spans="2:2">
      <c r="B288" t="e">
        <v>#N/A</v>
      </c>
    </row>
    <row r="289" spans="2:2">
      <c r="B289" t="e">
        <v>#N/A</v>
      </c>
    </row>
    <row r="290" spans="2:2">
      <c r="B290" t="e">
        <v>#N/A</v>
      </c>
    </row>
    <row r="291" spans="2:2">
      <c r="B291" t="e">
        <v>#N/A</v>
      </c>
    </row>
    <row r="292" spans="2:2">
      <c r="B292" t="e">
        <v>#N/A</v>
      </c>
    </row>
    <row r="293" spans="2:2">
      <c r="B293" t="e">
        <v>#N/A</v>
      </c>
    </row>
    <row r="294" spans="2:2">
      <c r="B294" t="e">
        <v>#N/A</v>
      </c>
    </row>
    <row r="295" spans="2:2">
      <c r="B295" t="e">
        <v>#N/A</v>
      </c>
    </row>
    <row r="296" spans="2:2">
      <c r="B296" t="e">
        <v>#N/A</v>
      </c>
    </row>
    <row r="297" spans="2:2">
      <c r="B297" t="e">
        <v>#N/A</v>
      </c>
    </row>
    <row r="298" spans="2:2">
      <c r="B298" t="e">
        <v>#N/A</v>
      </c>
    </row>
    <row r="299" spans="2:2">
      <c r="B299" t="e">
        <v>#N/A</v>
      </c>
    </row>
    <row r="300" spans="2:2">
      <c r="B300" t="e">
        <v>#N/A</v>
      </c>
    </row>
    <row r="301" spans="2:2">
      <c r="B301" t="e">
        <v>#N/A</v>
      </c>
    </row>
    <row r="302" spans="2:2">
      <c r="B302" t="e">
        <v>#N/A</v>
      </c>
    </row>
    <row r="303" spans="2:2">
      <c r="B303" t="e">
        <v>#N/A</v>
      </c>
    </row>
    <row r="304" spans="2:2">
      <c r="B304" t="e">
        <v>#N/A</v>
      </c>
    </row>
    <row r="305" spans="2:2">
      <c r="B305" t="e">
        <v>#N/A</v>
      </c>
    </row>
    <row r="306" spans="2:2">
      <c r="B306" t="e">
        <v>#N/A</v>
      </c>
    </row>
    <row r="307" spans="2:2">
      <c r="B307" t="e">
        <v>#N/A</v>
      </c>
    </row>
    <row r="308" spans="2:2">
      <c r="B308" t="e">
        <v>#N/A</v>
      </c>
    </row>
    <row r="309" spans="2:2">
      <c r="B309" t="e">
        <v>#N/A</v>
      </c>
    </row>
    <row r="310" spans="2:2">
      <c r="B310" t="e">
        <v>#N/A</v>
      </c>
    </row>
    <row r="311" spans="2:2">
      <c r="B311" t="e">
        <v>#N/A</v>
      </c>
    </row>
    <row r="312" spans="2:2">
      <c r="B312" t="e">
        <v>#N/A</v>
      </c>
    </row>
    <row r="313" spans="2:2">
      <c r="B313" t="e">
        <v>#N/A</v>
      </c>
    </row>
    <row r="314" spans="2:2">
      <c r="B314" t="e">
        <v>#N/A</v>
      </c>
    </row>
    <row r="315" spans="2:2">
      <c r="B315" t="e">
        <v>#N/A</v>
      </c>
    </row>
    <row r="316" spans="2:2">
      <c r="B316" t="e">
        <v>#N/A</v>
      </c>
    </row>
    <row r="317" spans="2:2">
      <c r="B317" t="e">
        <v>#N/A</v>
      </c>
    </row>
    <row r="318" spans="2:2">
      <c r="B318" t="e">
        <v>#N/A</v>
      </c>
    </row>
    <row r="319" spans="2:2">
      <c r="B319" t="e">
        <v>#N/A</v>
      </c>
    </row>
    <row r="320" spans="2:2">
      <c r="B320" t="e">
        <v>#N/A</v>
      </c>
    </row>
    <row r="321" spans="2:2">
      <c r="B321" t="e">
        <v>#N/A</v>
      </c>
    </row>
    <row r="322" spans="2:2">
      <c r="B322" t="e">
        <v>#N/A</v>
      </c>
    </row>
    <row r="323" spans="2:2">
      <c r="B323" t="e">
        <v>#N/A</v>
      </c>
    </row>
    <row r="324" spans="2:2">
      <c r="B324" t="e">
        <v>#N/A</v>
      </c>
    </row>
    <row r="325" spans="2:2">
      <c r="B325" t="e">
        <v>#N/A</v>
      </c>
    </row>
    <row r="326" spans="2:2">
      <c r="B326" t="e">
        <v>#N/A</v>
      </c>
    </row>
    <row r="327" spans="2:2">
      <c r="B327" t="e">
        <v>#N/A</v>
      </c>
    </row>
    <row r="328" spans="2:2">
      <c r="B328" t="e">
        <v>#N/A</v>
      </c>
    </row>
    <row r="329" spans="2:2">
      <c r="B329" t="e">
        <v>#N/A</v>
      </c>
    </row>
    <row r="330" spans="2:2">
      <c r="B330" t="e">
        <v>#N/A</v>
      </c>
    </row>
    <row r="331" spans="2:2">
      <c r="B331" t="e">
        <v>#N/A</v>
      </c>
    </row>
    <row r="332" spans="2:2">
      <c r="B332" t="e">
        <v>#N/A</v>
      </c>
    </row>
    <row r="333" spans="2:2">
      <c r="B333" t="e">
        <v>#N/A</v>
      </c>
    </row>
    <row r="334" spans="2:2">
      <c r="B334" t="e">
        <v>#N/A</v>
      </c>
    </row>
    <row r="335" spans="2:2">
      <c r="B335" t="e">
        <v>#N/A</v>
      </c>
    </row>
    <row r="336" spans="2:2">
      <c r="B336" t="e">
        <v>#N/A</v>
      </c>
    </row>
    <row r="337" spans="2:2">
      <c r="B337" t="e">
        <v>#N/A</v>
      </c>
    </row>
    <row r="338" spans="2:2">
      <c r="B338" t="e">
        <v>#N/A</v>
      </c>
    </row>
    <row r="339" spans="2:2">
      <c r="B339" t="e">
        <v>#N/A</v>
      </c>
    </row>
    <row r="340" spans="2:2">
      <c r="B340" t="e">
        <v>#N/A</v>
      </c>
    </row>
    <row r="341" spans="2:2">
      <c r="B341" t="e">
        <v>#N/A</v>
      </c>
    </row>
    <row r="342" spans="2:2">
      <c r="B342" t="e">
        <v>#N/A</v>
      </c>
    </row>
    <row r="343" spans="2:2">
      <c r="B343" t="e">
        <v>#N/A</v>
      </c>
    </row>
    <row r="344" spans="2:2">
      <c r="B344" t="e">
        <v>#N/A</v>
      </c>
    </row>
    <row r="345" spans="2:2">
      <c r="B345" t="e">
        <v>#N/A</v>
      </c>
    </row>
    <row r="346" spans="2:2">
      <c r="B346" t="e">
        <v>#N/A</v>
      </c>
    </row>
    <row r="347" spans="2:2">
      <c r="B347" t="e">
        <v>#N/A</v>
      </c>
    </row>
    <row r="348" spans="2:2">
      <c r="B348" t="e">
        <v>#N/A</v>
      </c>
    </row>
    <row r="349" spans="2:2">
      <c r="B349" t="e">
        <v>#N/A</v>
      </c>
    </row>
    <row r="350" spans="2:2">
      <c r="B350" t="e">
        <v>#N/A</v>
      </c>
    </row>
    <row r="351" spans="2:2">
      <c r="B351" t="e">
        <v>#N/A</v>
      </c>
    </row>
    <row r="352" spans="2:2">
      <c r="B352" t="e">
        <v>#N/A</v>
      </c>
    </row>
    <row r="353" spans="2:2">
      <c r="B353" t="e">
        <v>#N/A</v>
      </c>
    </row>
    <row r="354" spans="2:2">
      <c r="B354" t="e">
        <v>#N/A</v>
      </c>
    </row>
    <row r="355" spans="2:2">
      <c r="B355" t="e">
        <v>#N/A</v>
      </c>
    </row>
    <row r="356" spans="2:2">
      <c r="B356" t="e">
        <v>#N/A</v>
      </c>
    </row>
    <row r="357" spans="2:2">
      <c r="B357" t="e">
        <v>#N/A</v>
      </c>
    </row>
    <row r="358" spans="2:2">
      <c r="B358" t="e">
        <v>#N/A</v>
      </c>
    </row>
    <row r="359" spans="2:2">
      <c r="B359" t="e">
        <v>#N/A</v>
      </c>
    </row>
    <row r="360" spans="2:2">
      <c r="B360" t="e">
        <v>#N/A</v>
      </c>
    </row>
    <row r="361" spans="2:2">
      <c r="B361" t="e">
        <v>#N/A</v>
      </c>
    </row>
    <row r="362" spans="2:2">
      <c r="B362" t="e">
        <v>#N/A</v>
      </c>
    </row>
    <row r="363" spans="2:2">
      <c r="B363" t="e">
        <v>#N/A</v>
      </c>
    </row>
    <row r="364" spans="2:2">
      <c r="B364" t="e">
        <v>#N/A</v>
      </c>
    </row>
    <row r="365" spans="2:2">
      <c r="B365" t="e">
        <v>#N/A</v>
      </c>
    </row>
    <row r="366" spans="2:2">
      <c r="B366" t="e">
        <v>#N/A</v>
      </c>
    </row>
    <row r="367" spans="2:2">
      <c r="B367" t="e">
        <v>#N/A</v>
      </c>
    </row>
    <row r="368" spans="2:2">
      <c r="B368" t="e">
        <v>#N/A</v>
      </c>
    </row>
    <row r="369" spans="2:2">
      <c r="B369" t="e">
        <v>#N/A</v>
      </c>
    </row>
    <row r="370" spans="2:2">
      <c r="B370" t="e">
        <v>#N/A</v>
      </c>
    </row>
    <row r="371" spans="2:2">
      <c r="B371" t="e">
        <v>#N/A</v>
      </c>
    </row>
    <row r="372" spans="2:2">
      <c r="B372" t="e">
        <v>#N/A</v>
      </c>
    </row>
    <row r="373" spans="2:2">
      <c r="B373" t="e">
        <v>#N/A</v>
      </c>
    </row>
    <row r="374" spans="2:2">
      <c r="B374" t="e">
        <v>#N/A</v>
      </c>
    </row>
    <row r="375" spans="2:2">
      <c r="B375" t="e">
        <v>#N/A</v>
      </c>
    </row>
    <row r="376" spans="2:2">
      <c r="B376" t="e">
        <v>#N/A</v>
      </c>
    </row>
    <row r="377" spans="2:2">
      <c r="B377" t="e">
        <v>#N/A</v>
      </c>
    </row>
    <row r="378" spans="2:2">
      <c r="B378" t="e">
        <v>#N/A</v>
      </c>
    </row>
    <row r="379" spans="2:2">
      <c r="B379" t="e">
        <v>#N/A</v>
      </c>
    </row>
    <row r="380" spans="2:2">
      <c r="B380" t="e">
        <v>#N/A</v>
      </c>
    </row>
    <row r="381" spans="2:2">
      <c r="B381" t="e">
        <v>#N/A</v>
      </c>
    </row>
    <row r="382" spans="2:2">
      <c r="B382" t="e">
        <v>#N/A</v>
      </c>
    </row>
    <row r="383" spans="2:2">
      <c r="B383" t="e">
        <v>#N/A</v>
      </c>
    </row>
    <row r="384" spans="2:2">
      <c r="B384" t="e">
        <v>#N/A</v>
      </c>
    </row>
    <row r="385" spans="2:2">
      <c r="B385" t="e">
        <v>#N/A</v>
      </c>
    </row>
    <row r="386" spans="2:2">
      <c r="B386" t="e">
        <v>#N/A</v>
      </c>
    </row>
    <row r="387" spans="2:2">
      <c r="B387" t="e">
        <v>#N/A</v>
      </c>
    </row>
    <row r="388" spans="2:2">
      <c r="B388" t="e">
        <v>#N/A</v>
      </c>
    </row>
    <row r="389" spans="2:2">
      <c r="B389" t="e">
        <v>#N/A</v>
      </c>
    </row>
    <row r="390" spans="2:2">
      <c r="B390" t="e">
        <v>#N/A</v>
      </c>
    </row>
    <row r="391" spans="2:2">
      <c r="B391" t="e">
        <v>#N/A</v>
      </c>
    </row>
    <row r="392" spans="2:2">
      <c r="B392" t="e">
        <v>#N/A</v>
      </c>
    </row>
    <row r="393" spans="2:2">
      <c r="B393" t="e">
        <v>#N/A</v>
      </c>
    </row>
    <row r="394" spans="2:2">
      <c r="B394" t="e">
        <v>#N/A</v>
      </c>
    </row>
    <row r="395" spans="2:2">
      <c r="B395" t="e">
        <v>#N/A</v>
      </c>
    </row>
    <row r="396" spans="2:2">
      <c r="B396" t="e">
        <v>#N/A</v>
      </c>
    </row>
    <row r="397" spans="2:2">
      <c r="B397" t="e">
        <v>#N/A</v>
      </c>
    </row>
    <row r="398" spans="2:2">
      <c r="B398" t="e">
        <v>#N/A</v>
      </c>
    </row>
    <row r="399" spans="2:2">
      <c r="B399" t="e">
        <v>#N/A</v>
      </c>
    </row>
    <row r="400" spans="2:2">
      <c r="B400" t="e">
        <v>#N/A</v>
      </c>
    </row>
    <row r="401" spans="2:2">
      <c r="B401" t="e">
        <v>#N/A</v>
      </c>
    </row>
    <row r="402" spans="2:2">
      <c r="B402" t="e">
        <v>#N/A</v>
      </c>
    </row>
    <row r="403" spans="2:2">
      <c r="B403" t="e">
        <v>#N/A</v>
      </c>
    </row>
    <row r="404" spans="2:2">
      <c r="B404" t="e">
        <v>#N/A</v>
      </c>
    </row>
    <row r="405" spans="2:2">
      <c r="B405" t="e">
        <v>#N/A</v>
      </c>
    </row>
    <row r="406" spans="2:2">
      <c r="B406" t="e">
        <v>#N/A</v>
      </c>
    </row>
    <row r="407" spans="2:2">
      <c r="B407" t="e">
        <v>#N/A</v>
      </c>
    </row>
    <row r="408" spans="2:2">
      <c r="B408" t="e">
        <v>#N/A</v>
      </c>
    </row>
    <row r="409" spans="2:2">
      <c r="B409" t="e">
        <v>#N/A</v>
      </c>
    </row>
    <row r="410" spans="2:2">
      <c r="B410" t="e">
        <v>#N/A</v>
      </c>
    </row>
    <row r="411" spans="2:2">
      <c r="B411" t="e">
        <v>#N/A</v>
      </c>
    </row>
    <row r="412" spans="2:2">
      <c r="B412" t="e">
        <v>#N/A</v>
      </c>
    </row>
    <row r="413" spans="2:2">
      <c r="B413" t="e">
        <v>#N/A</v>
      </c>
    </row>
    <row r="414" spans="2:2">
      <c r="B414" t="e">
        <v>#N/A</v>
      </c>
    </row>
    <row r="415" spans="2:2">
      <c r="B415" t="e">
        <v>#N/A</v>
      </c>
    </row>
    <row r="416" spans="2:2">
      <c r="B416" t="e">
        <v>#N/A</v>
      </c>
    </row>
    <row r="417" spans="2:2">
      <c r="B417" t="e">
        <v>#N/A</v>
      </c>
    </row>
    <row r="418" spans="2:2">
      <c r="B418" t="e">
        <v>#N/A</v>
      </c>
    </row>
    <row r="419" spans="2:2">
      <c r="B419" t="e">
        <v>#N/A</v>
      </c>
    </row>
    <row r="420" spans="2:2">
      <c r="B420" t="e">
        <v>#N/A</v>
      </c>
    </row>
    <row r="421" spans="2:2">
      <c r="B421" t="e">
        <v>#N/A</v>
      </c>
    </row>
    <row r="422" spans="2:2">
      <c r="B422" t="e">
        <v>#N/A</v>
      </c>
    </row>
    <row r="423" spans="2:2">
      <c r="B423" t="e">
        <v>#N/A</v>
      </c>
    </row>
    <row r="424" spans="2:2">
      <c r="B424" t="e">
        <v>#N/A</v>
      </c>
    </row>
    <row r="425" spans="2:2">
      <c r="B425" t="e">
        <v>#N/A</v>
      </c>
    </row>
    <row r="426" spans="2:2">
      <c r="B426" t="e">
        <v>#N/A</v>
      </c>
    </row>
    <row r="427" spans="2:2">
      <c r="B427" t="e">
        <v>#N/A</v>
      </c>
    </row>
    <row r="428" spans="2:2">
      <c r="B428" t="e">
        <v>#N/A</v>
      </c>
    </row>
    <row r="429" spans="2:2">
      <c r="B429" t="e">
        <v>#N/A</v>
      </c>
    </row>
    <row r="430" spans="2:2">
      <c r="B430" t="e">
        <v>#N/A</v>
      </c>
    </row>
    <row r="431" spans="2:2">
      <c r="B431" t="e">
        <v>#N/A</v>
      </c>
    </row>
    <row r="432" spans="2:2">
      <c r="B432" t="e">
        <v>#N/A</v>
      </c>
    </row>
    <row r="433" spans="2:2">
      <c r="B433" t="e">
        <v>#N/A</v>
      </c>
    </row>
    <row r="434" spans="2:2">
      <c r="B434" t="e">
        <v>#N/A</v>
      </c>
    </row>
    <row r="435" spans="2:2">
      <c r="B435" t="e">
        <v>#N/A</v>
      </c>
    </row>
    <row r="436" spans="2:2">
      <c r="B436" t="e">
        <v>#N/A</v>
      </c>
    </row>
    <row r="437" spans="2:2">
      <c r="B437" t="e">
        <v>#N/A</v>
      </c>
    </row>
    <row r="438" spans="2:2">
      <c r="B438" t="e">
        <v>#N/A</v>
      </c>
    </row>
    <row r="439" spans="2:2">
      <c r="B439" t="e">
        <v>#N/A</v>
      </c>
    </row>
    <row r="440" spans="2:2">
      <c r="B440" t="e">
        <v>#N/A</v>
      </c>
    </row>
    <row r="441" spans="2:2">
      <c r="B441" t="e">
        <v>#N/A</v>
      </c>
    </row>
    <row r="442" spans="2:2">
      <c r="B442" t="e">
        <v>#N/A</v>
      </c>
    </row>
    <row r="443" spans="2:2">
      <c r="B443" t="e">
        <v>#N/A</v>
      </c>
    </row>
    <row r="444" spans="2:2">
      <c r="B444" t="e">
        <v>#N/A</v>
      </c>
    </row>
    <row r="445" spans="2:2">
      <c r="B445" t="e">
        <v>#N/A</v>
      </c>
    </row>
    <row r="446" spans="2:2">
      <c r="B446" t="e">
        <v>#N/A</v>
      </c>
    </row>
    <row r="447" spans="2:2">
      <c r="B447" t="e">
        <v>#N/A</v>
      </c>
    </row>
    <row r="448" spans="2:2">
      <c r="B448" t="e">
        <v>#N/A</v>
      </c>
    </row>
    <row r="449" spans="2:2">
      <c r="B449" t="e">
        <v>#N/A</v>
      </c>
    </row>
    <row r="450" spans="2:2">
      <c r="B450" t="e">
        <v>#N/A</v>
      </c>
    </row>
    <row r="451" spans="2:2">
      <c r="B451" t="e">
        <v>#N/A</v>
      </c>
    </row>
    <row r="452" spans="2:2">
      <c r="B452" t="e">
        <v>#N/A</v>
      </c>
    </row>
    <row r="453" spans="2:2">
      <c r="B453" t="e">
        <v>#N/A</v>
      </c>
    </row>
    <row r="454" spans="2:2">
      <c r="B454" t="e">
        <v>#N/A</v>
      </c>
    </row>
    <row r="455" spans="2:2">
      <c r="B455" t="e">
        <v>#N/A</v>
      </c>
    </row>
    <row r="456" spans="2:2">
      <c r="B456" t="e">
        <v>#N/A</v>
      </c>
    </row>
    <row r="457" spans="2:2">
      <c r="B457" t="e">
        <v>#N/A</v>
      </c>
    </row>
    <row r="458" spans="2:2">
      <c r="B458" t="e">
        <v>#N/A</v>
      </c>
    </row>
    <row r="459" spans="2:2">
      <c r="B459" t="e">
        <v>#N/A</v>
      </c>
    </row>
    <row r="460" spans="2:2">
      <c r="B460" t="e">
        <v>#N/A</v>
      </c>
    </row>
    <row r="461" spans="2:2">
      <c r="B461" t="e">
        <v>#N/A</v>
      </c>
    </row>
    <row r="462" spans="2:2">
      <c r="B462" t="e">
        <v>#N/A</v>
      </c>
    </row>
    <row r="463" spans="2:2">
      <c r="B463" t="e">
        <v>#N/A</v>
      </c>
    </row>
    <row r="464" spans="2:2">
      <c r="B464" t="e">
        <v>#N/A</v>
      </c>
    </row>
    <row r="465" spans="2:2">
      <c r="B465" t="e">
        <v>#N/A</v>
      </c>
    </row>
    <row r="466" spans="2:2">
      <c r="B466" t="e">
        <v>#N/A</v>
      </c>
    </row>
    <row r="467" spans="2:2">
      <c r="B467" t="e">
        <v>#N/A</v>
      </c>
    </row>
    <row r="468" spans="2:2">
      <c r="B468" t="e">
        <v>#N/A</v>
      </c>
    </row>
    <row r="469" spans="2:2">
      <c r="B469" t="e">
        <v>#N/A</v>
      </c>
    </row>
    <row r="470" spans="2:2">
      <c r="B470" t="e">
        <v>#N/A</v>
      </c>
    </row>
    <row r="471" spans="2:2">
      <c r="B471" t="e">
        <v>#N/A</v>
      </c>
    </row>
    <row r="472" spans="2:2">
      <c r="B472" t="e">
        <v>#N/A</v>
      </c>
    </row>
    <row r="473" spans="2:2">
      <c r="B473" t="e">
        <v>#N/A</v>
      </c>
    </row>
    <row r="474" spans="2:2">
      <c r="B474" t="e">
        <v>#N/A</v>
      </c>
    </row>
    <row r="475" spans="2:2">
      <c r="B475" t="e">
        <v>#N/A</v>
      </c>
    </row>
    <row r="476" spans="2:2">
      <c r="B476" t="e">
        <v>#N/A</v>
      </c>
    </row>
    <row r="477" spans="2:2">
      <c r="B477" t="e">
        <v>#N/A</v>
      </c>
    </row>
    <row r="478" spans="2:2">
      <c r="B478" t="e">
        <v>#N/A</v>
      </c>
    </row>
    <row r="479" spans="2:2">
      <c r="B479" t="e">
        <v>#N/A</v>
      </c>
    </row>
    <row r="480" spans="2:2">
      <c r="B480" t="e">
        <v>#N/A</v>
      </c>
    </row>
    <row r="481" spans="2:2">
      <c r="B481" t="e">
        <v>#N/A</v>
      </c>
    </row>
    <row r="482" spans="2:2">
      <c r="B482" t="e">
        <v>#N/A</v>
      </c>
    </row>
    <row r="483" spans="2:2">
      <c r="B483" t="e">
        <v>#N/A</v>
      </c>
    </row>
    <row r="484" spans="2:2">
      <c r="B484" t="e">
        <v>#N/A</v>
      </c>
    </row>
    <row r="485" spans="2:2">
      <c r="B485" t="e">
        <v>#N/A</v>
      </c>
    </row>
    <row r="486" spans="2:2">
      <c r="B486" t="e">
        <v>#N/A</v>
      </c>
    </row>
    <row r="487" spans="2:2">
      <c r="B487" t="e">
        <v>#N/A</v>
      </c>
    </row>
    <row r="488" spans="2:2">
      <c r="B488" t="e">
        <v>#N/A</v>
      </c>
    </row>
    <row r="489" spans="2:2">
      <c r="B489" t="e">
        <v>#N/A</v>
      </c>
    </row>
    <row r="490" spans="2:2">
      <c r="B490" t="e">
        <v>#N/A</v>
      </c>
    </row>
    <row r="491" spans="2:2">
      <c r="B491" t="e">
        <v>#N/A</v>
      </c>
    </row>
    <row r="492" spans="2:2">
      <c r="B492" t="e">
        <v>#N/A</v>
      </c>
    </row>
    <row r="493" spans="2:2">
      <c r="B493" t="e">
        <v>#N/A</v>
      </c>
    </row>
    <row r="494" spans="2:2">
      <c r="B494" t="e">
        <v>#N/A</v>
      </c>
    </row>
    <row r="495" spans="2:2">
      <c r="B495" t="e">
        <v>#N/A</v>
      </c>
    </row>
    <row r="496" spans="2:2">
      <c r="B496" t="e">
        <v>#N/A</v>
      </c>
    </row>
    <row r="497" spans="2:2">
      <c r="B497" t="e">
        <v>#N/A</v>
      </c>
    </row>
    <row r="498" spans="2:2">
      <c r="B498" t="e">
        <v>#N/A</v>
      </c>
    </row>
    <row r="499" spans="2:2">
      <c r="B499" t="e">
        <v>#N/A</v>
      </c>
    </row>
    <row r="500" spans="2:2">
      <c r="B500" t="e">
        <v>#N/A</v>
      </c>
    </row>
    <row r="501" spans="2:2">
      <c r="B501" t="e">
        <v>#N/A</v>
      </c>
    </row>
    <row r="502" spans="2:2">
      <c r="B502" t="e">
        <v>#N/A</v>
      </c>
    </row>
    <row r="503" spans="2:2">
      <c r="B503" t="e">
        <v>#N/A</v>
      </c>
    </row>
    <row r="504" spans="2:2">
      <c r="B504" t="e">
        <v>#N/A</v>
      </c>
    </row>
    <row r="505" spans="2:2">
      <c r="B505" t="e">
        <v>#N/A</v>
      </c>
    </row>
    <row r="506" spans="2:2">
      <c r="B506" t="e">
        <v>#N/A</v>
      </c>
    </row>
    <row r="507" spans="2:2">
      <c r="B507" t="e">
        <v>#N/A</v>
      </c>
    </row>
    <row r="508" spans="2:2">
      <c r="B508" t="e">
        <v>#N/A</v>
      </c>
    </row>
    <row r="509" spans="2:2">
      <c r="B509" t="e">
        <v>#N/A</v>
      </c>
    </row>
    <row r="510" spans="2:2">
      <c r="B510" t="e">
        <v>#N/A</v>
      </c>
    </row>
    <row r="511" spans="2:2">
      <c r="B511" t="e">
        <v>#N/A</v>
      </c>
    </row>
    <row r="512" spans="2:2">
      <c r="B512" t="e">
        <v>#N/A</v>
      </c>
    </row>
    <row r="513" spans="2:2">
      <c r="B513" t="e">
        <v>#N/A</v>
      </c>
    </row>
    <row r="514" spans="2:2">
      <c r="B514" t="e">
        <v>#N/A</v>
      </c>
    </row>
    <row r="515" spans="2:2">
      <c r="B515" t="e">
        <v>#N/A</v>
      </c>
    </row>
    <row r="516" spans="2:2">
      <c r="B516" t="e">
        <v>#N/A</v>
      </c>
    </row>
    <row r="517" spans="2:2">
      <c r="B517" t="e">
        <v>#N/A</v>
      </c>
    </row>
    <row r="518" spans="2:2">
      <c r="B518" t="e">
        <v>#N/A</v>
      </c>
    </row>
    <row r="519" spans="2:2">
      <c r="B519" t="e">
        <v>#N/A</v>
      </c>
    </row>
    <row r="520" spans="2:2">
      <c r="B520" t="e">
        <v>#N/A</v>
      </c>
    </row>
    <row r="521" spans="2:2">
      <c r="B521" t="e">
        <v>#N/A</v>
      </c>
    </row>
    <row r="522" spans="2:2">
      <c r="B522" t="e">
        <v>#N/A</v>
      </c>
    </row>
    <row r="523" spans="2:2">
      <c r="B523" t="e">
        <v>#N/A</v>
      </c>
    </row>
    <row r="524" spans="2:2">
      <c r="B524" t="e">
        <v>#N/A</v>
      </c>
    </row>
    <row r="525" spans="2:2">
      <c r="B525" t="e">
        <v>#N/A</v>
      </c>
    </row>
    <row r="526" spans="2:2">
      <c r="B526" t="e">
        <v>#N/A</v>
      </c>
    </row>
    <row r="527" spans="2:2">
      <c r="B527" t="e">
        <v>#N/A</v>
      </c>
    </row>
    <row r="528" spans="2:2">
      <c r="B528" t="e">
        <v>#N/A</v>
      </c>
    </row>
    <row r="529" spans="2:2">
      <c r="B529" t="e">
        <v>#N/A</v>
      </c>
    </row>
    <row r="530" spans="2:2">
      <c r="B530" t="e">
        <v>#N/A</v>
      </c>
    </row>
    <row r="531" spans="2:2">
      <c r="B531" t="e">
        <v>#N/A</v>
      </c>
    </row>
    <row r="532" spans="2:2">
      <c r="B532" t="e">
        <v>#N/A</v>
      </c>
    </row>
    <row r="533" spans="2:2">
      <c r="B533" t="e">
        <v>#N/A</v>
      </c>
    </row>
    <row r="534" spans="2:2">
      <c r="B534" t="e">
        <v>#N/A</v>
      </c>
    </row>
    <row r="535" spans="2:2">
      <c r="B535" t="e">
        <v>#N/A</v>
      </c>
    </row>
    <row r="536" spans="2:2">
      <c r="B536" t="e">
        <v>#N/A</v>
      </c>
    </row>
    <row r="537" spans="2:2">
      <c r="B537" t="e">
        <v>#N/A</v>
      </c>
    </row>
    <row r="538" spans="2:2">
      <c r="B538" t="e">
        <v>#N/A</v>
      </c>
    </row>
    <row r="539" spans="2:2">
      <c r="B539" t="e">
        <v>#N/A</v>
      </c>
    </row>
    <row r="540" spans="2:2">
      <c r="B540" t="e">
        <v>#N/A</v>
      </c>
    </row>
    <row r="541" spans="2:2">
      <c r="B541" t="e">
        <v>#N/A</v>
      </c>
    </row>
    <row r="542" spans="2:2">
      <c r="B542" t="e">
        <v>#N/A</v>
      </c>
    </row>
    <row r="543" spans="2:2">
      <c r="B543" t="e">
        <v>#N/A</v>
      </c>
    </row>
    <row r="544" spans="2:2">
      <c r="B544" t="e">
        <v>#N/A</v>
      </c>
    </row>
    <row r="545" spans="2:2">
      <c r="B545" t="e">
        <v>#N/A</v>
      </c>
    </row>
    <row r="546" spans="2:2">
      <c r="B546" t="e">
        <v>#N/A</v>
      </c>
    </row>
    <row r="547" spans="2:2">
      <c r="B547" t="e">
        <v>#N/A</v>
      </c>
    </row>
    <row r="548" spans="2:2">
      <c r="B548" t="e">
        <v>#N/A</v>
      </c>
    </row>
    <row r="549" spans="2:2">
      <c r="B549" t="e">
        <v>#N/A</v>
      </c>
    </row>
    <row r="550" spans="2:2">
      <c r="B550" t="e">
        <v>#N/A</v>
      </c>
    </row>
    <row r="551" spans="2:2">
      <c r="B551" t="e">
        <v>#N/A</v>
      </c>
    </row>
    <row r="552" spans="2:2">
      <c r="B552" t="e">
        <v>#N/A</v>
      </c>
    </row>
    <row r="553" spans="2:2">
      <c r="B553" t="e">
        <v>#N/A</v>
      </c>
    </row>
    <row r="554" spans="2:2">
      <c r="B554" t="e">
        <v>#N/A</v>
      </c>
    </row>
    <row r="555" spans="2:2">
      <c r="B555" t="e">
        <v>#N/A</v>
      </c>
    </row>
    <row r="556" spans="2:2">
      <c r="B556" t="e">
        <v>#N/A</v>
      </c>
    </row>
    <row r="557" spans="2:2">
      <c r="B557" t="e">
        <v>#N/A</v>
      </c>
    </row>
    <row r="558" spans="2:2">
      <c r="B558" t="e">
        <v>#N/A</v>
      </c>
    </row>
    <row r="559" spans="2:2">
      <c r="B559" t="e">
        <v>#N/A</v>
      </c>
    </row>
    <row r="560" spans="2:2">
      <c r="B560" t="e">
        <v>#N/A</v>
      </c>
    </row>
    <row r="561" spans="2:2">
      <c r="B561" t="e">
        <v>#N/A</v>
      </c>
    </row>
    <row r="562" spans="2:2">
      <c r="B562" t="e">
        <v>#N/A</v>
      </c>
    </row>
    <row r="563" spans="2:2">
      <c r="B563" t="e">
        <v>#N/A</v>
      </c>
    </row>
    <row r="564" spans="2:2">
      <c r="B564" t="e">
        <v>#N/A</v>
      </c>
    </row>
    <row r="565" spans="2:2">
      <c r="B565" t="e">
        <v>#N/A</v>
      </c>
    </row>
    <row r="566" spans="2:2">
      <c r="B566" t="e">
        <v>#N/A</v>
      </c>
    </row>
    <row r="567" spans="2:2">
      <c r="B567" t="e">
        <v>#N/A</v>
      </c>
    </row>
    <row r="568" spans="2:2">
      <c r="B568" t="e">
        <v>#N/A</v>
      </c>
    </row>
    <row r="569" spans="2:2">
      <c r="B569" t="e">
        <v>#N/A</v>
      </c>
    </row>
    <row r="570" spans="2:2">
      <c r="B570" t="e">
        <v>#N/A</v>
      </c>
    </row>
    <row r="571" spans="2:2">
      <c r="B571" t="e">
        <v>#N/A</v>
      </c>
    </row>
    <row r="572" spans="2:2">
      <c r="B572" t="e">
        <v>#N/A</v>
      </c>
    </row>
    <row r="573" spans="2:2">
      <c r="B573" t="e">
        <v>#N/A</v>
      </c>
    </row>
    <row r="574" spans="2:2">
      <c r="B574" t="e">
        <v>#N/A</v>
      </c>
    </row>
    <row r="575" spans="2:2">
      <c r="B575" t="e">
        <v>#N/A</v>
      </c>
    </row>
    <row r="576" spans="2:2">
      <c r="B576" t="e">
        <v>#N/A</v>
      </c>
    </row>
    <row r="577" spans="2:2">
      <c r="B577" t="e">
        <v>#N/A</v>
      </c>
    </row>
    <row r="578" spans="2:2">
      <c r="B578" t="e">
        <v>#N/A</v>
      </c>
    </row>
    <row r="579" spans="2:2">
      <c r="B579" t="e">
        <v>#N/A</v>
      </c>
    </row>
    <row r="580" spans="2:2">
      <c r="B580" t="e">
        <v>#N/A</v>
      </c>
    </row>
    <row r="581" spans="2:2">
      <c r="B581" t="e">
        <v>#N/A</v>
      </c>
    </row>
    <row r="582" spans="2:2">
      <c r="B582" t="e">
        <v>#N/A</v>
      </c>
    </row>
    <row r="583" spans="2:2">
      <c r="B583" t="e">
        <v>#N/A</v>
      </c>
    </row>
    <row r="584" spans="2:2">
      <c r="B584" t="e">
        <v>#N/A</v>
      </c>
    </row>
    <row r="585" spans="2:2">
      <c r="B585" t="e">
        <v>#N/A</v>
      </c>
    </row>
    <row r="586" spans="2:2">
      <c r="B586" t="e">
        <v>#N/A</v>
      </c>
    </row>
    <row r="587" spans="2:2">
      <c r="B587" t="e">
        <v>#N/A</v>
      </c>
    </row>
    <row r="588" spans="2:2">
      <c r="B588" t="e">
        <v>#N/A</v>
      </c>
    </row>
    <row r="589" spans="2:2">
      <c r="B589" t="e">
        <v>#N/A</v>
      </c>
    </row>
    <row r="590" spans="2:2">
      <c r="B590" t="e">
        <v>#N/A</v>
      </c>
    </row>
    <row r="591" spans="2:2">
      <c r="B591" t="e">
        <v>#N/A</v>
      </c>
    </row>
    <row r="592" spans="2:2">
      <c r="B592" t="e">
        <v>#N/A</v>
      </c>
    </row>
    <row r="593" spans="2:2">
      <c r="B593" t="e">
        <v>#N/A</v>
      </c>
    </row>
    <row r="594" spans="2:2">
      <c r="B594" t="e">
        <v>#N/A</v>
      </c>
    </row>
    <row r="595" spans="2:2">
      <c r="B595" t="e">
        <v>#N/A</v>
      </c>
    </row>
    <row r="596" spans="2:2">
      <c r="B596" t="e">
        <v>#N/A</v>
      </c>
    </row>
    <row r="597" spans="2:2">
      <c r="B597" t="e">
        <v>#N/A</v>
      </c>
    </row>
    <row r="598" spans="2:2">
      <c r="B598" t="e">
        <v>#N/A</v>
      </c>
    </row>
    <row r="599" spans="2:2">
      <c r="B599" t="e">
        <v>#N/A</v>
      </c>
    </row>
    <row r="600" spans="2:2">
      <c r="B600" t="e">
        <v>#N/A</v>
      </c>
    </row>
    <row r="601" spans="2:2">
      <c r="B601" t="e">
        <v>#N/A</v>
      </c>
    </row>
    <row r="602" spans="2:2">
      <c r="B602" t="e">
        <v>#N/A</v>
      </c>
    </row>
    <row r="603" spans="2:2">
      <c r="B603" t="e">
        <v>#N/A</v>
      </c>
    </row>
    <row r="604" spans="2:2">
      <c r="B604" t="e">
        <v>#N/A</v>
      </c>
    </row>
    <row r="605" spans="2:2">
      <c r="B605" t="e">
        <v>#N/A</v>
      </c>
    </row>
    <row r="606" spans="2:2">
      <c r="B606" t="e">
        <v>#N/A</v>
      </c>
    </row>
    <row r="607" spans="2:2">
      <c r="B607" t="e">
        <v>#N/A</v>
      </c>
    </row>
    <row r="608" spans="2:2">
      <c r="B608" t="e">
        <v>#N/A</v>
      </c>
    </row>
    <row r="609" spans="2:2">
      <c r="B609" t="e">
        <v>#N/A</v>
      </c>
    </row>
    <row r="610" spans="2:2">
      <c r="B610" t="e">
        <v>#N/A</v>
      </c>
    </row>
    <row r="611" spans="2:2">
      <c r="B611" t="e">
        <v>#N/A</v>
      </c>
    </row>
    <row r="612" spans="2:2">
      <c r="B612" t="e">
        <v>#N/A</v>
      </c>
    </row>
    <row r="613" spans="2:2">
      <c r="B613" t="e">
        <v>#N/A</v>
      </c>
    </row>
    <row r="614" spans="2:2">
      <c r="B614" t="e">
        <v>#N/A</v>
      </c>
    </row>
    <row r="615" spans="2:2">
      <c r="B615" t="e">
        <v>#N/A</v>
      </c>
    </row>
    <row r="616" spans="2:2">
      <c r="B616" t="e">
        <v>#N/A</v>
      </c>
    </row>
    <row r="617" spans="2:2">
      <c r="B617" t="e">
        <v>#N/A</v>
      </c>
    </row>
    <row r="618" spans="2:2">
      <c r="B618" t="e">
        <v>#N/A</v>
      </c>
    </row>
    <row r="619" spans="2:2">
      <c r="B619" t="e">
        <v>#N/A</v>
      </c>
    </row>
    <row r="620" spans="2:2">
      <c r="B620" t="e">
        <v>#N/A</v>
      </c>
    </row>
    <row r="621" spans="2:2">
      <c r="B621" t="e">
        <v>#N/A</v>
      </c>
    </row>
    <row r="622" spans="2:2">
      <c r="B622" t="e">
        <v>#N/A</v>
      </c>
    </row>
    <row r="623" spans="2:2">
      <c r="B623" t="e">
        <v>#N/A</v>
      </c>
    </row>
    <row r="624" spans="2:2">
      <c r="B624" t="e">
        <v>#N/A</v>
      </c>
    </row>
    <row r="625" spans="2:2">
      <c r="B625" t="e">
        <v>#N/A</v>
      </c>
    </row>
    <row r="626" spans="2:2">
      <c r="B626" t="e">
        <v>#N/A</v>
      </c>
    </row>
    <row r="627" spans="2:2">
      <c r="B627" t="e">
        <v>#N/A</v>
      </c>
    </row>
    <row r="628" spans="2:2">
      <c r="B628" t="e">
        <v>#N/A</v>
      </c>
    </row>
    <row r="629" spans="2:2">
      <c r="B629" t="e">
        <v>#N/A</v>
      </c>
    </row>
    <row r="630" spans="2:2">
      <c r="B630" t="e">
        <v>#N/A</v>
      </c>
    </row>
    <row r="631" spans="2:2">
      <c r="B631" t="e">
        <v>#N/A</v>
      </c>
    </row>
    <row r="632" spans="2:2">
      <c r="B632" t="e">
        <v>#N/A</v>
      </c>
    </row>
    <row r="633" spans="2:2">
      <c r="B633" t="e">
        <v>#N/A</v>
      </c>
    </row>
    <row r="634" spans="2:2">
      <c r="B634" t="e">
        <v>#N/A</v>
      </c>
    </row>
    <row r="635" spans="2:2">
      <c r="B635" t="e">
        <v>#N/A</v>
      </c>
    </row>
    <row r="636" spans="2:2">
      <c r="B636" t="e">
        <v>#N/A</v>
      </c>
    </row>
    <row r="637" spans="2:2">
      <c r="B637" t="e">
        <v>#N/A</v>
      </c>
    </row>
    <row r="638" spans="2:2">
      <c r="B638" t="e">
        <v>#N/A</v>
      </c>
    </row>
    <row r="639" spans="2:2">
      <c r="B639" t="e">
        <v>#N/A</v>
      </c>
    </row>
    <row r="640" spans="2:2">
      <c r="B640" t="e">
        <v>#N/A</v>
      </c>
    </row>
    <row r="641" spans="2:2">
      <c r="B641" t="e">
        <v>#N/A</v>
      </c>
    </row>
    <row r="642" spans="2:2">
      <c r="B642" t="e">
        <v>#N/A</v>
      </c>
    </row>
    <row r="643" spans="2:2">
      <c r="B643" t="e">
        <v>#N/A</v>
      </c>
    </row>
    <row r="644" spans="2:2">
      <c r="B644" t="e">
        <v>#N/A</v>
      </c>
    </row>
    <row r="645" spans="2:2">
      <c r="B645" t="e">
        <v>#N/A</v>
      </c>
    </row>
    <row r="646" spans="2:2">
      <c r="B646" t="e">
        <v>#N/A</v>
      </c>
    </row>
    <row r="647" spans="2:2">
      <c r="B647" t="e">
        <v>#N/A</v>
      </c>
    </row>
    <row r="648" spans="2:2">
      <c r="B648" t="e">
        <v>#N/A</v>
      </c>
    </row>
    <row r="649" spans="2:2">
      <c r="B649" t="e">
        <v>#N/A</v>
      </c>
    </row>
    <row r="650" spans="2:2">
      <c r="B650" t="e">
        <v>#N/A</v>
      </c>
    </row>
    <row r="651" spans="2:2">
      <c r="B651" t="e">
        <v>#N/A</v>
      </c>
    </row>
    <row r="652" spans="2:2">
      <c r="B652" t="e">
        <v>#N/A</v>
      </c>
    </row>
    <row r="653" spans="2:2">
      <c r="B653" t="e">
        <v>#N/A</v>
      </c>
    </row>
    <row r="654" spans="2:2">
      <c r="B654" t="e">
        <v>#N/A</v>
      </c>
    </row>
    <row r="655" spans="2:2">
      <c r="B655" t="e">
        <v>#N/A</v>
      </c>
    </row>
    <row r="656" spans="2:2">
      <c r="B656" t="e">
        <v>#N/A</v>
      </c>
    </row>
    <row r="657" spans="2:2">
      <c r="B657" t="e">
        <v>#N/A</v>
      </c>
    </row>
    <row r="658" spans="2:2">
      <c r="B658" t="e">
        <v>#N/A</v>
      </c>
    </row>
    <row r="659" spans="2:2">
      <c r="B659" t="e">
        <v>#N/A</v>
      </c>
    </row>
    <row r="660" spans="2:2">
      <c r="B660" t="e">
        <v>#N/A</v>
      </c>
    </row>
    <row r="661" spans="2:2">
      <c r="B661" t="e">
        <v>#N/A</v>
      </c>
    </row>
    <row r="662" spans="2:2">
      <c r="B662" t="e">
        <v>#N/A</v>
      </c>
    </row>
    <row r="663" spans="2:2">
      <c r="B663" t="e">
        <v>#N/A</v>
      </c>
    </row>
    <row r="664" spans="2:2">
      <c r="B664" t="e">
        <v>#N/A</v>
      </c>
    </row>
    <row r="665" spans="2:2">
      <c r="B665" t="e">
        <v>#N/A</v>
      </c>
    </row>
    <row r="666" spans="2:2">
      <c r="B666" t="e">
        <v>#N/A</v>
      </c>
    </row>
    <row r="667" spans="2:2">
      <c r="B667" t="e">
        <v>#N/A</v>
      </c>
    </row>
    <row r="668" spans="2:2">
      <c r="B668" t="e">
        <v>#N/A</v>
      </c>
    </row>
    <row r="669" spans="2:2">
      <c r="B669" t="e">
        <v>#N/A</v>
      </c>
    </row>
    <row r="670" spans="2:2">
      <c r="B670" t="e">
        <v>#N/A</v>
      </c>
    </row>
    <row r="671" spans="2:2">
      <c r="B671" t="e">
        <v>#N/A</v>
      </c>
    </row>
    <row r="672" spans="2:2">
      <c r="B672" t="e">
        <v>#N/A</v>
      </c>
    </row>
    <row r="673" spans="2:2">
      <c r="B673" t="e">
        <v>#N/A</v>
      </c>
    </row>
    <row r="674" spans="2:2">
      <c r="B674" t="e">
        <v>#N/A</v>
      </c>
    </row>
    <row r="675" spans="2:2">
      <c r="B675" t="e">
        <v>#N/A</v>
      </c>
    </row>
    <row r="676" spans="2:2">
      <c r="B676" t="e">
        <v>#N/A</v>
      </c>
    </row>
    <row r="677" spans="2:2">
      <c r="B677" t="e">
        <v>#N/A</v>
      </c>
    </row>
    <row r="678" spans="2:2">
      <c r="B678" t="e">
        <v>#N/A</v>
      </c>
    </row>
    <row r="679" spans="2:2">
      <c r="B679" t="e">
        <v>#N/A</v>
      </c>
    </row>
    <row r="680" spans="2:2">
      <c r="B680" t="e">
        <v>#N/A</v>
      </c>
    </row>
    <row r="681" spans="2:2">
      <c r="B681" t="e">
        <v>#N/A</v>
      </c>
    </row>
    <row r="682" spans="2:2">
      <c r="B682" t="e">
        <v>#N/A</v>
      </c>
    </row>
    <row r="683" spans="2:2">
      <c r="B683" t="e">
        <v>#N/A</v>
      </c>
    </row>
    <row r="684" spans="2:2">
      <c r="B684" t="e">
        <v>#N/A</v>
      </c>
    </row>
    <row r="685" spans="2:2">
      <c r="B685" t="e">
        <v>#N/A</v>
      </c>
    </row>
    <row r="686" spans="2:2">
      <c r="B686" t="e">
        <v>#N/A</v>
      </c>
    </row>
    <row r="687" spans="2:2">
      <c r="B687" t="e">
        <v>#N/A</v>
      </c>
    </row>
    <row r="688" spans="2:2">
      <c r="B688" t="e">
        <v>#N/A</v>
      </c>
    </row>
    <row r="689" spans="2:2">
      <c r="B689" t="e">
        <v>#N/A</v>
      </c>
    </row>
    <row r="690" spans="2:2">
      <c r="B690" t="e">
        <v>#N/A</v>
      </c>
    </row>
    <row r="691" spans="2:2">
      <c r="B691" t="e">
        <v>#N/A</v>
      </c>
    </row>
    <row r="692" spans="2:2">
      <c r="B692" t="e">
        <v>#N/A</v>
      </c>
    </row>
    <row r="693" spans="2:2">
      <c r="B693" t="e">
        <v>#N/A</v>
      </c>
    </row>
    <row r="694" spans="2:2">
      <c r="B694" t="e">
        <v>#N/A</v>
      </c>
    </row>
    <row r="695" spans="2:2">
      <c r="B695" t="e">
        <v>#N/A</v>
      </c>
    </row>
    <row r="696" spans="2:2">
      <c r="B696" t="e">
        <v>#N/A</v>
      </c>
    </row>
    <row r="697" spans="2:2">
      <c r="B697" t="e">
        <v>#N/A</v>
      </c>
    </row>
    <row r="698" spans="2:2">
      <c r="B698" t="e">
        <v>#N/A</v>
      </c>
    </row>
    <row r="699" spans="2:2">
      <c r="B699" t="e">
        <v>#N/A</v>
      </c>
    </row>
    <row r="700" spans="2:2">
      <c r="B700" t="e">
        <v>#N/A</v>
      </c>
    </row>
    <row r="701" spans="2:2">
      <c r="B701" t="e">
        <v>#N/A</v>
      </c>
    </row>
    <row r="702" spans="2:2">
      <c r="B702" t="e">
        <v>#N/A</v>
      </c>
    </row>
    <row r="703" spans="2:2">
      <c r="B703" t="e">
        <v>#N/A</v>
      </c>
    </row>
    <row r="704" spans="2:2">
      <c r="B704" t="e">
        <v>#N/A</v>
      </c>
    </row>
    <row r="705" spans="2:2">
      <c r="B705" t="e">
        <v>#N/A</v>
      </c>
    </row>
    <row r="706" spans="2:2">
      <c r="B706" t="e">
        <v>#N/A</v>
      </c>
    </row>
    <row r="707" spans="2:2">
      <c r="B707" t="e">
        <v>#N/A</v>
      </c>
    </row>
    <row r="708" spans="2:2">
      <c r="B708" t="e">
        <v>#N/A</v>
      </c>
    </row>
    <row r="709" spans="2:2">
      <c r="B709" t="e">
        <v>#N/A</v>
      </c>
    </row>
    <row r="710" spans="2:2">
      <c r="B710" t="e">
        <v>#N/A</v>
      </c>
    </row>
    <row r="711" spans="2:2">
      <c r="B711" t="e">
        <v>#N/A</v>
      </c>
    </row>
    <row r="712" spans="2:2">
      <c r="B712" t="e">
        <v>#N/A</v>
      </c>
    </row>
    <row r="713" spans="2:2">
      <c r="B713" t="e">
        <v>#N/A</v>
      </c>
    </row>
    <row r="714" spans="2:2">
      <c r="B714" t="e">
        <v>#N/A</v>
      </c>
    </row>
    <row r="715" spans="2:2">
      <c r="B715" t="e">
        <v>#N/A</v>
      </c>
    </row>
    <row r="716" spans="2:2">
      <c r="B716" t="e">
        <v>#N/A</v>
      </c>
    </row>
    <row r="717" spans="2:2">
      <c r="B717" t="e">
        <v>#N/A</v>
      </c>
    </row>
    <row r="718" spans="2:2">
      <c r="B718" t="e">
        <v>#N/A</v>
      </c>
    </row>
    <row r="719" spans="2:2">
      <c r="B719" t="e">
        <v>#N/A</v>
      </c>
    </row>
    <row r="720" spans="2:2">
      <c r="B720" t="e">
        <v>#N/A</v>
      </c>
    </row>
    <row r="721" spans="2:2">
      <c r="B721" t="e">
        <v>#N/A</v>
      </c>
    </row>
    <row r="722" spans="2:2">
      <c r="B722" t="e">
        <v>#N/A</v>
      </c>
    </row>
    <row r="723" spans="2:2">
      <c r="B723" t="e">
        <v>#N/A</v>
      </c>
    </row>
    <row r="724" spans="2:2">
      <c r="B724" t="e">
        <v>#N/A</v>
      </c>
    </row>
    <row r="725" spans="2:2">
      <c r="B725" t="e">
        <v>#N/A</v>
      </c>
    </row>
    <row r="726" spans="2:2">
      <c r="B726" t="e">
        <v>#N/A</v>
      </c>
    </row>
    <row r="727" spans="2:2">
      <c r="B727" t="e">
        <v>#N/A</v>
      </c>
    </row>
    <row r="728" spans="2:2">
      <c r="B728" t="e">
        <v>#N/A</v>
      </c>
    </row>
    <row r="729" spans="2:2">
      <c r="B729" t="e">
        <v>#N/A</v>
      </c>
    </row>
    <row r="730" spans="2:2">
      <c r="B730" t="e">
        <v>#N/A</v>
      </c>
    </row>
    <row r="731" spans="2:2">
      <c r="B731" t="e">
        <v>#N/A</v>
      </c>
    </row>
    <row r="732" spans="2:2">
      <c r="B732" t="e">
        <v>#N/A</v>
      </c>
    </row>
    <row r="733" spans="2:2">
      <c r="B733" t="e">
        <v>#N/A</v>
      </c>
    </row>
    <row r="734" spans="2:2">
      <c r="B734" t="e">
        <v>#N/A</v>
      </c>
    </row>
    <row r="735" spans="2:2">
      <c r="B735" t="e">
        <v>#N/A</v>
      </c>
    </row>
    <row r="736" spans="2:2">
      <c r="B736" t="e">
        <v>#N/A</v>
      </c>
    </row>
    <row r="737" spans="2:2">
      <c r="B737" t="e">
        <v>#N/A</v>
      </c>
    </row>
    <row r="738" spans="2:2">
      <c r="B738" t="e">
        <v>#N/A</v>
      </c>
    </row>
    <row r="739" spans="2:2">
      <c r="B739" t="e">
        <v>#N/A</v>
      </c>
    </row>
    <row r="740" spans="2:2">
      <c r="B740" t="e">
        <v>#N/A</v>
      </c>
    </row>
    <row r="741" spans="2:2">
      <c r="B741" t="e">
        <v>#N/A</v>
      </c>
    </row>
    <row r="742" spans="2:2">
      <c r="B742" t="e">
        <v>#N/A</v>
      </c>
    </row>
    <row r="743" spans="2:2">
      <c r="B743" t="e">
        <v>#N/A</v>
      </c>
    </row>
    <row r="744" spans="2:2">
      <c r="B744" t="e">
        <v>#N/A</v>
      </c>
    </row>
    <row r="745" spans="2:2">
      <c r="B745" t="e">
        <v>#N/A</v>
      </c>
    </row>
    <row r="746" spans="2:2">
      <c r="B746" t="e">
        <v>#N/A</v>
      </c>
    </row>
    <row r="747" spans="2:2">
      <c r="B747" t="e">
        <v>#N/A</v>
      </c>
    </row>
    <row r="748" spans="2:2">
      <c r="B748" t="e">
        <v>#N/A</v>
      </c>
    </row>
    <row r="749" spans="2:2">
      <c r="B749" t="e">
        <v>#N/A</v>
      </c>
    </row>
    <row r="750" spans="2:2">
      <c r="B750" t="e">
        <v>#N/A</v>
      </c>
    </row>
    <row r="751" spans="2:2">
      <c r="B751" t="e">
        <v>#N/A</v>
      </c>
    </row>
    <row r="752" spans="2:2">
      <c r="B752" t="e">
        <v>#N/A</v>
      </c>
    </row>
    <row r="753" spans="2:2">
      <c r="B753" t="e">
        <v>#N/A</v>
      </c>
    </row>
    <row r="754" spans="2:2">
      <c r="B754" t="e">
        <v>#N/A</v>
      </c>
    </row>
    <row r="755" spans="2:2">
      <c r="B755" t="e">
        <v>#N/A</v>
      </c>
    </row>
    <row r="756" spans="2:2">
      <c r="B756" t="e">
        <v>#N/A</v>
      </c>
    </row>
    <row r="757" spans="2:2">
      <c r="B757" t="e">
        <v>#N/A</v>
      </c>
    </row>
    <row r="758" spans="2:2">
      <c r="B758" t="e">
        <v>#N/A</v>
      </c>
    </row>
    <row r="759" spans="2:2">
      <c r="B759" t="e">
        <v>#N/A</v>
      </c>
    </row>
    <row r="760" spans="2:2">
      <c r="B760" t="e">
        <v>#N/A</v>
      </c>
    </row>
    <row r="761" spans="2:2">
      <c r="B761" t="e">
        <v>#N/A</v>
      </c>
    </row>
    <row r="762" spans="2:2">
      <c r="B762" t="e">
        <v>#N/A</v>
      </c>
    </row>
    <row r="763" spans="2:2">
      <c r="B763" t="e">
        <v>#N/A</v>
      </c>
    </row>
    <row r="764" spans="2:2">
      <c r="B764" t="e">
        <v>#N/A</v>
      </c>
    </row>
    <row r="765" spans="2:2">
      <c r="B765" t="e">
        <v>#N/A</v>
      </c>
    </row>
    <row r="766" spans="2:2">
      <c r="B766" t="e">
        <v>#N/A</v>
      </c>
    </row>
    <row r="767" spans="2:2">
      <c r="B767" t="e">
        <v>#N/A</v>
      </c>
    </row>
    <row r="768" spans="2:2">
      <c r="B768" t="e">
        <v>#N/A</v>
      </c>
    </row>
    <row r="769" spans="2:2">
      <c r="B769" t="e">
        <v>#N/A</v>
      </c>
    </row>
    <row r="770" spans="2:2">
      <c r="B770" t="e">
        <v>#N/A</v>
      </c>
    </row>
    <row r="771" spans="2:2">
      <c r="B771" t="e">
        <v>#N/A</v>
      </c>
    </row>
    <row r="772" spans="2:2">
      <c r="B772" t="e">
        <v>#N/A</v>
      </c>
    </row>
    <row r="773" spans="2:2">
      <c r="B773" t="e">
        <v>#N/A</v>
      </c>
    </row>
    <row r="774" spans="2:2">
      <c r="B774" t="e">
        <v>#N/A</v>
      </c>
    </row>
    <row r="775" spans="2:2">
      <c r="B775" t="e">
        <v>#N/A</v>
      </c>
    </row>
    <row r="776" spans="2:2">
      <c r="B776" t="e">
        <v>#N/A</v>
      </c>
    </row>
    <row r="777" spans="2:2">
      <c r="B777" t="e">
        <v>#N/A</v>
      </c>
    </row>
    <row r="778" spans="2:2">
      <c r="B778" t="e">
        <v>#N/A</v>
      </c>
    </row>
    <row r="779" spans="2:2">
      <c r="B779" t="e">
        <v>#N/A</v>
      </c>
    </row>
    <row r="780" spans="2:2">
      <c r="B780" t="e">
        <v>#N/A</v>
      </c>
    </row>
    <row r="781" spans="2:2">
      <c r="B781" t="e">
        <v>#N/A</v>
      </c>
    </row>
    <row r="782" spans="2:2">
      <c r="B782" t="e">
        <v>#N/A</v>
      </c>
    </row>
    <row r="783" spans="2:2">
      <c r="B783" t="e">
        <v>#N/A</v>
      </c>
    </row>
    <row r="784" spans="2:2">
      <c r="B784" t="e">
        <v>#N/A</v>
      </c>
    </row>
    <row r="785" spans="2:2">
      <c r="B785" t="e">
        <v>#N/A</v>
      </c>
    </row>
    <row r="786" spans="2:2">
      <c r="B786" t="e">
        <v>#N/A</v>
      </c>
    </row>
    <row r="787" spans="2:2">
      <c r="B787" t="e">
        <v>#N/A</v>
      </c>
    </row>
    <row r="788" spans="2:2">
      <c r="B788" t="e">
        <v>#N/A</v>
      </c>
    </row>
    <row r="789" spans="2:2">
      <c r="B789" t="e">
        <v>#N/A</v>
      </c>
    </row>
    <row r="790" spans="2:2">
      <c r="B790" t="e">
        <v>#N/A</v>
      </c>
    </row>
    <row r="791" spans="2:2">
      <c r="B791" t="e">
        <v>#N/A</v>
      </c>
    </row>
    <row r="792" spans="2:2">
      <c r="B792" t="e">
        <v>#N/A</v>
      </c>
    </row>
    <row r="793" spans="2:2">
      <c r="B793" t="e">
        <v>#N/A</v>
      </c>
    </row>
    <row r="794" spans="2:2">
      <c r="B794" t="e">
        <v>#N/A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Sheet1!$A$1:$A$2</xm:f>
          </x14:formula1>
          <xm:sqref>C55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F22"/>
  <sheetViews>
    <sheetView workbookViewId="0">
      <selection activeCell="D34" sqref="D34"/>
    </sheetView>
  </sheetViews>
  <sheetFormatPr defaultRowHeight="14.4"/>
  <cols>
    <col min="1" max="1" width="10" style="195" bestFit="1" customWidth="1"/>
    <col min="2" max="2" width="7.5546875" style="195" bestFit="1" customWidth="1"/>
    <col min="3" max="256" width="8.88671875" style="195"/>
    <col min="257" max="257" width="10" style="195" bestFit="1" customWidth="1"/>
    <col min="258" max="258" width="21.88671875" style="195" bestFit="1" customWidth="1"/>
    <col min="259" max="512" width="8.88671875" style="195"/>
    <col min="513" max="513" width="10" style="195" bestFit="1" customWidth="1"/>
    <col min="514" max="514" width="21.88671875" style="195" bestFit="1" customWidth="1"/>
    <col min="515" max="768" width="8.88671875" style="195"/>
    <col min="769" max="769" width="10" style="195" bestFit="1" customWidth="1"/>
    <col min="770" max="770" width="21.88671875" style="195" bestFit="1" customWidth="1"/>
    <col min="771" max="1024" width="8.88671875" style="195"/>
    <col min="1025" max="1025" width="10" style="195" bestFit="1" customWidth="1"/>
    <col min="1026" max="1026" width="21.88671875" style="195" bestFit="1" customWidth="1"/>
    <col min="1027" max="1280" width="8.88671875" style="195"/>
    <col min="1281" max="1281" width="10" style="195" bestFit="1" customWidth="1"/>
    <col min="1282" max="1282" width="21.88671875" style="195" bestFit="1" customWidth="1"/>
    <col min="1283" max="1536" width="8.88671875" style="195"/>
    <col min="1537" max="1537" width="10" style="195" bestFit="1" customWidth="1"/>
    <col min="1538" max="1538" width="21.88671875" style="195" bestFit="1" customWidth="1"/>
    <col min="1539" max="1792" width="8.88671875" style="195"/>
    <col min="1793" max="1793" width="10" style="195" bestFit="1" customWidth="1"/>
    <col min="1794" max="1794" width="21.88671875" style="195" bestFit="1" customWidth="1"/>
    <col min="1795" max="2048" width="8.88671875" style="195"/>
    <col min="2049" max="2049" width="10" style="195" bestFit="1" customWidth="1"/>
    <col min="2050" max="2050" width="21.88671875" style="195" bestFit="1" customWidth="1"/>
    <col min="2051" max="2304" width="8.88671875" style="195"/>
    <col min="2305" max="2305" width="10" style="195" bestFit="1" customWidth="1"/>
    <col min="2306" max="2306" width="21.88671875" style="195" bestFit="1" customWidth="1"/>
    <col min="2307" max="2560" width="8.88671875" style="195"/>
    <col min="2561" max="2561" width="10" style="195" bestFit="1" customWidth="1"/>
    <col min="2562" max="2562" width="21.88671875" style="195" bestFit="1" customWidth="1"/>
    <col min="2563" max="2816" width="8.88671875" style="195"/>
    <col min="2817" max="2817" width="10" style="195" bestFit="1" customWidth="1"/>
    <col min="2818" max="2818" width="21.88671875" style="195" bestFit="1" customWidth="1"/>
    <col min="2819" max="3072" width="8.88671875" style="195"/>
    <col min="3073" max="3073" width="10" style="195" bestFit="1" customWidth="1"/>
    <col min="3074" max="3074" width="21.88671875" style="195" bestFit="1" customWidth="1"/>
    <col min="3075" max="3328" width="8.88671875" style="195"/>
    <col min="3329" max="3329" width="10" style="195" bestFit="1" customWidth="1"/>
    <col min="3330" max="3330" width="21.88671875" style="195" bestFit="1" customWidth="1"/>
    <col min="3331" max="3584" width="8.88671875" style="195"/>
    <col min="3585" max="3585" width="10" style="195" bestFit="1" customWidth="1"/>
    <col min="3586" max="3586" width="21.88671875" style="195" bestFit="1" customWidth="1"/>
    <col min="3587" max="3840" width="8.88671875" style="195"/>
    <col min="3841" max="3841" width="10" style="195" bestFit="1" customWidth="1"/>
    <col min="3842" max="3842" width="21.88671875" style="195" bestFit="1" customWidth="1"/>
    <col min="3843" max="4096" width="8.88671875" style="195"/>
    <col min="4097" max="4097" width="10" style="195" bestFit="1" customWidth="1"/>
    <col min="4098" max="4098" width="21.88671875" style="195" bestFit="1" customWidth="1"/>
    <col min="4099" max="4352" width="8.88671875" style="195"/>
    <col min="4353" max="4353" width="10" style="195" bestFit="1" customWidth="1"/>
    <col min="4354" max="4354" width="21.88671875" style="195" bestFit="1" customWidth="1"/>
    <col min="4355" max="4608" width="8.88671875" style="195"/>
    <col min="4609" max="4609" width="10" style="195" bestFit="1" customWidth="1"/>
    <col min="4610" max="4610" width="21.88671875" style="195" bestFit="1" customWidth="1"/>
    <col min="4611" max="4864" width="8.88671875" style="195"/>
    <col min="4865" max="4865" width="10" style="195" bestFit="1" customWidth="1"/>
    <col min="4866" max="4866" width="21.88671875" style="195" bestFit="1" customWidth="1"/>
    <col min="4867" max="5120" width="8.88671875" style="195"/>
    <col min="5121" max="5121" width="10" style="195" bestFit="1" customWidth="1"/>
    <col min="5122" max="5122" width="21.88671875" style="195" bestFit="1" customWidth="1"/>
    <col min="5123" max="5376" width="8.88671875" style="195"/>
    <col min="5377" max="5377" width="10" style="195" bestFit="1" customWidth="1"/>
    <col min="5378" max="5378" width="21.88671875" style="195" bestFit="1" customWidth="1"/>
    <col min="5379" max="5632" width="8.88671875" style="195"/>
    <col min="5633" max="5633" width="10" style="195" bestFit="1" customWidth="1"/>
    <col min="5634" max="5634" width="21.88671875" style="195" bestFit="1" customWidth="1"/>
    <col min="5635" max="5888" width="8.88671875" style="195"/>
    <col min="5889" max="5889" width="10" style="195" bestFit="1" customWidth="1"/>
    <col min="5890" max="5890" width="21.88671875" style="195" bestFit="1" customWidth="1"/>
    <col min="5891" max="6144" width="8.88671875" style="195"/>
    <col min="6145" max="6145" width="10" style="195" bestFit="1" customWidth="1"/>
    <col min="6146" max="6146" width="21.88671875" style="195" bestFit="1" customWidth="1"/>
    <col min="6147" max="6400" width="8.88671875" style="195"/>
    <col min="6401" max="6401" width="10" style="195" bestFit="1" customWidth="1"/>
    <col min="6402" max="6402" width="21.88671875" style="195" bestFit="1" customWidth="1"/>
    <col min="6403" max="6656" width="8.88671875" style="195"/>
    <col min="6657" max="6657" width="10" style="195" bestFit="1" customWidth="1"/>
    <col min="6658" max="6658" width="21.88671875" style="195" bestFit="1" customWidth="1"/>
    <col min="6659" max="6912" width="8.88671875" style="195"/>
    <col min="6913" max="6913" width="10" style="195" bestFit="1" customWidth="1"/>
    <col min="6914" max="6914" width="21.88671875" style="195" bestFit="1" customWidth="1"/>
    <col min="6915" max="7168" width="8.88671875" style="195"/>
    <col min="7169" max="7169" width="10" style="195" bestFit="1" customWidth="1"/>
    <col min="7170" max="7170" width="21.88671875" style="195" bestFit="1" customWidth="1"/>
    <col min="7171" max="7424" width="8.88671875" style="195"/>
    <col min="7425" max="7425" width="10" style="195" bestFit="1" customWidth="1"/>
    <col min="7426" max="7426" width="21.88671875" style="195" bestFit="1" customWidth="1"/>
    <col min="7427" max="7680" width="8.88671875" style="195"/>
    <col min="7681" max="7681" width="10" style="195" bestFit="1" customWidth="1"/>
    <col min="7682" max="7682" width="21.88671875" style="195" bestFit="1" customWidth="1"/>
    <col min="7683" max="7936" width="8.88671875" style="195"/>
    <col min="7937" max="7937" width="10" style="195" bestFit="1" customWidth="1"/>
    <col min="7938" max="7938" width="21.88671875" style="195" bestFit="1" customWidth="1"/>
    <col min="7939" max="8192" width="8.88671875" style="195"/>
    <col min="8193" max="8193" width="10" style="195" bestFit="1" customWidth="1"/>
    <col min="8194" max="8194" width="21.88671875" style="195" bestFit="1" customWidth="1"/>
    <col min="8195" max="8448" width="8.88671875" style="195"/>
    <col min="8449" max="8449" width="10" style="195" bestFit="1" customWidth="1"/>
    <col min="8450" max="8450" width="21.88671875" style="195" bestFit="1" customWidth="1"/>
    <col min="8451" max="8704" width="8.88671875" style="195"/>
    <col min="8705" max="8705" width="10" style="195" bestFit="1" customWidth="1"/>
    <col min="8706" max="8706" width="21.88671875" style="195" bestFit="1" customWidth="1"/>
    <col min="8707" max="8960" width="8.88671875" style="195"/>
    <col min="8961" max="8961" width="10" style="195" bestFit="1" customWidth="1"/>
    <col min="8962" max="8962" width="21.88671875" style="195" bestFit="1" customWidth="1"/>
    <col min="8963" max="9216" width="8.88671875" style="195"/>
    <col min="9217" max="9217" width="10" style="195" bestFit="1" customWidth="1"/>
    <col min="9218" max="9218" width="21.88671875" style="195" bestFit="1" customWidth="1"/>
    <col min="9219" max="9472" width="8.88671875" style="195"/>
    <col min="9473" max="9473" width="10" style="195" bestFit="1" customWidth="1"/>
    <col min="9474" max="9474" width="21.88671875" style="195" bestFit="1" customWidth="1"/>
    <col min="9475" max="9728" width="8.88671875" style="195"/>
    <col min="9729" max="9729" width="10" style="195" bestFit="1" customWidth="1"/>
    <col min="9730" max="9730" width="21.88671875" style="195" bestFit="1" customWidth="1"/>
    <col min="9731" max="9984" width="8.88671875" style="195"/>
    <col min="9985" max="9985" width="10" style="195" bestFit="1" customWidth="1"/>
    <col min="9986" max="9986" width="21.88671875" style="195" bestFit="1" customWidth="1"/>
    <col min="9987" max="10240" width="8.88671875" style="195"/>
    <col min="10241" max="10241" width="10" style="195" bestFit="1" customWidth="1"/>
    <col min="10242" max="10242" width="21.88671875" style="195" bestFit="1" customWidth="1"/>
    <col min="10243" max="10496" width="8.88671875" style="195"/>
    <col min="10497" max="10497" width="10" style="195" bestFit="1" customWidth="1"/>
    <col min="10498" max="10498" width="21.88671875" style="195" bestFit="1" customWidth="1"/>
    <col min="10499" max="10752" width="8.88671875" style="195"/>
    <col min="10753" max="10753" width="10" style="195" bestFit="1" customWidth="1"/>
    <col min="10754" max="10754" width="21.88671875" style="195" bestFit="1" customWidth="1"/>
    <col min="10755" max="11008" width="8.88671875" style="195"/>
    <col min="11009" max="11009" width="10" style="195" bestFit="1" customWidth="1"/>
    <col min="11010" max="11010" width="21.88671875" style="195" bestFit="1" customWidth="1"/>
    <col min="11011" max="11264" width="8.88671875" style="195"/>
    <col min="11265" max="11265" width="10" style="195" bestFit="1" customWidth="1"/>
    <col min="11266" max="11266" width="21.88671875" style="195" bestFit="1" customWidth="1"/>
    <col min="11267" max="11520" width="8.88671875" style="195"/>
    <col min="11521" max="11521" width="10" style="195" bestFit="1" customWidth="1"/>
    <col min="11522" max="11522" width="21.88671875" style="195" bestFit="1" customWidth="1"/>
    <col min="11523" max="11776" width="8.88671875" style="195"/>
    <col min="11777" max="11777" width="10" style="195" bestFit="1" customWidth="1"/>
    <col min="11778" max="11778" width="21.88671875" style="195" bestFit="1" customWidth="1"/>
    <col min="11779" max="12032" width="8.88671875" style="195"/>
    <col min="12033" max="12033" width="10" style="195" bestFit="1" customWidth="1"/>
    <col min="12034" max="12034" width="21.88671875" style="195" bestFit="1" customWidth="1"/>
    <col min="12035" max="12288" width="8.88671875" style="195"/>
    <col min="12289" max="12289" width="10" style="195" bestFit="1" customWidth="1"/>
    <col min="12290" max="12290" width="21.88671875" style="195" bestFit="1" customWidth="1"/>
    <col min="12291" max="12544" width="8.88671875" style="195"/>
    <col min="12545" max="12545" width="10" style="195" bestFit="1" customWidth="1"/>
    <col min="12546" max="12546" width="21.88671875" style="195" bestFit="1" customWidth="1"/>
    <col min="12547" max="12800" width="8.88671875" style="195"/>
    <col min="12801" max="12801" width="10" style="195" bestFit="1" customWidth="1"/>
    <col min="12802" max="12802" width="21.88671875" style="195" bestFit="1" customWidth="1"/>
    <col min="12803" max="13056" width="8.88671875" style="195"/>
    <col min="13057" max="13057" width="10" style="195" bestFit="1" customWidth="1"/>
    <col min="13058" max="13058" width="21.88671875" style="195" bestFit="1" customWidth="1"/>
    <col min="13059" max="13312" width="8.88671875" style="195"/>
    <col min="13313" max="13313" width="10" style="195" bestFit="1" customWidth="1"/>
    <col min="13314" max="13314" width="21.88671875" style="195" bestFit="1" customWidth="1"/>
    <col min="13315" max="13568" width="8.88671875" style="195"/>
    <col min="13569" max="13569" width="10" style="195" bestFit="1" customWidth="1"/>
    <col min="13570" max="13570" width="21.88671875" style="195" bestFit="1" customWidth="1"/>
    <col min="13571" max="13824" width="8.88671875" style="195"/>
    <col min="13825" max="13825" width="10" style="195" bestFit="1" customWidth="1"/>
    <col min="13826" max="13826" width="21.88671875" style="195" bestFit="1" customWidth="1"/>
    <col min="13827" max="14080" width="8.88671875" style="195"/>
    <col min="14081" max="14081" width="10" style="195" bestFit="1" customWidth="1"/>
    <col min="14082" max="14082" width="21.88671875" style="195" bestFit="1" customWidth="1"/>
    <col min="14083" max="14336" width="8.88671875" style="195"/>
    <col min="14337" max="14337" width="10" style="195" bestFit="1" customWidth="1"/>
    <col min="14338" max="14338" width="21.88671875" style="195" bestFit="1" customWidth="1"/>
    <col min="14339" max="14592" width="8.88671875" style="195"/>
    <col min="14593" max="14593" width="10" style="195" bestFit="1" customWidth="1"/>
    <col min="14594" max="14594" width="21.88671875" style="195" bestFit="1" customWidth="1"/>
    <col min="14595" max="14848" width="8.88671875" style="195"/>
    <col min="14849" max="14849" width="10" style="195" bestFit="1" customWidth="1"/>
    <col min="14850" max="14850" width="21.88671875" style="195" bestFit="1" customWidth="1"/>
    <col min="14851" max="15104" width="8.88671875" style="195"/>
    <col min="15105" max="15105" width="10" style="195" bestFit="1" customWidth="1"/>
    <col min="15106" max="15106" width="21.88671875" style="195" bestFit="1" customWidth="1"/>
    <col min="15107" max="15360" width="8.88671875" style="195"/>
    <col min="15361" max="15361" width="10" style="195" bestFit="1" customWidth="1"/>
    <col min="15362" max="15362" width="21.88671875" style="195" bestFit="1" customWidth="1"/>
    <col min="15363" max="15616" width="8.88671875" style="195"/>
    <col min="15617" max="15617" width="10" style="195" bestFit="1" customWidth="1"/>
    <col min="15618" max="15618" width="21.88671875" style="195" bestFit="1" customWidth="1"/>
    <col min="15619" max="15872" width="8.88671875" style="195"/>
    <col min="15873" max="15873" width="10" style="195" bestFit="1" customWidth="1"/>
    <col min="15874" max="15874" width="21.88671875" style="195" bestFit="1" customWidth="1"/>
    <col min="15875" max="16128" width="8.88671875" style="195"/>
    <col min="16129" max="16129" width="10" style="195" bestFit="1" customWidth="1"/>
    <col min="16130" max="16130" width="21.88671875" style="195" bestFit="1" customWidth="1"/>
    <col min="16131" max="16384" width="8.88671875" style="195"/>
  </cols>
  <sheetData>
    <row r="1" spans="1:32">
      <c r="A1" s="194" t="s">
        <v>127</v>
      </c>
      <c r="B1" s="194" t="s">
        <v>128</v>
      </c>
      <c r="E1" s="194">
        <f t="array" ref="E1:Q1" ca="1">II_Vanillas!N19:X19</f>
        <v>-0.05</v>
      </c>
      <c r="F1" s="194">
        <f ca="1"/>
        <v>-0.1</v>
      </c>
      <c r="G1" s="194">
        <f ca="1"/>
        <v>-0.15</v>
      </c>
      <c r="H1" s="194">
        <f ca="1"/>
        <v>-0.25</v>
      </c>
      <c r="I1" s="194">
        <f ca="1"/>
        <v>-0.35</v>
      </c>
      <c r="J1" s="194" t="str">
        <f ca="1"/>
        <v>ATM</v>
      </c>
      <c r="K1" s="194">
        <f ca="1"/>
        <v>0.35</v>
      </c>
      <c r="L1" s="194">
        <f ca="1"/>
        <v>0.25</v>
      </c>
      <c r="M1" s="194">
        <f ca="1"/>
        <v>0.15</v>
      </c>
      <c r="N1" s="194">
        <f ca="1"/>
        <v>0.1</v>
      </c>
      <c r="O1" s="194">
        <f ca="1"/>
        <v>0.05</v>
      </c>
      <c r="P1" s="194" t="e">
        <v>#N/A</v>
      </c>
      <c r="Q1" s="194" t="e">
        <v>#N/A</v>
      </c>
      <c r="T1" s="194">
        <v>0.92570347666154618</v>
      </c>
      <c r="U1" s="194">
        <v>0.94485470244839209</v>
      </c>
      <c r="V1" s="194">
        <v>0.95722426352554535</v>
      </c>
      <c r="W1" s="194">
        <v>0.97342355466376962</v>
      </c>
      <c r="X1" s="194">
        <v>0.98559825780144861</v>
      </c>
      <c r="Y1" s="194">
        <v>1</v>
      </c>
      <c r="Z1" s="194">
        <v>1.0156751018216339</v>
      </c>
      <c r="AA1" s="194">
        <v>1.0274236390747691</v>
      </c>
      <c r="AB1" s="194">
        <v>1.0430652283709834</v>
      </c>
      <c r="AC1" s="194">
        <v>1.0550763709786988</v>
      </c>
      <c r="AD1" s="194">
        <v>1.0738834255435867</v>
      </c>
      <c r="AE1" s="194"/>
      <c r="AF1" s="194"/>
    </row>
    <row r="2" spans="1:32">
      <c r="A2" s="196" t="s">
        <v>79</v>
      </c>
      <c r="B2" s="197">
        <v>1</v>
      </c>
      <c r="D2" s="194">
        <f t="array" aca="1" ref="D2:D22" ca="1">TRANSPOSE(II_Vanillas!N19:X19)</f>
        <v>-0.05</v>
      </c>
      <c r="E2" s="198" t="e">
        <f t="array" ref="E2:O12">_xll.qlCTSgetCalibratedFXCorrFromGrid(III_VanillasCross!D27,B2,D2:D12,E1:O1)</f>
        <v>#VALUE!</v>
      </c>
      <c r="F2" s="199" t="e">
        <v>#VALUE!</v>
      </c>
      <c r="G2" s="199" t="e">
        <v>#VALUE!</v>
      </c>
      <c r="H2" s="199" t="e">
        <v>#VALUE!</v>
      </c>
      <c r="I2" s="199" t="e">
        <v>#VALUE!</v>
      </c>
      <c r="J2" s="199" t="e">
        <v>#VALUE!</v>
      </c>
      <c r="K2" s="199" t="e">
        <v>#VALUE!</v>
      </c>
      <c r="L2" s="199" t="e">
        <v>#VALUE!</v>
      </c>
      <c r="M2" s="199" t="e">
        <v>#VALUE!</v>
      </c>
      <c r="N2" s="199" t="e">
        <v>#VALUE!</v>
      </c>
      <c r="O2" s="199" t="e">
        <v>#VALUE!</v>
      </c>
      <c r="P2" s="200"/>
      <c r="Q2" s="201"/>
      <c r="S2" s="194">
        <v>0.92570347666154618</v>
      </c>
      <c r="T2" s="198">
        <v>0.62266747649116172</v>
      </c>
      <c r="U2" s="199">
        <v>0.61843606206541102</v>
      </c>
      <c r="V2" s="199">
        <v>0.59189545266456234</v>
      </c>
      <c r="W2" s="199">
        <v>0.53520966128324243</v>
      </c>
      <c r="X2" s="199">
        <v>0.48706179650249914</v>
      </c>
      <c r="Y2" s="199">
        <v>0.43067982691604634</v>
      </c>
      <c r="Z2" s="199">
        <v>0.38525569929580095</v>
      </c>
      <c r="AA2" s="199">
        <v>0.37966376751048359</v>
      </c>
      <c r="AB2" s="199">
        <v>0.3722682515897151</v>
      </c>
      <c r="AC2" s="199">
        <v>0.36662681573032396</v>
      </c>
      <c r="AD2" s="199">
        <v>0.35785756998764451</v>
      </c>
      <c r="AE2" s="200"/>
      <c r="AF2" s="201"/>
    </row>
    <row r="3" spans="1:32">
      <c r="A3" s="202" t="s">
        <v>129</v>
      </c>
      <c r="B3" s="203" t="s">
        <v>130</v>
      </c>
      <c r="D3" s="194">
        <f ca="1"/>
        <v>-0.1</v>
      </c>
      <c r="E3" s="204" t="e">
        <v>#VALUE!</v>
      </c>
      <c r="F3" s="205" t="e">
        <v>#VALUE!</v>
      </c>
      <c r="G3" s="205" t="e">
        <v>#VALUE!</v>
      </c>
      <c r="H3" s="205" t="e">
        <v>#VALUE!</v>
      </c>
      <c r="I3" s="205" t="e">
        <v>#VALUE!</v>
      </c>
      <c r="J3" s="205" t="e">
        <v>#VALUE!</v>
      </c>
      <c r="K3" s="205" t="e">
        <v>#VALUE!</v>
      </c>
      <c r="L3" s="205" t="e">
        <v>#VALUE!</v>
      </c>
      <c r="M3" s="205" t="e">
        <v>#VALUE!</v>
      </c>
      <c r="N3" s="205" t="e">
        <v>#VALUE!</v>
      </c>
      <c r="O3" s="205" t="e">
        <v>#VALUE!</v>
      </c>
      <c r="P3" s="206"/>
      <c r="Q3" s="207"/>
      <c r="S3" s="194">
        <v>0.94485470244839209</v>
      </c>
      <c r="T3" s="204">
        <v>0.56336129659612633</v>
      </c>
      <c r="U3" s="205">
        <v>0.6035162507043158</v>
      </c>
      <c r="V3" s="205">
        <v>0.60565581807171109</v>
      </c>
      <c r="W3" s="205">
        <v>0.58315662524333656</v>
      </c>
      <c r="X3" s="205">
        <v>0.54469630137997649</v>
      </c>
      <c r="Y3" s="205">
        <v>0.49124313272751097</v>
      </c>
      <c r="Z3" s="205">
        <v>0.4276975566482123</v>
      </c>
      <c r="AA3" s="205">
        <v>0.39066717539778884</v>
      </c>
      <c r="AB3" s="205">
        <v>0.36215577816944344</v>
      </c>
      <c r="AC3" s="205">
        <v>0.35645628520633421</v>
      </c>
      <c r="AD3" s="205">
        <v>0.34759679346559635</v>
      </c>
      <c r="AE3" s="206"/>
      <c r="AF3" s="207"/>
    </row>
    <row r="4" spans="1:32">
      <c r="A4" s="208" t="s">
        <v>131</v>
      </c>
      <c r="B4" s="209" t="s">
        <v>130</v>
      </c>
      <c r="D4" s="194">
        <f ca="1"/>
        <v>-0.15</v>
      </c>
      <c r="E4" s="204" t="e">
        <v>#VALUE!</v>
      </c>
      <c r="F4" s="205" t="e">
        <v>#VALUE!</v>
      </c>
      <c r="G4" s="205" t="e">
        <v>#VALUE!</v>
      </c>
      <c r="H4" s="205" t="e">
        <v>#VALUE!</v>
      </c>
      <c r="I4" s="205" t="e">
        <v>#VALUE!</v>
      </c>
      <c r="J4" s="205" t="e">
        <v>#VALUE!</v>
      </c>
      <c r="K4" s="205" t="e">
        <v>#VALUE!</v>
      </c>
      <c r="L4" s="205" t="e">
        <v>#VALUE!</v>
      </c>
      <c r="M4" s="205" t="e">
        <v>#VALUE!</v>
      </c>
      <c r="N4" s="205" t="e">
        <v>#VALUE!</v>
      </c>
      <c r="O4" s="205" t="e">
        <v>#VALUE!</v>
      </c>
      <c r="P4" s="206"/>
      <c r="Q4" s="207"/>
      <c r="S4" s="194">
        <v>0.95722426352554535</v>
      </c>
      <c r="T4" s="204">
        <v>0.51163608882164624</v>
      </c>
      <c r="U4" s="205">
        <v>0.57021928385337906</v>
      </c>
      <c r="V4" s="205">
        <v>0.59114668962716255</v>
      </c>
      <c r="W4" s="205">
        <v>0.59059327576611342</v>
      </c>
      <c r="X4" s="205">
        <v>0.57169318821249204</v>
      </c>
      <c r="Y4" s="205">
        <v>0.52701032115736435</v>
      </c>
      <c r="Z4" s="205">
        <v>0.46888619146085297</v>
      </c>
      <c r="AA4" s="205">
        <v>0.42101208729970785</v>
      </c>
      <c r="AB4" s="205">
        <v>0.36968172968876045</v>
      </c>
      <c r="AC4" s="205">
        <v>0.349941962566926</v>
      </c>
      <c r="AD4" s="205">
        <v>0.34102466739628046</v>
      </c>
      <c r="AE4" s="206"/>
      <c r="AF4" s="207"/>
    </row>
    <row r="5" spans="1:32">
      <c r="D5" s="194">
        <f ca="1"/>
        <v>-0.25</v>
      </c>
      <c r="E5" s="204" t="e">
        <v>#VALUE!</v>
      </c>
      <c r="F5" s="205" t="e">
        <v>#VALUE!</v>
      </c>
      <c r="G5" s="205" t="e">
        <v>#VALUE!</v>
      </c>
      <c r="H5" s="205" t="e">
        <v>#VALUE!</v>
      </c>
      <c r="I5" s="205" t="e">
        <v>#VALUE!</v>
      </c>
      <c r="J5" s="205" t="e">
        <v>#VALUE!</v>
      </c>
      <c r="K5" s="205" t="e">
        <v>#VALUE!</v>
      </c>
      <c r="L5" s="205" t="e">
        <v>#VALUE!</v>
      </c>
      <c r="M5" s="205" t="e">
        <v>#VALUE!</v>
      </c>
      <c r="N5" s="205" t="e">
        <v>#VALUE!</v>
      </c>
      <c r="O5" s="205" t="e">
        <v>#VALUE!</v>
      </c>
      <c r="P5" s="206"/>
      <c r="Q5" s="207"/>
      <c r="S5" s="194">
        <v>0.97342355466376962</v>
      </c>
      <c r="T5" s="204">
        <v>0.44948796197833096</v>
      </c>
      <c r="U5" s="205">
        <v>0.50740966066521664</v>
      </c>
      <c r="V5" s="205">
        <v>0.54462093693409197</v>
      </c>
      <c r="W5" s="205">
        <v>0.57494739848893828</v>
      </c>
      <c r="X5" s="205">
        <v>0.57715638680507675</v>
      </c>
      <c r="Y5" s="205">
        <v>0.55958269765669966</v>
      </c>
      <c r="Z5" s="205">
        <v>0.51459959892344131</v>
      </c>
      <c r="AA5" s="205">
        <v>0.47223514194141303</v>
      </c>
      <c r="AB5" s="205">
        <v>0.4110704192165211</v>
      </c>
      <c r="AC5" s="205">
        <v>0.37152647812459083</v>
      </c>
      <c r="AD5" s="205">
        <v>0.33248163849933454</v>
      </c>
      <c r="AE5" s="206"/>
      <c r="AF5" s="207"/>
    </row>
    <row r="6" spans="1:32">
      <c r="D6" s="194">
        <f ca="1"/>
        <v>-0.35</v>
      </c>
      <c r="E6" s="204" t="e">
        <v>#VALUE!</v>
      </c>
      <c r="F6" s="205" t="e">
        <v>#VALUE!</v>
      </c>
      <c r="G6" s="205" t="e">
        <v>#VALUE!</v>
      </c>
      <c r="H6" s="205" t="e">
        <v>#VALUE!</v>
      </c>
      <c r="I6" s="205" t="e">
        <v>#VALUE!</v>
      </c>
      <c r="J6" s="205" t="e">
        <v>#VALUE!</v>
      </c>
      <c r="K6" s="205" t="e">
        <v>#VALUE!</v>
      </c>
      <c r="L6" s="205" t="e">
        <v>#VALUE!</v>
      </c>
      <c r="M6" s="205" t="e">
        <v>#VALUE!</v>
      </c>
      <c r="N6" s="205" t="e">
        <v>#VALUE!</v>
      </c>
      <c r="O6" s="205" t="e">
        <v>#VALUE!</v>
      </c>
      <c r="P6" s="206"/>
      <c r="Q6" s="207"/>
      <c r="S6" s="194">
        <v>0.98559825780144861</v>
      </c>
      <c r="T6" s="204">
        <v>0.41264836345615097</v>
      </c>
      <c r="U6" s="205">
        <v>0.45726706985284815</v>
      </c>
      <c r="V6" s="205">
        <v>0.49723408584497109</v>
      </c>
      <c r="W6" s="205">
        <v>0.54316277838100036</v>
      </c>
      <c r="X6" s="205">
        <v>0.56277269535125929</v>
      </c>
      <c r="Y6" s="205">
        <v>0.56397180301813132</v>
      </c>
      <c r="Z6" s="205">
        <v>0.54102244371460761</v>
      </c>
      <c r="AA6" s="205">
        <v>0.50530761704510008</v>
      </c>
      <c r="AB6" s="205">
        <v>0.44953247997636137</v>
      </c>
      <c r="AC6" s="205">
        <v>0.40248781022072433</v>
      </c>
      <c r="AD6" s="205">
        <v>0.34042302392196455</v>
      </c>
      <c r="AE6" s="206"/>
      <c r="AF6" s="207"/>
    </row>
    <row r="7" spans="1:32">
      <c r="D7" s="194" t="str">
        <f ca="1"/>
        <v>ATM</v>
      </c>
      <c r="E7" s="204" t="e">
        <v>#VALUE!</v>
      </c>
      <c r="F7" s="205" t="e">
        <v>#VALUE!</v>
      </c>
      <c r="G7" s="205" t="e">
        <v>#VALUE!</v>
      </c>
      <c r="H7" s="205" t="e">
        <v>#VALUE!</v>
      </c>
      <c r="I7" s="205" t="e">
        <v>#VALUE!</v>
      </c>
      <c r="J7" s="205" t="e">
        <v>#VALUE!</v>
      </c>
      <c r="K7" s="205" t="e">
        <v>#VALUE!</v>
      </c>
      <c r="L7" s="205" t="e">
        <v>#VALUE!</v>
      </c>
      <c r="M7" s="205" t="e">
        <v>#VALUE!</v>
      </c>
      <c r="N7" s="205" t="e">
        <v>#VALUE!</v>
      </c>
      <c r="O7" s="205" t="e">
        <v>#VALUE!</v>
      </c>
      <c r="P7" s="206"/>
      <c r="Q7" s="207"/>
      <c r="S7" s="194">
        <v>1</v>
      </c>
      <c r="T7" s="204">
        <v>0.36112450171848409</v>
      </c>
      <c r="U7" s="205">
        <v>0.4111938036524988</v>
      </c>
      <c r="V7" s="205">
        <v>0.43915161421146987</v>
      </c>
      <c r="W7" s="205">
        <v>0.49016016373907434</v>
      </c>
      <c r="X7" s="205">
        <v>0.52401099139450436</v>
      </c>
      <c r="Y7" s="205">
        <v>0.5483709531527079</v>
      </c>
      <c r="Z7" s="205">
        <v>0.5488146917693959</v>
      </c>
      <c r="AA7" s="205">
        <v>0.53241903824065795</v>
      </c>
      <c r="AB7" s="205">
        <v>0.48855760159278971</v>
      </c>
      <c r="AC7" s="205">
        <v>0.44637092010330504</v>
      </c>
      <c r="AD7" s="205">
        <v>0.37460594653201729</v>
      </c>
      <c r="AE7" s="206"/>
      <c r="AF7" s="207"/>
    </row>
    <row r="8" spans="1:32">
      <c r="D8" s="194">
        <f ca="1"/>
        <v>0.35</v>
      </c>
      <c r="E8" s="204" t="e">
        <v>#VALUE!</v>
      </c>
      <c r="F8" s="205" t="e">
        <v>#VALUE!</v>
      </c>
      <c r="G8" s="205" t="e">
        <v>#VALUE!</v>
      </c>
      <c r="H8" s="205" t="e">
        <v>#VALUE!</v>
      </c>
      <c r="I8" s="205" t="e">
        <v>#VALUE!</v>
      </c>
      <c r="J8" s="205" t="e">
        <v>#VALUE!</v>
      </c>
      <c r="K8" s="205" t="e">
        <v>#VALUE!</v>
      </c>
      <c r="L8" s="205" t="e">
        <v>#VALUE!</v>
      </c>
      <c r="M8" s="205" t="e">
        <v>#VALUE!</v>
      </c>
      <c r="N8" s="205" t="e">
        <v>#VALUE!</v>
      </c>
      <c r="O8" s="205" t="e">
        <v>#VALUE!</v>
      </c>
      <c r="P8" s="206"/>
      <c r="Q8" s="207"/>
      <c r="S8" s="194">
        <v>1.0156751018216339</v>
      </c>
      <c r="T8" s="204">
        <v>0.31483821983177118</v>
      </c>
      <c r="U8" s="205">
        <v>0.35851430909715376</v>
      </c>
      <c r="V8" s="205">
        <v>0.39124822824874472</v>
      </c>
      <c r="W8" s="205">
        <v>0.42709354051036263</v>
      </c>
      <c r="X8" s="205">
        <v>0.46492931183037767</v>
      </c>
      <c r="Y8" s="205">
        <v>0.50581571920966861</v>
      </c>
      <c r="Z8" s="205">
        <v>0.532695851331074</v>
      </c>
      <c r="AA8" s="205">
        <v>0.53507270858234013</v>
      </c>
      <c r="AB8" s="205">
        <v>0.5173853466250331</v>
      </c>
      <c r="AC8" s="205">
        <v>0.48652666085984886</v>
      </c>
      <c r="AD8" s="205">
        <v>0.42218781900370206</v>
      </c>
      <c r="AE8" s="206"/>
      <c r="AF8" s="207"/>
    </row>
    <row r="9" spans="1:32">
      <c r="D9" s="194">
        <f ca="1"/>
        <v>0.25</v>
      </c>
      <c r="E9" s="204" t="e">
        <v>#VALUE!</v>
      </c>
      <c r="F9" s="205" t="e">
        <v>#VALUE!</v>
      </c>
      <c r="G9" s="205" t="e">
        <v>#VALUE!</v>
      </c>
      <c r="H9" s="205" t="e">
        <v>#VALUE!</v>
      </c>
      <c r="I9" s="205" t="e">
        <v>#VALUE!</v>
      </c>
      <c r="J9" s="205" t="e">
        <v>#VALUE!</v>
      </c>
      <c r="K9" s="205" t="e">
        <v>#VALUE!</v>
      </c>
      <c r="L9" s="205" t="e">
        <v>#VALUE!</v>
      </c>
      <c r="M9" s="205" t="e">
        <v>#VALUE!</v>
      </c>
      <c r="N9" s="205" t="e">
        <v>#VALUE!</v>
      </c>
      <c r="O9" s="205" t="e">
        <v>#VALUE!</v>
      </c>
      <c r="P9" s="206"/>
      <c r="Q9" s="207"/>
      <c r="S9" s="194">
        <v>1.0274236390747691</v>
      </c>
      <c r="T9" s="204">
        <v>0.28765439265426929</v>
      </c>
      <c r="U9" s="205">
        <v>0.31854186212390356</v>
      </c>
      <c r="V9" s="205">
        <v>0.35097635473751287</v>
      </c>
      <c r="W9" s="205">
        <v>0.38959195092150178</v>
      </c>
      <c r="X9" s="205">
        <v>0.41806218521095495</v>
      </c>
      <c r="Y9" s="205">
        <v>0.46275887425198547</v>
      </c>
      <c r="Z9" s="205">
        <v>0.50339979764019049</v>
      </c>
      <c r="AA9" s="205">
        <v>0.52094731407793882</v>
      </c>
      <c r="AB9" s="205">
        <v>0.52155788332600195</v>
      </c>
      <c r="AC9" s="205">
        <v>0.505578685192144</v>
      </c>
      <c r="AD9" s="205">
        <v>0.45352627915542465</v>
      </c>
      <c r="AE9" s="206"/>
      <c r="AF9" s="207"/>
    </row>
    <row r="10" spans="1:32">
      <c r="D10" s="194">
        <f ca="1"/>
        <v>0.15</v>
      </c>
      <c r="E10" s="204" t="e">
        <v>#VALUE!</v>
      </c>
      <c r="F10" s="205" t="e">
        <v>#VALUE!</v>
      </c>
      <c r="G10" s="205" t="e">
        <v>#VALUE!</v>
      </c>
      <c r="H10" s="205" t="e">
        <v>#VALUE!</v>
      </c>
      <c r="I10" s="205" t="e">
        <v>#VALUE!</v>
      </c>
      <c r="J10" s="205" t="e">
        <v>#VALUE!</v>
      </c>
      <c r="K10" s="205" t="e">
        <v>#VALUE!</v>
      </c>
      <c r="L10" s="205" t="e">
        <v>#VALUE!</v>
      </c>
      <c r="M10" s="205" t="e">
        <v>#VALUE!</v>
      </c>
      <c r="N10" s="205" t="e">
        <v>#VALUE!</v>
      </c>
      <c r="O10" s="205" t="e">
        <v>#VALUE!</v>
      </c>
      <c r="P10" s="206"/>
      <c r="Q10" s="207"/>
      <c r="S10" s="194">
        <v>1.0430652283709834</v>
      </c>
      <c r="T10" s="204">
        <v>0.26172551696989577</v>
      </c>
      <c r="U10" s="205">
        <v>0.28176287557936941</v>
      </c>
      <c r="V10" s="205">
        <v>0.2985609789238306</v>
      </c>
      <c r="W10" s="205">
        <v>0.34007039811310991</v>
      </c>
      <c r="X10" s="205">
        <v>0.36943167803570942</v>
      </c>
      <c r="Y10" s="205">
        <v>0.40114356444777211</v>
      </c>
      <c r="Z10" s="205">
        <v>0.44860683658237854</v>
      </c>
      <c r="AA10" s="205">
        <v>0.47974925227167731</v>
      </c>
      <c r="AB10" s="205">
        <v>0.50530572478172453</v>
      </c>
      <c r="AC10" s="205">
        <v>0.50754918869590893</v>
      </c>
      <c r="AD10" s="205">
        <v>0.48477006227008945</v>
      </c>
      <c r="AE10" s="206"/>
      <c r="AF10" s="207"/>
    </row>
    <row r="11" spans="1:32">
      <c r="D11" s="194">
        <f ca="1"/>
        <v>0.1</v>
      </c>
      <c r="E11" s="204" t="e">
        <v>#VALUE!</v>
      </c>
      <c r="F11" s="205" t="e">
        <v>#VALUE!</v>
      </c>
      <c r="G11" s="205" t="e">
        <v>#VALUE!</v>
      </c>
      <c r="H11" s="205" t="e">
        <v>#VALUE!</v>
      </c>
      <c r="I11" s="205" t="e">
        <v>#VALUE!</v>
      </c>
      <c r="J11" s="205" t="e">
        <v>#VALUE!</v>
      </c>
      <c r="K11" s="205" t="e">
        <v>#VALUE!</v>
      </c>
      <c r="L11" s="205" t="e">
        <v>#VALUE!</v>
      </c>
      <c r="M11" s="205" t="e">
        <v>#VALUE!</v>
      </c>
      <c r="N11" s="205" t="e">
        <v>#VALUE!</v>
      </c>
      <c r="O11" s="205" t="e">
        <v>#VALUE!</v>
      </c>
      <c r="P11" s="206"/>
      <c r="Q11" s="207"/>
      <c r="S11" s="194">
        <v>1.0550763709786988</v>
      </c>
      <c r="T11" s="204">
        <v>0.25608408111050462</v>
      </c>
      <c r="U11" s="205">
        <v>0.2513583978417957</v>
      </c>
      <c r="V11" s="205">
        <v>0.27206669863713073</v>
      </c>
      <c r="W11" s="205">
        <v>0.29967796938052116</v>
      </c>
      <c r="X11" s="205">
        <v>0.33091404556556836</v>
      </c>
      <c r="Y11" s="205">
        <v>0.36340505183815486</v>
      </c>
      <c r="Z11" s="205">
        <v>0.40138565096178058</v>
      </c>
      <c r="AA11" s="205">
        <v>0.43690171873512185</v>
      </c>
      <c r="AB11" s="205">
        <v>0.47600463529966275</v>
      </c>
      <c r="AC11" s="205">
        <v>0.49329458217400912</v>
      </c>
      <c r="AD11" s="205">
        <v>0.49091214239438474</v>
      </c>
      <c r="AE11" s="206"/>
      <c r="AF11" s="207"/>
    </row>
    <row r="12" spans="1:32">
      <c r="D12" s="194">
        <f ca="1"/>
        <v>0.05</v>
      </c>
      <c r="E12" s="204" t="e">
        <v>#VALUE!</v>
      </c>
      <c r="F12" s="205" t="e">
        <v>#VALUE!</v>
      </c>
      <c r="G12" s="205" t="e">
        <v>#VALUE!</v>
      </c>
      <c r="H12" s="205" t="e">
        <v>#VALUE!</v>
      </c>
      <c r="I12" s="205" t="e">
        <v>#VALUE!</v>
      </c>
      <c r="J12" s="205" t="e">
        <v>#VALUE!</v>
      </c>
      <c r="K12" s="205" t="e">
        <v>#VALUE!</v>
      </c>
      <c r="L12" s="205" t="e">
        <v>#VALUE!</v>
      </c>
      <c r="M12" s="205" t="e">
        <v>#VALUE!</v>
      </c>
      <c r="N12" s="205" t="e">
        <v>#VALUE!</v>
      </c>
      <c r="O12" s="205" t="e">
        <v>#VALUE!</v>
      </c>
      <c r="P12" s="206"/>
      <c r="Q12" s="207"/>
      <c r="S12" s="194">
        <v>1.0738834255435867</v>
      </c>
      <c r="T12" s="204">
        <v>0.24731483536782517</v>
      </c>
      <c r="U12" s="205">
        <v>0.23705405884577702</v>
      </c>
      <c r="V12" s="205">
        <v>0.23048193277646112</v>
      </c>
      <c r="W12" s="205">
        <v>0.2531731679662379</v>
      </c>
      <c r="X12" s="205">
        <v>0.26925824366125028</v>
      </c>
      <c r="Y12" s="205">
        <v>0.30486036498685687</v>
      </c>
      <c r="Z12" s="205">
        <v>0.341185404896311</v>
      </c>
      <c r="AA12" s="205">
        <v>0.36551858286861427</v>
      </c>
      <c r="AB12" s="205">
        <v>0.41051923541430813</v>
      </c>
      <c r="AC12" s="205">
        <v>0.44278955525967389</v>
      </c>
      <c r="AD12" s="205">
        <v>0.47448752760912116</v>
      </c>
      <c r="AE12" s="206"/>
      <c r="AF12" s="207"/>
    </row>
    <row r="13" spans="1:32">
      <c r="D13" s="194" t="e">
        <f ca="1"/>
        <v>#N/A</v>
      </c>
      <c r="E13" s="210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07"/>
      <c r="S13" s="194"/>
      <c r="T13" s="210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07"/>
    </row>
    <row r="14" spans="1:32">
      <c r="D14" s="194" t="e">
        <f ca="1"/>
        <v>#N/A</v>
      </c>
      <c r="E14" s="210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07"/>
      <c r="S14" s="194"/>
      <c r="T14" s="210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07"/>
    </row>
    <row r="15" spans="1:32">
      <c r="D15" s="194" t="e">
        <f ca="1"/>
        <v>#N/A</v>
      </c>
      <c r="E15" s="210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07"/>
      <c r="S15" s="194"/>
      <c r="T15" s="210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07"/>
    </row>
    <row r="16" spans="1:32">
      <c r="D16" s="194" t="e">
        <f ca="1"/>
        <v>#N/A</v>
      </c>
      <c r="E16" s="210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07"/>
      <c r="S16" s="194"/>
      <c r="T16" s="210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07"/>
    </row>
    <row r="17" spans="4:32">
      <c r="D17" s="194" t="e">
        <f ca="1"/>
        <v>#N/A</v>
      </c>
      <c r="E17" s="210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07"/>
      <c r="S17" s="194"/>
      <c r="T17" s="210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07"/>
    </row>
    <row r="18" spans="4:32">
      <c r="D18" s="194" t="e">
        <f ca="1"/>
        <v>#N/A</v>
      </c>
      <c r="E18" s="210"/>
      <c r="F18" s="211"/>
      <c r="G18" s="211"/>
      <c r="H18" s="211"/>
      <c r="I18" s="211"/>
      <c r="J18" s="211"/>
      <c r="K18" s="211"/>
      <c r="L18" s="211"/>
      <c r="M18" s="211"/>
      <c r="N18" s="211"/>
      <c r="O18" s="211"/>
      <c r="P18" s="211"/>
      <c r="Q18" s="207"/>
      <c r="S18" s="194"/>
      <c r="T18" s="210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07"/>
    </row>
    <row r="19" spans="4:32">
      <c r="D19" s="194" t="e">
        <f ca="1"/>
        <v>#N/A</v>
      </c>
      <c r="E19" s="210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07"/>
      <c r="S19" s="194"/>
      <c r="T19" s="210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07"/>
    </row>
    <row r="20" spans="4:32">
      <c r="D20" s="194" t="e">
        <f ca="1"/>
        <v>#N/A</v>
      </c>
      <c r="E20" s="210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07"/>
      <c r="S20" s="194"/>
      <c r="T20" s="210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07"/>
    </row>
    <row r="21" spans="4:32">
      <c r="D21" s="194" t="e">
        <f ca="1"/>
        <v>#N/A</v>
      </c>
      <c r="E21" s="210"/>
      <c r="F21" s="211"/>
      <c r="G21" s="211"/>
      <c r="H21" s="211"/>
      <c r="I21" s="211"/>
      <c r="J21" s="211"/>
      <c r="K21" s="211"/>
      <c r="L21" s="211"/>
      <c r="M21" s="211"/>
      <c r="N21" s="211"/>
      <c r="O21" s="211"/>
      <c r="P21" s="211"/>
      <c r="Q21" s="207"/>
      <c r="S21" s="194"/>
      <c r="T21" s="210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07"/>
    </row>
    <row r="22" spans="4:32">
      <c r="D22" s="194" t="e">
        <f ca="1"/>
        <v>#N/A</v>
      </c>
      <c r="E22" s="208"/>
      <c r="F22" s="212"/>
      <c r="G22" s="212"/>
      <c r="H22" s="212"/>
      <c r="I22" s="212"/>
      <c r="J22" s="212"/>
      <c r="K22" s="212"/>
      <c r="L22" s="212"/>
      <c r="M22" s="212"/>
      <c r="N22" s="212"/>
      <c r="O22" s="212"/>
      <c r="P22" s="212"/>
      <c r="Q22" s="209"/>
      <c r="S22" s="194"/>
      <c r="T22" s="208"/>
      <c r="U22" s="212"/>
      <c r="V22" s="212"/>
      <c r="W22" s="212"/>
      <c r="X22" s="212"/>
      <c r="Y22" s="212"/>
      <c r="Z22" s="212"/>
      <c r="AA22" s="212"/>
      <c r="AB22" s="212"/>
      <c r="AC22" s="212"/>
      <c r="AD22" s="212"/>
      <c r="AE22" s="212"/>
      <c r="AF22" s="209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671"/>
  <sheetViews>
    <sheetView workbookViewId="0">
      <selection activeCell="B9" sqref="B9"/>
    </sheetView>
  </sheetViews>
  <sheetFormatPr defaultRowHeight="13.8"/>
  <cols>
    <col min="2" max="2" width="12.33203125" bestFit="1" customWidth="1"/>
    <col min="3" max="3" width="12.44140625" bestFit="1" customWidth="1"/>
    <col min="4" max="4" width="12.33203125" bestFit="1" customWidth="1"/>
    <col min="5" max="7" width="12.33203125" style="235" customWidth="1"/>
  </cols>
  <sheetData>
    <row r="1" spans="1:7">
      <c r="B1" t="s">
        <v>132</v>
      </c>
      <c r="C1">
        <v>1</v>
      </c>
    </row>
    <row r="2" spans="1:7">
      <c r="B2" t="str">
        <f>_xll.ohRangeRetrieveError(B6)</f>
        <v/>
      </c>
    </row>
    <row r="4" spans="1:7">
      <c r="A4" t="s">
        <v>133</v>
      </c>
      <c r="B4" t="s">
        <v>134</v>
      </c>
      <c r="C4" t="s">
        <v>135</v>
      </c>
      <c r="D4" t="s">
        <v>138</v>
      </c>
    </row>
    <row r="5" spans="1:7">
      <c r="A5">
        <f t="array" ref="A5:A671">III_VanillasCross!B72:B794</f>
        <v>0</v>
      </c>
      <c r="B5">
        <f t="array" ref="B5:G671">_xll.qlRealMCSimulationPath(II_Vanillas!D35,C1,)</f>
        <v>0</v>
      </c>
      <c r="C5">
        <v>0</v>
      </c>
      <c r="D5">
        <v>0.15</v>
      </c>
      <c r="E5" s="235">
        <v>0.14997902211514358</v>
      </c>
      <c r="F5" s="235" t="e">
        <v>#N/A</v>
      </c>
      <c r="G5" s="235" t="e">
        <v>#N/A</v>
      </c>
    </row>
    <row r="6" spans="1:7">
      <c r="A6">
        <v>5.4794520547945206E-3</v>
      </c>
      <c r="B6" t="e">
        <v>#NUM!</v>
      </c>
      <c r="C6" t="e">
        <v>#NUM!</v>
      </c>
      <c r="D6">
        <v>0.15040363489842198</v>
      </c>
      <c r="E6" s="235">
        <v>0.15078934281560907</v>
      </c>
      <c r="F6" s="235" t="e">
        <v>#N/A</v>
      </c>
      <c r="G6" s="235" t="e">
        <v>#N/A</v>
      </c>
    </row>
    <row r="7" spans="1:7">
      <c r="A7">
        <v>1.0958904109589041E-2</v>
      </c>
      <c r="B7" t="e">
        <v>#NUM!</v>
      </c>
      <c r="C7" t="e">
        <v>#NUM!</v>
      </c>
      <c r="D7">
        <v>0.15027825500232095</v>
      </c>
      <c r="E7" s="235">
        <v>0.14953915059013964</v>
      </c>
      <c r="F7" s="235" t="e">
        <v>#N/A</v>
      </c>
      <c r="G7" s="235" t="e">
        <v>#N/A</v>
      </c>
    </row>
    <row r="8" spans="1:7">
      <c r="A8">
        <v>1.643835616438356E-2</v>
      </c>
      <c r="B8" t="e">
        <v>#NUM!</v>
      </c>
      <c r="C8" t="e">
        <v>#NUM!</v>
      </c>
      <c r="D8">
        <v>0.15068695286880232</v>
      </c>
      <c r="E8" s="235">
        <v>0.14981228536533109</v>
      </c>
      <c r="F8" s="235" t="e">
        <v>#N/A</v>
      </c>
      <c r="G8" s="235" t="e">
        <v>#N/A</v>
      </c>
    </row>
    <row r="9" spans="1:7">
      <c r="A9">
        <v>2.1917808219178082E-2</v>
      </c>
      <c r="B9" t="e">
        <v>#NUM!</v>
      </c>
      <c r="C9" t="e">
        <v>#NUM!</v>
      </c>
      <c r="D9">
        <v>0.15078359433381311</v>
      </c>
      <c r="E9" s="235">
        <v>0.14981405266388792</v>
      </c>
      <c r="F9" s="235" t="e">
        <v>#N/A</v>
      </c>
      <c r="G9" s="235" t="e">
        <v>#N/A</v>
      </c>
    </row>
    <row r="10" spans="1:7">
      <c r="A10">
        <v>2.7397260273972601E-2</v>
      </c>
      <c r="B10" t="e">
        <v>#NUM!</v>
      </c>
      <c r="C10" t="e">
        <v>#NUM!</v>
      </c>
      <c r="D10">
        <v>0.15078948045748367</v>
      </c>
      <c r="E10" s="235">
        <v>0.14732453937454101</v>
      </c>
      <c r="F10" s="235" t="e">
        <v>#N/A</v>
      </c>
      <c r="G10" s="235" t="e">
        <v>#N/A</v>
      </c>
    </row>
    <row r="11" spans="1:7">
      <c r="A11">
        <v>3.287671232876712E-2</v>
      </c>
      <c r="B11" t="e">
        <v>#NUM!</v>
      </c>
      <c r="C11" t="e">
        <v>#NUM!</v>
      </c>
      <c r="D11">
        <v>0.15204193265830762</v>
      </c>
      <c r="E11" s="235">
        <v>0.14814602402856586</v>
      </c>
      <c r="F11" s="235" t="e">
        <v>#N/A</v>
      </c>
      <c r="G11" s="235" t="e">
        <v>#N/A</v>
      </c>
    </row>
    <row r="12" spans="1:7">
      <c r="A12">
        <v>3.8356164383561646E-2</v>
      </c>
      <c r="B12" t="e">
        <v>#NUM!</v>
      </c>
      <c r="C12" t="e">
        <v>#NUM!</v>
      </c>
      <c r="D12">
        <v>0.15306752785322281</v>
      </c>
      <c r="E12" s="235">
        <v>0.14655444761601827</v>
      </c>
      <c r="F12" s="235" t="e">
        <v>#N/A</v>
      </c>
      <c r="G12" s="235" t="e">
        <v>#N/A</v>
      </c>
    </row>
    <row r="13" spans="1:7">
      <c r="A13">
        <v>4.3835616438356165E-2</v>
      </c>
      <c r="B13" t="e">
        <v>#NUM!</v>
      </c>
      <c r="C13" t="e">
        <v>#NUM!</v>
      </c>
      <c r="D13">
        <v>0.15318579275193625</v>
      </c>
      <c r="E13" s="235">
        <v>0.14675393815275967</v>
      </c>
      <c r="F13" s="235" t="e">
        <v>#N/A</v>
      </c>
      <c r="G13" s="235" t="e">
        <v>#N/A</v>
      </c>
    </row>
    <row r="14" spans="1:7">
      <c r="A14">
        <v>4.9315068493150684E-2</v>
      </c>
      <c r="B14" t="e">
        <v>#NUM!</v>
      </c>
      <c r="C14" t="e">
        <v>#NUM!</v>
      </c>
      <c r="D14">
        <v>0.15369380554575199</v>
      </c>
      <c r="E14" s="235">
        <v>0.14649686711505738</v>
      </c>
      <c r="F14" s="235" t="e">
        <v>#N/A</v>
      </c>
      <c r="G14" s="235" t="e">
        <v>#N/A</v>
      </c>
    </row>
    <row r="15" spans="1:7">
      <c r="A15">
        <v>5.4794520547945202E-2</v>
      </c>
      <c r="B15" t="e">
        <v>#NUM!</v>
      </c>
      <c r="C15" t="e">
        <v>#NUM!</v>
      </c>
      <c r="D15">
        <v>0.15336964236810544</v>
      </c>
      <c r="E15" s="235">
        <v>0.14585807572762644</v>
      </c>
      <c r="F15" s="235" t="e">
        <v>#N/A</v>
      </c>
      <c r="G15" s="235" t="e">
        <v>#N/A</v>
      </c>
    </row>
    <row r="16" spans="1:7">
      <c r="A16">
        <v>6.0273972602739728E-2</v>
      </c>
      <c r="B16" t="e">
        <v>#NUM!</v>
      </c>
      <c r="C16" t="e">
        <v>#NUM!</v>
      </c>
      <c r="D16">
        <v>0.15300763273926432</v>
      </c>
      <c r="E16" s="235">
        <v>0.14366564333731058</v>
      </c>
      <c r="F16" s="235" t="e">
        <v>#N/A</v>
      </c>
      <c r="G16" s="235" t="e">
        <v>#N/A</v>
      </c>
    </row>
    <row r="17" spans="1:7">
      <c r="A17">
        <v>6.575342465753424E-2</v>
      </c>
      <c r="B17" t="e">
        <v>#NUM!</v>
      </c>
      <c r="C17" t="e">
        <v>#NUM!</v>
      </c>
      <c r="D17">
        <v>0.15303321993373853</v>
      </c>
      <c r="E17" s="235">
        <v>0.14350211240028796</v>
      </c>
      <c r="F17" s="235" t="e">
        <v>#N/A</v>
      </c>
      <c r="G17" s="235" t="e">
        <v>#N/A</v>
      </c>
    </row>
    <row r="18" spans="1:7">
      <c r="A18">
        <v>7.1232876712328766E-2</v>
      </c>
      <c r="B18" t="e">
        <v>#NUM!</v>
      </c>
      <c r="C18" t="e">
        <v>#NUM!</v>
      </c>
      <c r="D18">
        <v>0.15319712945409927</v>
      </c>
      <c r="E18" s="235">
        <v>0.14061261199487016</v>
      </c>
      <c r="F18" s="235" t="e">
        <v>#N/A</v>
      </c>
      <c r="G18" s="235" t="e">
        <v>#N/A</v>
      </c>
    </row>
    <row r="19" spans="1:7">
      <c r="A19">
        <v>7.6712328767123292E-2</v>
      </c>
      <c r="B19" t="e">
        <v>#NUM!</v>
      </c>
      <c r="C19" t="e">
        <v>#NUM!</v>
      </c>
      <c r="D19">
        <v>0.15335704580946724</v>
      </c>
      <c r="E19" s="235">
        <v>0.13985469743121642</v>
      </c>
      <c r="F19" s="235" t="e">
        <v>#N/A</v>
      </c>
      <c r="G19" s="235" t="e">
        <v>#N/A</v>
      </c>
    </row>
    <row r="20" spans="1:7">
      <c r="A20">
        <v>8.2191780821917804E-2</v>
      </c>
      <c r="B20" t="e">
        <v>#NUM!</v>
      </c>
      <c r="C20" t="e">
        <v>#NUM!</v>
      </c>
      <c r="D20">
        <v>0.15398187607964392</v>
      </c>
      <c r="E20" s="235">
        <v>0.13954979749838101</v>
      </c>
      <c r="F20" s="235" t="e">
        <v>#N/A</v>
      </c>
      <c r="G20" s="235" t="e">
        <v>#N/A</v>
      </c>
    </row>
    <row r="21" spans="1:7">
      <c r="A21">
        <v>8.7671232876712329E-2</v>
      </c>
      <c r="B21" t="e">
        <v>#NUM!</v>
      </c>
      <c r="C21" t="e">
        <v>#NUM!</v>
      </c>
      <c r="D21">
        <v>0.15438616636062943</v>
      </c>
      <c r="E21" s="235">
        <v>0.13710030938804871</v>
      </c>
      <c r="F21" s="235" t="e">
        <v>#N/A</v>
      </c>
      <c r="G21" s="235" t="e">
        <v>#N/A</v>
      </c>
    </row>
    <row r="22" spans="1:7">
      <c r="A22">
        <v>9.3150684931506855E-2</v>
      </c>
      <c r="B22" t="e">
        <v>#NUM!</v>
      </c>
      <c r="C22" t="e">
        <v>#NUM!</v>
      </c>
      <c r="D22">
        <v>0.15365700666636636</v>
      </c>
      <c r="E22" s="235">
        <v>0.13864684650337075</v>
      </c>
      <c r="F22" s="235" t="e">
        <v>#N/A</v>
      </c>
      <c r="G22" s="235" t="e">
        <v>#N/A</v>
      </c>
    </row>
    <row r="23" spans="1:7">
      <c r="A23">
        <v>9.8630136986301367E-2</v>
      </c>
      <c r="B23" t="e">
        <v>#NUM!</v>
      </c>
      <c r="C23" t="e">
        <v>#NUM!</v>
      </c>
      <c r="D23">
        <v>0.15268029151123044</v>
      </c>
      <c r="E23" s="235">
        <v>0.13802988394773491</v>
      </c>
      <c r="F23" s="235" t="e">
        <v>#N/A</v>
      </c>
      <c r="G23" s="235" t="e">
        <v>#N/A</v>
      </c>
    </row>
    <row r="24" spans="1:7">
      <c r="A24">
        <v>0.10410958904109589</v>
      </c>
      <c r="B24" t="e">
        <v>#NUM!</v>
      </c>
      <c r="C24" t="e">
        <v>#NUM!</v>
      </c>
      <c r="D24">
        <v>0.15309876527078808</v>
      </c>
      <c r="E24" s="235">
        <v>0.13667889375639874</v>
      </c>
      <c r="F24" s="235" t="e">
        <v>#N/A</v>
      </c>
      <c r="G24" s="235" t="e">
        <v>#N/A</v>
      </c>
    </row>
    <row r="25" spans="1:7">
      <c r="A25">
        <v>0.1095890410958904</v>
      </c>
      <c r="B25" t="e">
        <v>#NUM!</v>
      </c>
      <c r="C25" t="e">
        <v>#NUM!</v>
      </c>
      <c r="D25">
        <v>0.15269036649402098</v>
      </c>
      <c r="E25" s="235">
        <v>0.13873897697231985</v>
      </c>
      <c r="F25" s="235" t="e">
        <v>#N/A</v>
      </c>
      <c r="G25" s="235" t="e">
        <v>#N/A</v>
      </c>
    </row>
    <row r="26" spans="1:7">
      <c r="A26">
        <v>0.11506849315068493</v>
      </c>
      <c r="B26" t="e">
        <v>#NUM!</v>
      </c>
      <c r="C26" t="e">
        <v>#NUM!</v>
      </c>
      <c r="D26">
        <v>0.15294382955664315</v>
      </c>
      <c r="E26" s="235">
        <v>0.13821934522893381</v>
      </c>
      <c r="F26" s="235" t="e">
        <v>#N/A</v>
      </c>
      <c r="G26" s="235" t="e">
        <v>#N/A</v>
      </c>
    </row>
    <row r="27" spans="1:7">
      <c r="A27">
        <v>0.12054794520547946</v>
      </c>
      <c r="B27" t="e">
        <v>#NUM!</v>
      </c>
      <c r="C27" t="e">
        <v>#NUM!</v>
      </c>
      <c r="D27">
        <v>0.15240523352533519</v>
      </c>
      <c r="E27" s="235">
        <v>0.13812723892744905</v>
      </c>
      <c r="F27" s="235" t="e">
        <v>#N/A</v>
      </c>
      <c r="G27" s="235" t="e">
        <v>#N/A</v>
      </c>
    </row>
    <row r="28" spans="1:7">
      <c r="A28">
        <v>0.12602739726027398</v>
      </c>
      <c r="B28" t="e">
        <v>#NUM!</v>
      </c>
      <c r="C28" t="e">
        <v>#NUM!</v>
      </c>
      <c r="D28">
        <v>0.15243356250995843</v>
      </c>
      <c r="E28" s="235">
        <v>0.13729862389931941</v>
      </c>
      <c r="F28" s="235" t="e">
        <v>#N/A</v>
      </c>
      <c r="G28" s="235" t="e">
        <v>#N/A</v>
      </c>
    </row>
    <row r="29" spans="1:7">
      <c r="A29">
        <v>0.13150684931506848</v>
      </c>
      <c r="B29" t="e">
        <v>#NUM!</v>
      </c>
      <c r="C29" t="e">
        <v>#NUM!</v>
      </c>
      <c r="D29">
        <v>0.15198899327015103</v>
      </c>
      <c r="E29" s="235">
        <v>0.13875283098857932</v>
      </c>
      <c r="F29" s="235" t="e">
        <v>#N/A</v>
      </c>
      <c r="G29" s="235" t="e">
        <v>#N/A</v>
      </c>
    </row>
    <row r="30" spans="1:7">
      <c r="A30">
        <v>0.13698630136986301</v>
      </c>
      <c r="B30" t="e">
        <v>#NUM!</v>
      </c>
      <c r="C30" t="e">
        <v>#NUM!</v>
      </c>
      <c r="D30">
        <v>0.15202927090339188</v>
      </c>
      <c r="E30" s="235">
        <v>0.13885635889709491</v>
      </c>
      <c r="F30" s="235" t="e">
        <v>#N/A</v>
      </c>
      <c r="G30" s="235" t="e">
        <v>#N/A</v>
      </c>
    </row>
    <row r="31" spans="1:7">
      <c r="A31">
        <v>0.14246575342465753</v>
      </c>
      <c r="B31" t="e">
        <v>#NUM!</v>
      </c>
      <c r="C31" t="e">
        <v>#NUM!</v>
      </c>
      <c r="D31">
        <v>0.15237791352245389</v>
      </c>
      <c r="E31" s="235">
        <v>0.13840670082313311</v>
      </c>
      <c r="F31" s="235" t="e">
        <v>#N/A</v>
      </c>
      <c r="G31" s="235" t="e">
        <v>#N/A</v>
      </c>
    </row>
    <row r="32" spans="1:7">
      <c r="A32">
        <v>0.14794520547945206</v>
      </c>
      <c r="B32" t="e">
        <v>#NUM!</v>
      </c>
      <c r="C32" t="e">
        <v>#NUM!</v>
      </c>
      <c r="D32">
        <v>0.15156169124324453</v>
      </c>
      <c r="E32" s="235">
        <v>0.13928278160499277</v>
      </c>
      <c r="F32" s="235" t="e">
        <v>#N/A</v>
      </c>
      <c r="G32" s="235" t="e">
        <v>#N/A</v>
      </c>
    </row>
    <row r="33" spans="1:7">
      <c r="A33">
        <v>0.15342465753424658</v>
      </c>
      <c r="B33" t="e">
        <v>#NUM!</v>
      </c>
      <c r="C33" t="e">
        <v>#NUM!</v>
      </c>
      <c r="D33">
        <v>0.15197642572842318</v>
      </c>
      <c r="E33" s="235">
        <v>0.1363133210762523</v>
      </c>
      <c r="F33" s="235" t="e">
        <v>#N/A</v>
      </c>
      <c r="G33" s="235" t="e">
        <v>#N/A</v>
      </c>
    </row>
    <row r="34" spans="1:7">
      <c r="A34">
        <v>0.15890410958904111</v>
      </c>
      <c r="B34" t="e">
        <v>#NUM!</v>
      </c>
      <c r="C34" t="e">
        <v>#NUM!</v>
      </c>
      <c r="D34">
        <v>0.15293333064625508</v>
      </c>
      <c r="E34" s="235">
        <v>0.13576365922240885</v>
      </c>
      <c r="F34" s="235" t="e">
        <v>#N/A</v>
      </c>
      <c r="G34" s="235" t="e">
        <v>#N/A</v>
      </c>
    </row>
    <row r="35" spans="1:7">
      <c r="A35">
        <v>0.16438356164383561</v>
      </c>
      <c r="B35" t="e">
        <v>#NUM!</v>
      </c>
      <c r="C35" t="e">
        <v>#NUM!</v>
      </c>
      <c r="D35">
        <v>0.15310162029174337</v>
      </c>
      <c r="E35" s="235">
        <v>0.13641260626057458</v>
      </c>
      <c r="F35" s="235" t="e">
        <v>#N/A</v>
      </c>
      <c r="G35" s="235" t="e">
        <v>#N/A</v>
      </c>
    </row>
    <row r="36" spans="1:7">
      <c r="A36">
        <v>0.16986301369863013</v>
      </c>
      <c r="B36" t="e">
        <v>#NUM!</v>
      </c>
      <c r="C36" t="e">
        <v>#NUM!</v>
      </c>
      <c r="D36">
        <v>0.15257366794340191</v>
      </c>
      <c r="E36" s="235">
        <v>0.13657301240647537</v>
      </c>
      <c r="F36" s="235" t="e">
        <v>#N/A</v>
      </c>
      <c r="G36" s="235" t="e">
        <v>#N/A</v>
      </c>
    </row>
    <row r="37" spans="1:7">
      <c r="A37">
        <v>0.17534246575342466</v>
      </c>
      <c r="B37" t="e">
        <v>#NUM!</v>
      </c>
      <c r="C37" t="e">
        <v>#NUM!</v>
      </c>
      <c r="D37">
        <v>0.15210582450371943</v>
      </c>
      <c r="E37" s="235">
        <v>0.13698118933380007</v>
      </c>
      <c r="F37" s="235" t="e">
        <v>#N/A</v>
      </c>
      <c r="G37" s="235" t="e">
        <v>#N/A</v>
      </c>
    </row>
    <row r="38" spans="1:7">
      <c r="A38">
        <v>0.18082191780821918</v>
      </c>
      <c r="B38" t="e">
        <v>#NUM!</v>
      </c>
      <c r="C38" t="e">
        <v>#NUM!</v>
      </c>
      <c r="D38">
        <v>0.15289167227176828</v>
      </c>
      <c r="E38" s="235">
        <v>0.13745757602276362</v>
      </c>
      <c r="F38" s="235" t="e">
        <v>#N/A</v>
      </c>
      <c r="G38" s="235" t="e">
        <v>#N/A</v>
      </c>
    </row>
    <row r="39" spans="1:7">
      <c r="A39">
        <v>0.18630136986301371</v>
      </c>
      <c r="B39" t="e">
        <v>#NUM!</v>
      </c>
      <c r="C39" t="e">
        <v>#NUM!</v>
      </c>
      <c r="D39">
        <v>0.1524524644054136</v>
      </c>
      <c r="E39" s="235">
        <v>0.13738989035011145</v>
      </c>
      <c r="F39" s="235" t="e">
        <v>#N/A</v>
      </c>
      <c r="G39" s="235" t="e">
        <v>#N/A</v>
      </c>
    </row>
    <row r="40" spans="1:7">
      <c r="A40">
        <v>0.19178082191780821</v>
      </c>
      <c r="B40" t="e">
        <v>#NUM!</v>
      </c>
      <c r="C40" t="e">
        <v>#NUM!</v>
      </c>
      <c r="D40">
        <v>0.15255652667891204</v>
      </c>
      <c r="E40" s="235">
        <v>0.13745437005301392</v>
      </c>
      <c r="F40" s="235" t="e">
        <v>#N/A</v>
      </c>
      <c r="G40" s="235" t="e">
        <v>#N/A</v>
      </c>
    </row>
    <row r="41" spans="1:7">
      <c r="A41">
        <v>0.19726027397260273</v>
      </c>
      <c r="B41" t="e">
        <v>#NUM!</v>
      </c>
      <c r="C41" t="e">
        <v>#NUM!</v>
      </c>
      <c r="D41">
        <v>0.15133500718374052</v>
      </c>
      <c r="E41" s="235">
        <v>0.1377956269045898</v>
      </c>
      <c r="F41" s="235" t="e">
        <v>#N/A</v>
      </c>
      <c r="G41" s="235" t="e">
        <v>#N/A</v>
      </c>
    </row>
    <row r="42" spans="1:7">
      <c r="A42">
        <v>0.20273972602739726</v>
      </c>
      <c r="B42" t="e">
        <v>#NUM!</v>
      </c>
      <c r="C42" t="e">
        <v>#NUM!</v>
      </c>
      <c r="D42">
        <v>0.15141139310654075</v>
      </c>
      <c r="E42" s="235">
        <v>0.13957851141189834</v>
      </c>
      <c r="F42" s="235" t="e">
        <v>#N/A</v>
      </c>
      <c r="G42" s="235" t="e">
        <v>#N/A</v>
      </c>
    </row>
    <row r="43" spans="1:7">
      <c r="A43">
        <v>0.20821917808219179</v>
      </c>
      <c r="B43" t="e">
        <v>#NUM!</v>
      </c>
      <c r="C43" t="e">
        <v>#NUM!</v>
      </c>
      <c r="D43">
        <v>0.15122095607437758</v>
      </c>
      <c r="E43" s="235">
        <v>0.14057813879702188</v>
      </c>
      <c r="F43" s="235" t="e">
        <v>#N/A</v>
      </c>
      <c r="G43" s="235" t="e">
        <v>#N/A</v>
      </c>
    </row>
    <row r="44" spans="1:7">
      <c r="A44">
        <v>0.21369863013698631</v>
      </c>
      <c r="B44" t="e">
        <v>#NUM!</v>
      </c>
      <c r="C44" t="e">
        <v>#NUM!</v>
      </c>
      <c r="D44">
        <v>0.15094700018389326</v>
      </c>
      <c r="E44" s="235">
        <v>0.13995928678145753</v>
      </c>
      <c r="F44" s="235" t="e">
        <v>#N/A</v>
      </c>
      <c r="G44" s="235" t="e">
        <v>#N/A</v>
      </c>
    </row>
    <row r="45" spans="1:7">
      <c r="A45">
        <v>0.21917808219178081</v>
      </c>
      <c r="B45" t="e">
        <v>#NUM!</v>
      </c>
      <c r="C45" t="e">
        <v>#NUM!</v>
      </c>
      <c r="D45">
        <v>0.15064337025801833</v>
      </c>
      <c r="E45" s="235">
        <v>0.13989004821383549</v>
      </c>
      <c r="F45" s="235" t="e">
        <v>#N/A</v>
      </c>
      <c r="G45" s="235" t="e">
        <v>#N/A</v>
      </c>
    </row>
    <row r="46" spans="1:7">
      <c r="A46">
        <v>0.22465753424657534</v>
      </c>
      <c r="B46" t="e">
        <v>#NUM!</v>
      </c>
      <c r="C46" t="e">
        <v>#NUM!</v>
      </c>
      <c r="D46">
        <v>0.15095064956967019</v>
      </c>
      <c r="E46" s="235">
        <v>0.13973021957024268</v>
      </c>
      <c r="F46" s="235" t="e">
        <v>#N/A</v>
      </c>
      <c r="G46" s="235" t="e">
        <v>#N/A</v>
      </c>
    </row>
    <row r="47" spans="1:7">
      <c r="A47">
        <v>0.23013698630136986</v>
      </c>
      <c r="B47" t="e">
        <v>#NUM!</v>
      </c>
      <c r="C47" t="e">
        <v>#NUM!</v>
      </c>
      <c r="D47">
        <v>0.15059907115122037</v>
      </c>
      <c r="E47" s="235">
        <v>0.13870585766307156</v>
      </c>
      <c r="F47" s="235" t="e">
        <v>#N/A</v>
      </c>
      <c r="G47" s="235" t="e">
        <v>#N/A</v>
      </c>
    </row>
    <row r="48" spans="1:7">
      <c r="A48">
        <v>0.23561643835616439</v>
      </c>
      <c r="B48" t="e">
        <v>#NUM!</v>
      </c>
      <c r="C48" t="e">
        <v>#NUM!</v>
      </c>
      <c r="D48">
        <v>0.15086968389743002</v>
      </c>
      <c r="E48" s="235">
        <v>0.1390245397491188</v>
      </c>
      <c r="F48" s="235" t="e">
        <v>#N/A</v>
      </c>
      <c r="G48" s="235" t="e">
        <v>#N/A</v>
      </c>
    </row>
    <row r="49" spans="1:7">
      <c r="A49">
        <v>0.24109589041095891</v>
      </c>
      <c r="B49" t="e">
        <v>#NUM!</v>
      </c>
      <c r="C49" t="e">
        <v>#NUM!</v>
      </c>
      <c r="D49">
        <v>0.15137105216975719</v>
      </c>
      <c r="E49" s="235">
        <v>0.13804520218292907</v>
      </c>
      <c r="F49" s="235" t="e">
        <v>#N/A</v>
      </c>
      <c r="G49" s="235" t="e">
        <v>#N/A</v>
      </c>
    </row>
    <row r="50" spans="1:7">
      <c r="A50">
        <v>0.24657534246575341</v>
      </c>
      <c r="B50" t="e">
        <v>#NUM!</v>
      </c>
      <c r="C50" t="e">
        <v>#NUM!</v>
      </c>
      <c r="D50">
        <v>0.15169533643156827</v>
      </c>
      <c r="E50" s="235">
        <v>0.13776596000318081</v>
      </c>
      <c r="F50" s="235" t="e">
        <v>#N/A</v>
      </c>
      <c r="G50" s="235" t="e">
        <v>#N/A</v>
      </c>
    </row>
    <row r="51" spans="1:7">
      <c r="A51">
        <v>0.25205479452054796</v>
      </c>
      <c r="B51" t="e">
        <v>#NUM!</v>
      </c>
      <c r="C51" t="e">
        <v>#NUM!</v>
      </c>
      <c r="D51">
        <v>0.15171050352187707</v>
      </c>
      <c r="E51" s="235">
        <v>0.13661880582506619</v>
      </c>
      <c r="F51" s="235" t="e">
        <v>#N/A</v>
      </c>
      <c r="G51" s="235" t="e">
        <v>#N/A</v>
      </c>
    </row>
    <row r="52" spans="1:7">
      <c r="A52">
        <v>0.25753424657534246</v>
      </c>
      <c r="B52" t="e">
        <v>#NUM!</v>
      </c>
      <c r="C52" t="e">
        <v>#NUM!</v>
      </c>
      <c r="D52">
        <v>0.15169772121551622</v>
      </c>
      <c r="E52" s="235">
        <v>0.13790524448185346</v>
      </c>
      <c r="F52" s="235" t="e">
        <v>#N/A</v>
      </c>
      <c r="G52" s="235" t="e">
        <v>#N/A</v>
      </c>
    </row>
    <row r="53" spans="1:7">
      <c r="A53">
        <v>0.26301369863013696</v>
      </c>
      <c r="B53" t="e">
        <v>#NUM!</v>
      </c>
      <c r="C53" t="e">
        <v>#NUM!</v>
      </c>
      <c r="D53">
        <v>0.15170559751178664</v>
      </c>
      <c r="E53" s="235">
        <v>0.13721594887144314</v>
      </c>
      <c r="F53" s="235" t="e">
        <v>#N/A</v>
      </c>
      <c r="G53" s="235" t="e">
        <v>#N/A</v>
      </c>
    </row>
    <row r="54" spans="1:7">
      <c r="A54">
        <v>0.26849315068493151</v>
      </c>
      <c r="B54" t="e">
        <v>#NUM!</v>
      </c>
      <c r="C54" t="e">
        <v>#NUM!</v>
      </c>
      <c r="D54">
        <v>0.15056184408122172</v>
      </c>
      <c r="E54" s="235">
        <v>0.13791955292234029</v>
      </c>
      <c r="F54" s="235" t="e">
        <v>#N/A</v>
      </c>
      <c r="G54" s="235" t="e">
        <v>#N/A</v>
      </c>
    </row>
    <row r="55" spans="1:7">
      <c r="A55">
        <v>0.27397260273972601</v>
      </c>
      <c r="B55" t="e">
        <v>#NUM!</v>
      </c>
      <c r="C55" t="e">
        <v>#NUM!</v>
      </c>
      <c r="D55">
        <v>0.15036129625619238</v>
      </c>
      <c r="E55" s="235">
        <v>0.13964814052056931</v>
      </c>
      <c r="F55" s="235" t="e">
        <v>#N/A</v>
      </c>
      <c r="G55" s="235" t="e">
        <v>#N/A</v>
      </c>
    </row>
    <row r="56" spans="1:7">
      <c r="A56">
        <v>0.27945205479452057</v>
      </c>
      <c r="B56" t="e">
        <v>#NUM!</v>
      </c>
      <c r="C56" t="e">
        <v>#NUM!</v>
      </c>
      <c r="D56">
        <v>0.15054830485380263</v>
      </c>
      <c r="E56" s="235">
        <v>0.14080507351743962</v>
      </c>
      <c r="F56" s="235" t="e">
        <v>#N/A</v>
      </c>
      <c r="G56" s="235" t="e">
        <v>#N/A</v>
      </c>
    </row>
    <row r="57" spans="1:7">
      <c r="A57">
        <v>0.28493150684931506</v>
      </c>
      <c r="B57" t="e">
        <v>#NUM!</v>
      </c>
      <c r="C57" t="e">
        <v>#NUM!</v>
      </c>
      <c r="D57">
        <v>0.15041434081994215</v>
      </c>
      <c r="E57" s="235">
        <v>0.14065186420795725</v>
      </c>
      <c r="F57" s="235" t="e">
        <v>#N/A</v>
      </c>
      <c r="G57" s="235" t="e">
        <v>#N/A</v>
      </c>
    </row>
    <row r="58" spans="1:7">
      <c r="A58">
        <v>0.29041095890410956</v>
      </c>
      <c r="B58" t="e">
        <v>#NUM!</v>
      </c>
      <c r="C58" t="e">
        <v>#NUM!</v>
      </c>
      <c r="D58">
        <v>0.14930955767816875</v>
      </c>
      <c r="E58" s="235">
        <v>0.14163273597847087</v>
      </c>
      <c r="F58" s="235" t="e">
        <v>#N/A</v>
      </c>
      <c r="G58" s="235" t="e">
        <v>#N/A</v>
      </c>
    </row>
    <row r="59" spans="1:7">
      <c r="A59">
        <v>0.29589041095890412</v>
      </c>
      <c r="B59" t="e">
        <v>#NUM!</v>
      </c>
      <c r="C59" t="e">
        <v>#NUM!</v>
      </c>
      <c r="D59">
        <v>0.14744550018613026</v>
      </c>
      <c r="E59" s="235">
        <v>0.14163462416578484</v>
      </c>
      <c r="F59" s="235" t="e">
        <v>#N/A</v>
      </c>
      <c r="G59" s="235" t="e">
        <v>#N/A</v>
      </c>
    </row>
    <row r="60" spans="1:7">
      <c r="A60">
        <v>0.30136986301369861</v>
      </c>
      <c r="B60" t="e">
        <v>#NUM!</v>
      </c>
      <c r="C60" t="e">
        <v>#NUM!</v>
      </c>
      <c r="D60">
        <v>0.14851553411946911</v>
      </c>
      <c r="E60" s="235">
        <v>0.14318776750158421</v>
      </c>
      <c r="F60" s="235" t="e">
        <v>#N/A</v>
      </c>
      <c r="G60" s="235" t="e">
        <v>#N/A</v>
      </c>
    </row>
    <row r="61" spans="1:7">
      <c r="A61">
        <v>0.30684931506849317</v>
      </c>
      <c r="B61" t="e">
        <v>#NUM!</v>
      </c>
      <c r="C61" t="e">
        <v>#NUM!</v>
      </c>
      <c r="D61">
        <v>0.14830698422482624</v>
      </c>
      <c r="E61" s="235">
        <v>0.14397792734579376</v>
      </c>
      <c r="F61" s="235" t="e">
        <v>#N/A</v>
      </c>
      <c r="G61" s="235" t="e">
        <v>#N/A</v>
      </c>
    </row>
    <row r="62" spans="1:7">
      <c r="A62">
        <v>0.31232876712328766</v>
      </c>
      <c r="B62" t="e">
        <v>#NUM!</v>
      </c>
      <c r="C62" t="e">
        <v>#NUM!</v>
      </c>
      <c r="D62">
        <v>0.14944144501540912</v>
      </c>
      <c r="E62" s="235">
        <v>0.14446642252731001</v>
      </c>
      <c r="F62" s="235" t="e">
        <v>#N/A</v>
      </c>
      <c r="G62" s="235" t="e">
        <v>#N/A</v>
      </c>
    </row>
    <row r="63" spans="1:7">
      <c r="A63">
        <v>0.31780821917808222</v>
      </c>
      <c r="B63" t="e">
        <v>#N/A</v>
      </c>
      <c r="C63" t="e">
        <v>#N/A</v>
      </c>
      <c r="D63" t="e">
        <v>#N/A</v>
      </c>
      <c r="E63" s="235" t="e">
        <v>#N/A</v>
      </c>
      <c r="F63" s="235" t="e">
        <v>#N/A</v>
      </c>
      <c r="G63" s="235" t="e">
        <v>#N/A</v>
      </c>
    </row>
    <row r="64" spans="1:7">
      <c r="A64">
        <v>0.32328767123287672</v>
      </c>
      <c r="B64" t="e">
        <v>#N/A</v>
      </c>
      <c r="C64" t="e">
        <v>#N/A</v>
      </c>
      <c r="D64" t="e">
        <v>#N/A</v>
      </c>
      <c r="E64" s="235" t="e">
        <v>#N/A</v>
      </c>
      <c r="F64" s="235" t="e">
        <v>#N/A</v>
      </c>
      <c r="G64" s="235" t="e">
        <v>#N/A</v>
      </c>
    </row>
    <row r="65" spans="1:7">
      <c r="A65">
        <v>0.32876712328767121</v>
      </c>
      <c r="B65" t="e">
        <v>#N/A</v>
      </c>
      <c r="C65" t="e">
        <v>#N/A</v>
      </c>
      <c r="D65" t="e">
        <v>#N/A</v>
      </c>
      <c r="E65" s="235" t="e">
        <v>#N/A</v>
      </c>
      <c r="F65" s="235" t="e">
        <v>#N/A</v>
      </c>
      <c r="G65" s="235" t="e">
        <v>#N/A</v>
      </c>
    </row>
    <row r="66" spans="1:7">
      <c r="A66">
        <v>0.33424657534246577</v>
      </c>
      <c r="B66" t="e">
        <v>#N/A</v>
      </c>
      <c r="C66" t="e">
        <v>#N/A</v>
      </c>
      <c r="D66" t="e">
        <v>#N/A</v>
      </c>
      <c r="E66" s="235" t="e">
        <v>#N/A</v>
      </c>
      <c r="F66" s="235" t="e">
        <v>#N/A</v>
      </c>
      <c r="G66" s="235" t="e">
        <v>#N/A</v>
      </c>
    </row>
    <row r="67" spans="1:7">
      <c r="A67">
        <v>0.33972602739726027</v>
      </c>
      <c r="B67" t="e">
        <v>#N/A</v>
      </c>
      <c r="C67" t="e">
        <v>#N/A</v>
      </c>
      <c r="D67" t="e">
        <v>#N/A</v>
      </c>
      <c r="E67" s="235" t="e">
        <v>#N/A</v>
      </c>
      <c r="F67" s="235" t="e">
        <v>#N/A</v>
      </c>
      <c r="G67" s="235" t="e">
        <v>#N/A</v>
      </c>
    </row>
    <row r="68" spans="1:7">
      <c r="A68">
        <v>0.34520547945205482</v>
      </c>
      <c r="B68" t="e">
        <v>#N/A</v>
      </c>
      <c r="C68" t="e">
        <v>#N/A</v>
      </c>
      <c r="D68" t="e">
        <v>#N/A</v>
      </c>
      <c r="E68" s="235" t="e">
        <v>#N/A</v>
      </c>
      <c r="F68" s="235" t="e">
        <v>#N/A</v>
      </c>
      <c r="G68" s="235" t="e">
        <v>#N/A</v>
      </c>
    </row>
    <row r="69" spans="1:7">
      <c r="A69">
        <v>0.35068493150684932</v>
      </c>
      <c r="B69" t="e">
        <v>#N/A</v>
      </c>
      <c r="C69" t="e">
        <v>#N/A</v>
      </c>
      <c r="D69" t="e">
        <v>#N/A</v>
      </c>
      <c r="E69" s="235" t="e">
        <v>#N/A</v>
      </c>
      <c r="F69" s="235" t="e">
        <v>#N/A</v>
      </c>
      <c r="G69" s="235" t="e">
        <v>#N/A</v>
      </c>
    </row>
    <row r="70" spans="1:7">
      <c r="A70">
        <v>0.35616438356164382</v>
      </c>
      <c r="B70" t="e">
        <v>#N/A</v>
      </c>
      <c r="C70" t="e">
        <v>#N/A</v>
      </c>
      <c r="D70" t="e">
        <v>#N/A</v>
      </c>
      <c r="E70" s="235" t="e">
        <v>#N/A</v>
      </c>
      <c r="F70" s="235" t="e">
        <v>#N/A</v>
      </c>
      <c r="G70" s="235" t="e">
        <v>#N/A</v>
      </c>
    </row>
    <row r="71" spans="1:7">
      <c r="A71">
        <v>0.36164383561643837</v>
      </c>
      <c r="B71" t="e">
        <v>#N/A</v>
      </c>
      <c r="C71" t="e">
        <v>#N/A</v>
      </c>
      <c r="D71" t="e">
        <v>#N/A</v>
      </c>
      <c r="E71" s="235" t="e">
        <v>#N/A</v>
      </c>
      <c r="F71" s="235" t="e">
        <v>#N/A</v>
      </c>
      <c r="G71" s="235" t="e">
        <v>#N/A</v>
      </c>
    </row>
    <row r="72" spans="1:7">
      <c r="A72">
        <v>0.36712328767123287</v>
      </c>
      <c r="B72" t="e">
        <v>#N/A</v>
      </c>
      <c r="C72" t="e">
        <v>#N/A</v>
      </c>
      <c r="D72" t="e">
        <v>#N/A</v>
      </c>
      <c r="E72" s="235" t="e">
        <v>#N/A</v>
      </c>
      <c r="F72" s="235" t="e">
        <v>#N/A</v>
      </c>
      <c r="G72" s="235" t="e">
        <v>#N/A</v>
      </c>
    </row>
    <row r="73" spans="1:7">
      <c r="A73">
        <v>0.37260273972602742</v>
      </c>
      <c r="B73" t="e">
        <v>#N/A</v>
      </c>
      <c r="C73" t="e">
        <v>#N/A</v>
      </c>
      <c r="D73" t="e">
        <v>#N/A</v>
      </c>
      <c r="E73" s="235" t="e">
        <v>#N/A</v>
      </c>
      <c r="F73" s="235" t="e">
        <v>#N/A</v>
      </c>
      <c r="G73" s="235" t="e">
        <v>#N/A</v>
      </c>
    </row>
    <row r="74" spans="1:7">
      <c r="A74">
        <v>0.37808219178082192</v>
      </c>
      <c r="B74" t="e">
        <v>#N/A</v>
      </c>
      <c r="C74" t="e">
        <v>#N/A</v>
      </c>
      <c r="D74" t="e">
        <v>#N/A</v>
      </c>
      <c r="E74" s="235" t="e">
        <v>#N/A</v>
      </c>
      <c r="F74" s="235" t="e">
        <v>#N/A</v>
      </c>
      <c r="G74" s="235" t="e">
        <v>#N/A</v>
      </c>
    </row>
    <row r="75" spans="1:7">
      <c r="A75">
        <v>0.38356164383561642</v>
      </c>
      <c r="B75" t="e">
        <v>#N/A</v>
      </c>
      <c r="C75" t="e">
        <v>#N/A</v>
      </c>
      <c r="D75" t="e">
        <v>#N/A</v>
      </c>
      <c r="E75" s="235" t="e">
        <v>#N/A</v>
      </c>
      <c r="F75" s="235" t="e">
        <v>#N/A</v>
      </c>
      <c r="G75" s="235" t="e">
        <v>#N/A</v>
      </c>
    </row>
    <row r="76" spans="1:7">
      <c r="A76">
        <v>0.38904109589041097</v>
      </c>
      <c r="B76" t="e">
        <v>#N/A</v>
      </c>
      <c r="C76" t="e">
        <v>#N/A</v>
      </c>
      <c r="D76" t="e">
        <v>#N/A</v>
      </c>
      <c r="E76" s="235" t="e">
        <v>#N/A</v>
      </c>
      <c r="F76" s="235" t="e">
        <v>#N/A</v>
      </c>
      <c r="G76" s="235" t="e">
        <v>#N/A</v>
      </c>
    </row>
    <row r="77" spans="1:7">
      <c r="A77">
        <v>0.39452054794520547</v>
      </c>
      <c r="B77" t="e">
        <v>#N/A</v>
      </c>
      <c r="C77" t="e">
        <v>#N/A</v>
      </c>
      <c r="D77" t="e">
        <v>#N/A</v>
      </c>
      <c r="E77" s="235" t="e">
        <v>#N/A</v>
      </c>
      <c r="F77" s="235" t="e">
        <v>#N/A</v>
      </c>
      <c r="G77" s="235" t="e">
        <v>#N/A</v>
      </c>
    </row>
    <row r="78" spans="1:7">
      <c r="A78">
        <v>0.4</v>
      </c>
      <c r="B78" t="e">
        <v>#N/A</v>
      </c>
      <c r="C78" t="e">
        <v>#N/A</v>
      </c>
      <c r="D78" t="e">
        <v>#N/A</v>
      </c>
      <c r="E78" s="235" t="e">
        <v>#N/A</v>
      </c>
      <c r="F78" s="235" t="e">
        <v>#N/A</v>
      </c>
      <c r="G78" s="235" t="e">
        <v>#N/A</v>
      </c>
    </row>
    <row r="79" spans="1:7">
      <c r="A79">
        <v>0.40547945205479452</v>
      </c>
      <c r="B79" t="e">
        <v>#N/A</v>
      </c>
      <c r="C79" t="e">
        <v>#N/A</v>
      </c>
      <c r="D79" t="e">
        <v>#N/A</v>
      </c>
      <c r="E79" s="235" t="e">
        <v>#N/A</v>
      </c>
      <c r="F79" s="235" t="e">
        <v>#N/A</v>
      </c>
      <c r="G79" s="235" t="e">
        <v>#N/A</v>
      </c>
    </row>
    <row r="80" spans="1:7">
      <c r="A80">
        <v>0.41095890410958902</v>
      </c>
      <c r="B80" t="e">
        <v>#N/A</v>
      </c>
      <c r="C80" t="e">
        <v>#N/A</v>
      </c>
      <c r="D80" t="e">
        <v>#N/A</v>
      </c>
      <c r="E80" s="235" t="e">
        <v>#N/A</v>
      </c>
      <c r="F80" s="235" t="e">
        <v>#N/A</v>
      </c>
      <c r="G80" s="235" t="e">
        <v>#N/A</v>
      </c>
    </row>
    <row r="81" spans="1:7">
      <c r="A81">
        <v>0.41643835616438357</v>
      </c>
      <c r="B81" t="e">
        <v>#N/A</v>
      </c>
      <c r="C81" t="e">
        <v>#N/A</v>
      </c>
      <c r="D81" t="e">
        <v>#N/A</v>
      </c>
      <c r="E81" s="235" t="e">
        <v>#N/A</v>
      </c>
      <c r="F81" s="235" t="e">
        <v>#N/A</v>
      </c>
      <c r="G81" s="235" t="e">
        <v>#N/A</v>
      </c>
    </row>
    <row r="82" spans="1:7">
      <c r="A82">
        <v>0.42191780821917807</v>
      </c>
      <c r="B82" t="e">
        <v>#N/A</v>
      </c>
      <c r="C82" t="e">
        <v>#N/A</v>
      </c>
      <c r="D82" t="e">
        <v>#N/A</v>
      </c>
      <c r="E82" s="235" t="e">
        <v>#N/A</v>
      </c>
      <c r="F82" s="235" t="e">
        <v>#N/A</v>
      </c>
      <c r="G82" s="235" t="e">
        <v>#N/A</v>
      </c>
    </row>
    <row r="83" spans="1:7">
      <c r="A83">
        <v>0.42739726027397262</v>
      </c>
      <c r="B83" t="e">
        <v>#N/A</v>
      </c>
      <c r="C83" t="e">
        <v>#N/A</v>
      </c>
      <c r="D83" t="e">
        <v>#N/A</v>
      </c>
      <c r="E83" s="235" t="e">
        <v>#N/A</v>
      </c>
      <c r="F83" s="235" t="e">
        <v>#N/A</v>
      </c>
      <c r="G83" s="235" t="e">
        <v>#N/A</v>
      </c>
    </row>
    <row r="84" spans="1:7">
      <c r="A84">
        <v>0.43287671232876712</v>
      </c>
      <c r="B84" t="e">
        <v>#N/A</v>
      </c>
      <c r="C84" t="e">
        <v>#N/A</v>
      </c>
      <c r="D84" t="e">
        <v>#N/A</v>
      </c>
      <c r="E84" s="235" t="e">
        <v>#N/A</v>
      </c>
      <c r="F84" s="235" t="e">
        <v>#N/A</v>
      </c>
      <c r="G84" s="235" t="e">
        <v>#N/A</v>
      </c>
    </row>
    <row r="85" spans="1:7">
      <c r="A85">
        <v>0.43835616438356162</v>
      </c>
      <c r="B85" t="e">
        <v>#N/A</v>
      </c>
      <c r="C85" t="e">
        <v>#N/A</v>
      </c>
      <c r="D85" t="e">
        <v>#N/A</v>
      </c>
      <c r="E85" s="235" t="e">
        <v>#N/A</v>
      </c>
      <c r="F85" s="235" t="e">
        <v>#N/A</v>
      </c>
      <c r="G85" s="235" t="e">
        <v>#N/A</v>
      </c>
    </row>
    <row r="86" spans="1:7">
      <c r="A86">
        <v>0.44383561643835617</v>
      </c>
      <c r="B86" t="e">
        <v>#N/A</v>
      </c>
      <c r="C86" t="e">
        <v>#N/A</v>
      </c>
      <c r="D86" t="e">
        <v>#N/A</v>
      </c>
      <c r="E86" s="235" t="e">
        <v>#N/A</v>
      </c>
      <c r="F86" s="235" t="e">
        <v>#N/A</v>
      </c>
      <c r="G86" s="235" t="e">
        <v>#N/A</v>
      </c>
    </row>
    <row r="87" spans="1:7">
      <c r="A87">
        <v>0.44931506849315067</v>
      </c>
      <c r="B87" t="e">
        <v>#N/A</v>
      </c>
      <c r="C87" t="e">
        <v>#N/A</v>
      </c>
      <c r="D87" t="e">
        <v>#N/A</v>
      </c>
      <c r="E87" s="235" t="e">
        <v>#N/A</v>
      </c>
      <c r="F87" s="235" t="e">
        <v>#N/A</v>
      </c>
      <c r="G87" s="235" t="e">
        <v>#N/A</v>
      </c>
    </row>
    <row r="88" spans="1:7">
      <c r="A88">
        <v>0.45479452054794522</v>
      </c>
      <c r="B88" t="e">
        <v>#N/A</v>
      </c>
      <c r="C88" t="e">
        <v>#N/A</v>
      </c>
      <c r="D88" t="e">
        <v>#N/A</v>
      </c>
      <c r="E88" s="235" t="e">
        <v>#N/A</v>
      </c>
      <c r="F88" s="235" t="e">
        <v>#N/A</v>
      </c>
      <c r="G88" s="235" t="e">
        <v>#N/A</v>
      </c>
    </row>
    <row r="89" spans="1:7">
      <c r="A89">
        <v>0.46027397260273972</v>
      </c>
      <c r="B89" t="e">
        <v>#N/A</v>
      </c>
      <c r="C89" t="e">
        <v>#N/A</v>
      </c>
      <c r="D89" t="e">
        <v>#N/A</v>
      </c>
      <c r="E89" s="235" t="e">
        <v>#N/A</v>
      </c>
      <c r="F89" s="235" t="e">
        <v>#N/A</v>
      </c>
      <c r="G89" s="235" t="e">
        <v>#N/A</v>
      </c>
    </row>
    <row r="90" spans="1:7">
      <c r="A90">
        <v>0.46575342465753422</v>
      </c>
      <c r="B90" t="e">
        <v>#N/A</v>
      </c>
      <c r="C90" t="e">
        <v>#N/A</v>
      </c>
      <c r="D90" t="e">
        <v>#N/A</v>
      </c>
      <c r="E90" s="235" t="e">
        <v>#N/A</v>
      </c>
      <c r="F90" s="235" t="e">
        <v>#N/A</v>
      </c>
      <c r="G90" s="235" t="e">
        <v>#N/A</v>
      </c>
    </row>
    <row r="91" spans="1:7">
      <c r="A91">
        <v>0.47123287671232877</v>
      </c>
      <c r="B91" t="e">
        <v>#N/A</v>
      </c>
      <c r="C91" t="e">
        <v>#N/A</v>
      </c>
      <c r="D91" t="e">
        <v>#N/A</v>
      </c>
      <c r="E91" s="235" t="e">
        <v>#N/A</v>
      </c>
      <c r="F91" s="235" t="e">
        <v>#N/A</v>
      </c>
      <c r="G91" s="235" t="e">
        <v>#N/A</v>
      </c>
    </row>
    <row r="92" spans="1:7">
      <c r="A92">
        <v>0.47671232876712327</v>
      </c>
      <c r="B92" t="e">
        <v>#N/A</v>
      </c>
      <c r="C92" t="e">
        <v>#N/A</v>
      </c>
      <c r="D92" t="e">
        <v>#N/A</v>
      </c>
      <c r="E92" s="235" t="e">
        <v>#N/A</v>
      </c>
      <c r="F92" s="235" t="e">
        <v>#N/A</v>
      </c>
      <c r="G92" s="235" t="e">
        <v>#N/A</v>
      </c>
    </row>
    <row r="93" spans="1:7">
      <c r="A93">
        <v>0.48219178082191783</v>
      </c>
      <c r="B93" t="e">
        <v>#N/A</v>
      </c>
      <c r="C93" t="e">
        <v>#N/A</v>
      </c>
      <c r="D93" t="e">
        <v>#N/A</v>
      </c>
      <c r="E93" s="235" t="e">
        <v>#N/A</v>
      </c>
      <c r="F93" s="235" t="e">
        <v>#N/A</v>
      </c>
      <c r="G93" s="235" t="e">
        <v>#N/A</v>
      </c>
    </row>
    <row r="94" spans="1:7">
      <c r="A94">
        <v>0.48767123287671232</v>
      </c>
      <c r="B94" t="e">
        <v>#N/A</v>
      </c>
      <c r="C94" t="e">
        <v>#N/A</v>
      </c>
      <c r="D94" t="e">
        <v>#N/A</v>
      </c>
      <c r="E94" s="235" t="e">
        <v>#N/A</v>
      </c>
      <c r="F94" s="235" t="e">
        <v>#N/A</v>
      </c>
      <c r="G94" s="235" t="e">
        <v>#N/A</v>
      </c>
    </row>
    <row r="95" spans="1:7">
      <c r="A95">
        <v>0.49315068493150682</v>
      </c>
      <c r="B95" t="e">
        <v>#N/A</v>
      </c>
      <c r="C95" t="e">
        <v>#N/A</v>
      </c>
      <c r="D95" t="e">
        <v>#N/A</v>
      </c>
      <c r="E95" s="235" t="e">
        <v>#N/A</v>
      </c>
      <c r="F95" s="235" t="e">
        <v>#N/A</v>
      </c>
      <c r="G95" s="235" t="e">
        <v>#N/A</v>
      </c>
    </row>
    <row r="96" spans="1:7">
      <c r="A96">
        <v>0.49863013698630138</v>
      </c>
      <c r="B96" t="e">
        <v>#N/A</v>
      </c>
      <c r="C96" t="e">
        <v>#N/A</v>
      </c>
      <c r="D96" t="e">
        <v>#N/A</v>
      </c>
      <c r="E96" s="235" t="e">
        <v>#N/A</v>
      </c>
      <c r="F96" s="235" t="e">
        <v>#N/A</v>
      </c>
      <c r="G96" s="235" t="e">
        <v>#N/A</v>
      </c>
    </row>
    <row r="97" spans="1:7">
      <c r="A97">
        <v>0.50410958904109593</v>
      </c>
      <c r="B97" t="e">
        <v>#N/A</v>
      </c>
      <c r="C97" t="e">
        <v>#N/A</v>
      </c>
      <c r="D97" t="e">
        <v>#N/A</v>
      </c>
      <c r="E97" s="235" t="e">
        <v>#N/A</v>
      </c>
      <c r="F97" s="235" t="e">
        <v>#N/A</v>
      </c>
      <c r="G97" s="235" t="e">
        <v>#N/A</v>
      </c>
    </row>
    <row r="98" spans="1:7">
      <c r="A98">
        <v>0.50958904109589043</v>
      </c>
      <c r="B98" t="e">
        <v>#N/A</v>
      </c>
      <c r="C98" t="e">
        <v>#N/A</v>
      </c>
      <c r="D98" t="e">
        <v>#N/A</v>
      </c>
      <c r="E98" s="235" t="e">
        <v>#N/A</v>
      </c>
      <c r="F98" s="235" t="e">
        <v>#N/A</v>
      </c>
      <c r="G98" s="235" t="e">
        <v>#N/A</v>
      </c>
    </row>
    <row r="99" spans="1:7">
      <c r="A99">
        <v>0.51506849315068493</v>
      </c>
      <c r="B99" t="e">
        <v>#N/A</v>
      </c>
      <c r="C99" t="e">
        <v>#N/A</v>
      </c>
      <c r="D99" t="e">
        <v>#N/A</v>
      </c>
      <c r="E99" s="235" t="e">
        <v>#N/A</v>
      </c>
      <c r="F99" s="235" t="e">
        <v>#N/A</v>
      </c>
      <c r="G99" s="235" t="e">
        <v>#N/A</v>
      </c>
    </row>
    <row r="100" spans="1:7">
      <c r="A100">
        <v>0.52054794520547942</v>
      </c>
      <c r="B100" t="e">
        <v>#N/A</v>
      </c>
      <c r="C100" t="e">
        <v>#N/A</v>
      </c>
      <c r="D100" t="e">
        <v>#N/A</v>
      </c>
      <c r="E100" s="235" t="e">
        <v>#N/A</v>
      </c>
      <c r="F100" s="235" t="e">
        <v>#N/A</v>
      </c>
      <c r="G100" s="235" t="e">
        <v>#N/A</v>
      </c>
    </row>
    <row r="101" spans="1:7">
      <c r="A101">
        <v>0.52602739726027392</v>
      </c>
      <c r="B101" t="e">
        <v>#N/A</v>
      </c>
      <c r="C101" t="e">
        <v>#N/A</v>
      </c>
      <c r="D101" t="e">
        <v>#N/A</v>
      </c>
      <c r="E101" s="235" t="e">
        <v>#N/A</v>
      </c>
      <c r="F101" s="235" t="e">
        <v>#N/A</v>
      </c>
      <c r="G101" s="235" t="e">
        <v>#N/A</v>
      </c>
    </row>
    <row r="102" spans="1:7">
      <c r="A102">
        <v>0.53150684931506853</v>
      </c>
      <c r="B102" t="e">
        <v>#N/A</v>
      </c>
      <c r="C102" t="e">
        <v>#N/A</v>
      </c>
      <c r="D102" t="e">
        <v>#N/A</v>
      </c>
      <c r="E102" s="235" t="e">
        <v>#N/A</v>
      </c>
      <c r="F102" s="235" t="e">
        <v>#N/A</v>
      </c>
      <c r="G102" s="235" t="e">
        <v>#N/A</v>
      </c>
    </row>
    <row r="103" spans="1:7">
      <c r="A103">
        <v>0.53698630136986303</v>
      </c>
      <c r="B103" t="e">
        <v>#N/A</v>
      </c>
      <c r="C103" t="e">
        <v>#N/A</v>
      </c>
      <c r="D103" t="e">
        <v>#N/A</v>
      </c>
      <c r="E103" s="235" t="e">
        <v>#N/A</v>
      </c>
      <c r="F103" s="235" t="e">
        <v>#N/A</v>
      </c>
      <c r="G103" s="235" t="e">
        <v>#N/A</v>
      </c>
    </row>
    <row r="104" spans="1:7">
      <c r="A104">
        <v>0.54246575342465753</v>
      </c>
      <c r="B104" t="e">
        <v>#N/A</v>
      </c>
      <c r="C104" t="e">
        <v>#N/A</v>
      </c>
      <c r="D104" t="e">
        <v>#N/A</v>
      </c>
      <c r="E104" s="235" t="e">
        <v>#N/A</v>
      </c>
      <c r="F104" s="235" t="e">
        <v>#N/A</v>
      </c>
      <c r="G104" s="235" t="e">
        <v>#N/A</v>
      </c>
    </row>
    <row r="105" spans="1:7">
      <c r="A105">
        <v>0.54794520547945202</v>
      </c>
      <c r="B105" t="e">
        <v>#N/A</v>
      </c>
      <c r="C105" t="e">
        <v>#N/A</v>
      </c>
      <c r="D105" t="e">
        <v>#N/A</v>
      </c>
      <c r="E105" s="235" t="e">
        <v>#N/A</v>
      </c>
      <c r="F105" s="235" t="e">
        <v>#N/A</v>
      </c>
      <c r="G105" s="235" t="e">
        <v>#N/A</v>
      </c>
    </row>
    <row r="106" spans="1:7">
      <c r="A106">
        <v>0.55342465753424652</v>
      </c>
      <c r="B106" t="e">
        <v>#N/A</v>
      </c>
      <c r="C106" t="e">
        <v>#N/A</v>
      </c>
      <c r="D106" t="e">
        <v>#N/A</v>
      </c>
      <c r="E106" s="235" t="e">
        <v>#N/A</v>
      </c>
      <c r="F106" s="235" t="e">
        <v>#N/A</v>
      </c>
      <c r="G106" s="235" t="e">
        <v>#N/A</v>
      </c>
    </row>
    <row r="107" spans="1:7">
      <c r="A107">
        <v>0.55890410958904113</v>
      </c>
      <c r="B107" t="e">
        <v>#N/A</v>
      </c>
      <c r="C107" t="e">
        <v>#N/A</v>
      </c>
      <c r="D107" t="e">
        <v>#N/A</v>
      </c>
      <c r="E107" s="235" t="e">
        <v>#N/A</v>
      </c>
      <c r="F107" s="235" t="e">
        <v>#N/A</v>
      </c>
      <c r="G107" s="235" t="e">
        <v>#N/A</v>
      </c>
    </row>
    <row r="108" spans="1:7">
      <c r="A108">
        <v>0.56438356164383563</v>
      </c>
      <c r="B108" t="e">
        <v>#N/A</v>
      </c>
      <c r="C108" t="e">
        <v>#N/A</v>
      </c>
      <c r="D108" t="e">
        <v>#N/A</v>
      </c>
      <c r="E108" s="235" t="e">
        <v>#N/A</v>
      </c>
      <c r="F108" s="235" t="e">
        <v>#N/A</v>
      </c>
      <c r="G108" s="235" t="e">
        <v>#N/A</v>
      </c>
    </row>
    <row r="109" spans="1:7">
      <c r="A109">
        <v>0.56986301369863013</v>
      </c>
      <c r="B109" t="e">
        <v>#N/A</v>
      </c>
      <c r="C109" t="e">
        <v>#N/A</v>
      </c>
      <c r="D109" t="e">
        <v>#N/A</v>
      </c>
      <c r="E109" s="235" t="e">
        <v>#N/A</v>
      </c>
      <c r="F109" s="235" t="e">
        <v>#N/A</v>
      </c>
      <c r="G109" s="235" t="e">
        <v>#N/A</v>
      </c>
    </row>
    <row r="110" spans="1:7">
      <c r="A110">
        <v>0.57534246575342463</v>
      </c>
      <c r="B110" t="e">
        <v>#N/A</v>
      </c>
      <c r="C110" t="e">
        <v>#N/A</v>
      </c>
      <c r="D110" t="e">
        <v>#N/A</v>
      </c>
      <c r="E110" s="235" t="e">
        <v>#N/A</v>
      </c>
      <c r="F110" s="235" t="e">
        <v>#N/A</v>
      </c>
      <c r="G110" s="235" t="e">
        <v>#N/A</v>
      </c>
    </row>
    <row r="111" spans="1:7">
      <c r="A111">
        <v>0.58082191780821912</v>
      </c>
      <c r="B111" t="e">
        <v>#N/A</v>
      </c>
      <c r="C111" t="e">
        <v>#N/A</v>
      </c>
      <c r="D111" t="e">
        <v>#N/A</v>
      </c>
      <c r="E111" s="235" t="e">
        <v>#N/A</v>
      </c>
      <c r="F111" s="235" t="e">
        <v>#N/A</v>
      </c>
      <c r="G111" s="235" t="e">
        <v>#N/A</v>
      </c>
    </row>
    <row r="112" spans="1:7">
      <c r="A112">
        <v>0.58630136986301373</v>
      </c>
      <c r="B112" t="e">
        <v>#N/A</v>
      </c>
      <c r="C112" t="e">
        <v>#N/A</v>
      </c>
      <c r="D112" t="e">
        <v>#N/A</v>
      </c>
      <c r="E112" s="235" t="e">
        <v>#N/A</v>
      </c>
      <c r="F112" s="235" t="e">
        <v>#N/A</v>
      </c>
      <c r="G112" s="235" t="e">
        <v>#N/A</v>
      </c>
    </row>
    <row r="113" spans="1:7">
      <c r="A113">
        <v>0.59178082191780823</v>
      </c>
      <c r="B113" t="e">
        <v>#N/A</v>
      </c>
      <c r="C113" t="e">
        <v>#N/A</v>
      </c>
      <c r="D113" t="e">
        <v>#N/A</v>
      </c>
      <c r="E113" s="235" t="e">
        <v>#N/A</v>
      </c>
      <c r="F113" s="235" t="e">
        <v>#N/A</v>
      </c>
      <c r="G113" s="235" t="e">
        <v>#N/A</v>
      </c>
    </row>
    <row r="114" spans="1:7">
      <c r="A114">
        <v>0.59726027397260273</v>
      </c>
      <c r="B114" t="e">
        <v>#N/A</v>
      </c>
      <c r="C114" t="e">
        <v>#N/A</v>
      </c>
      <c r="D114" t="e">
        <v>#N/A</v>
      </c>
      <c r="E114" s="235" t="e">
        <v>#N/A</v>
      </c>
      <c r="F114" s="235" t="e">
        <v>#N/A</v>
      </c>
      <c r="G114" s="235" t="e">
        <v>#N/A</v>
      </c>
    </row>
    <row r="115" spans="1:7">
      <c r="A115">
        <v>0.60273972602739723</v>
      </c>
      <c r="B115" t="e">
        <v>#N/A</v>
      </c>
      <c r="C115" t="e">
        <v>#N/A</v>
      </c>
      <c r="D115" t="e">
        <v>#N/A</v>
      </c>
      <c r="E115" s="235" t="e">
        <v>#N/A</v>
      </c>
      <c r="F115" s="235" t="e">
        <v>#N/A</v>
      </c>
      <c r="G115" s="235" t="e">
        <v>#N/A</v>
      </c>
    </row>
    <row r="116" spans="1:7">
      <c r="A116">
        <v>0.60821917808219184</v>
      </c>
      <c r="B116" t="e">
        <v>#N/A</v>
      </c>
      <c r="C116" t="e">
        <v>#N/A</v>
      </c>
      <c r="D116" t="e">
        <v>#N/A</v>
      </c>
      <c r="E116" s="235" t="e">
        <v>#N/A</v>
      </c>
      <c r="F116" s="235" t="e">
        <v>#N/A</v>
      </c>
      <c r="G116" s="235" t="e">
        <v>#N/A</v>
      </c>
    </row>
    <row r="117" spans="1:7">
      <c r="A117">
        <v>0.61369863013698633</v>
      </c>
      <c r="B117" t="e">
        <v>#N/A</v>
      </c>
      <c r="C117" t="e">
        <v>#N/A</v>
      </c>
      <c r="D117" t="e">
        <v>#N/A</v>
      </c>
      <c r="E117" s="235" t="e">
        <v>#N/A</v>
      </c>
      <c r="F117" s="235" t="e">
        <v>#N/A</v>
      </c>
      <c r="G117" s="235" t="e">
        <v>#N/A</v>
      </c>
    </row>
    <row r="118" spans="1:7">
      <c r="A118">
        <v>0.61917808219178083</v>
      </c>
      <c r="B118" t="e">
        <v>#N/A</v>
      </c>
      <c r="C118" t="e">
        <v>#N/A</v>
      </c>
      <c r="D118" t="e">
        <v>#N/A</v>
      </c>
      <c r="E118" s="235" t="e">
        <v>#N/A</v>
      </c>
      <c r="F118" s="235" t="e">
        <v>#N/A</v>
      </c>
      <c r="G118" s="235" t="e">
        <v>#N/A</v>
      </c>
    </row>
    <row r="119" spans="1:7">
      <c r="A119">
        <v>0.62465753424657533</v>
      </c>
      <c r="B119" t="e">
        <v>#N/A</v>
      </c>
      <c r="C119" t="e">
        <v>#N/A</v>
      </c>
      <c r="D119" t="e">
        <v>#N/A</v>
      </c>
      <c r="E119" s="235" t="e">
        <v>#N/A</v>
      </c>
      <c r="F119" s="235" t="e">
        <v>#N/A</v>
      </c>
      <c r="G119" s="235" t="e">
        <v>#N/A</v>
      </c>
    </row>
    <row r="120" spans="1:7">
      <c r="A120">
        <v>0.63013698630136983</v>
      </c>
      <c r="B120" t="e">
        <v>#N/A</v>
      </c>
      <c r="C120" t="e">
        <v>#N/A</v>
      </c>
      <c r="D120" t="e">
        <v>#N/A</v>
      </c>
      <c r="E120" s="235" t="e">
        <v>#N/A</v>
      </c>
      <c r="F120" s="235" t="e">
        <v>#N/A</v>
      </c>
      <c r="G120" s="235" t="e">
        <v>#N/A</v>
      </c>
    </row>
    <row r="121" spans="1:7">
      <c r="A121">
        <v>0.63561643835616444</v>
      </c>
      <c r="B121" t="e">
        <v>#N/A</v>
      </c>
      <c r="C121" t="e">
        <v>#N/A</v>
      </c>
      <c r="D121" t="e">
        <v>#N/A</v>
      </c>
      <c r="E121" s="235" t="e">
        <v>#N/A</v>
      </c>
      <c r="F121" s="235" t="e">
        <v>#N/A</v>
      </c>
      <c r="G121" s="235" t="e">
        <v>#N/A</v>
      </c>
    </row>
    <row r="122" spans="1:7">
      <c r="A122">
        <v>0.64109589041095894</v>
      </c>
      <c r="B122" t="e">
        <v>#N/A</v>
      </c>
      <c r="C122" t="e">
        <v>#N/A</v>
      </c>
      <c r="D122" t="e">
        <v>#N/A</v>
      </c>
      <c r="E122" s="235" t="e">
        <v>#N/A</v>
      </c>
      <c r="F122" s="235" t="e">
        <v>#N/A</v>
      </c>
      <c r="G122" s="235" t="e">
        <v>#N/A</v>
      </c>
    </row>
    <row r="123" spans="1:7">
      <c r="A123">
        <v>0.64657534246575343</v>
      </c>
      <c r="B123" t="e">
        <v>#N/A</v>
      </c>
      <c r="C123" t="e">
        <v>#N/A</v>
      </c>
      <c r="D123" t="e">
        <v>#N/A</v>
      </c>
      <c r="E123" s="235" t="e">
        <v>#N/A</v>
      </c>
      <c r="F123" s="235" t="e">
        <v>#N/A</v>
      </c>
      <c r="G123" s="235" t="e">
        <v>#N/A</v>
      </c>
    </row>
    <row r="124" spans="1:7">
      <c r="A124">
        <v>0.65205479452054793</v>
      </c>
      <c r="B124" t="e">
        <v>#N/A</v>
      </c>
      <c r="C124" t="e">
        <v>#N/A</v>
      </c>
      <c r="D124" t="e">
        <v>#N/A</v>
      </c>
      <c r="E124" s="235" t="e">
        <v>#N/A</v>
      </c>
      <c r="F124" s="235" t="e">
        <v>#N/A</v>
      </c>
      <c r="G124" s="235" t="e">
        <v>#N/A</v>
      </c>
    </row>
    <row r="125" spans="1:7">
      <c r="A125">
        <v>0.65753424657534243</v>
      </c>
      <c r="B125" t="e">
        <v>#N/A</v>
      </c>
      <c r="C125" t="e">
        <v>#N/A</v>
      </c>
      <c r="D125" t="e">
        <v>#N/A</v>
      </c>
      <c r="E125" s="235" t="e">
        <v>#N/A</v>
      </c>
      <c r="F125" s="235" t="e">
        <v>#N/A</v>
      </c>
      <c r="G125" s="235" t="e">
        <v>#N/A</v>
      </c>
    </row>
    <row r="126" spans="1:7">
      <c r="A126">
        <v>0.66301369863013704</v>
      </c>
      <c r="B126" t="e">
        <v>#N/A</v>
      </c>
      <c r="C126" t="e">
        <v>#N/A</v>
      </c>
      <c r="D126" t="e">
        <v>#N/A</v>
      </c>
      <c r="E126" s="235" t="e">
        <v>#N/A</v>
      </c>
      <c r="F126" s="235" t="e">
        <v>#N/A</v>
      </c>
      <c r="G126" s="235" t="e">
        <v>#N/A</v>
      </c>
    </row>
    <row r="127" spans="1:7">
      <c r="A127">
        <v>0.66849315068493154</v>
      </c>
      <c r="B127" t="e">
        <v>#N/A</v>
      </c>
      <c r="C127" t="e">
        <v>#N/A</v>
      </c>
      <c r="D127" t="e">
        <v>#N/A</v>
      </c>
      <c r="E127" s="235" t="e">
        <v>#N/A</v>
      </c>
      <c r="F127" s="235" t="e">
        <v>#N/A</v>
      </c>
      <c r="G127" s="235" t="e">
        <v>#N/A</v>
      </c>
    </row>
    <row r="128" spans="1:7">
      <c r="A128">
        <v>0.67397260273972603</v>
      </c>
      <c r="B128" t="e">
        <v>#N/A</v>
      </c>
      <c r="C128" t="e">
        <v>#N/A</v>
      </c>
      <c r="D128" t="e">
        <v>#N/A</v>
      </c>
      <c r="E128" s="235" t="e">
        <v>#N/A</v>
      </c>
      <c r="F128" s="235" t="e">
        <v>#N/A</v>
      </c>
      <c r="G128" s="235" t="e">
        <v>#N/A</v>
      </c>
    </row>
    <row r="129" spans="1:7">
      <c r="A129">
        <v>0.67945205479452053</v>
      </c>
      <c r="B129" t="e">
        <v>#N/A</v>
      </c>
      <c r="C129" t="e">
        <v>#N/A</v>
      </c>
      <c r="D129" t="e">
        <v>#N/A</v>
      </c>
      <c r="E129" s="235" t="e">
        <v>#N/A</v>
      </c>
      <c r="F129" s="235" t="e">
        <v>#N/A</v>
      </c>
      <c r="G129" s="235" t="e">
        <v>#N/A</v>
      </c>
    </row>
    <row r="130" spans="1:7">
      <c r="A130">
        <v>0.68493150684931503</v>
      </c>
      <c r="B130" t="e">
        <v>#N/A</v>
      </c>
      <c r="C130" t="e">
        <v>#N/A</v>
      </c>
      <c r="D130" t="e">
        <v>#N/A</v>
      </c>
      <c r="E130" s="235" t="e">
        <v>#N/A</v>
      </c>
      <c r="F130" s="235" t="e">
        <v>#N/A</v>
      </c>
      <c r="G130" s="235" t="e">
        <v>#N/A</v>
      </c>
    </row>
    <row r="131" spans="1:7">
      <c r="A131">
        <v>0.69041095890410964</v>
      </c>
      <c r="B131" t="e">
        <v>#N/A</v>
      </c>
      <c r="C131" t="e">
        <v>#N/A</v>
      </c>
      <c r="D131" t="e">
        <v>#N/A</v>
      </c>
      <c r="E131" s="235" t="e">
        <v>#N/A</v>
      </c>
      <c r="F131" s="235" t="e">
        <v>#N/A</v>
      </c>
      <c r="G131" s="235" t="e">
        <v>#N/A</v>
      </c>
    </row>
    <row r="132" spans="1:7">
      <c r="A132">
        <v>0.69589041095890414</v>
      </c>
      <c r="B132" t="e">
        <v>#N/A</v>
      </c>
      <c r="C132" t="e">
        <v>#N/A</v>
      </c>
      <c r="D132" t="e">
        <v>#N/A</v>
      </c>
      <c r="E132" s="235" t="e">
        <v>#N/A</v>
      </c>
      <c r="F132" s="235" t="e">
        <v>#N/A</v>
      </c>
      <c r="G132" s="235" t="e">
        <v>#N/A</v>
      </c>
    </row>
    <row r="133" spans="1:7">
      <c r="A133">
        <v>0.70136986301369864</v>
      </c>
      <c r="B133" t="e">
        <v>#N/A</v>
      </c>
      <c r="C133" t="e">
        <v>#N/A</v>
      </c>
      <c r="D133" t="e">
        <v>#N/A</v>
      </c>
      <c r="E133" s="235" t="e">
        <v>#N/A</v>
      </c>
      <c r="F133" s="235" t="e">
        <v>#N/A</v>
      </c>
      <c r="G133" s="235" t="e">
        <v>#N/A</v>
      </c>
    </row>
    <row r="134" spans="1:7">
      <c r="A134">
        <v>0.70684931506849313</v>
      </c>
      <c r="B134" t="e">
        <v>#N/A</v>
      </c>
      <c r="C134" t="e">
        <v>#N/A</v>
      </c>
      <c r="D134" t="e">
        <v>#N/A</v>
      </c>
      <c r="E134" s="235" t="e">
        <v>#N/A</v>
      </c>
      <c r="F134" s="235" t="e">
        <v>#N/A</v>
      </c>
      <c r="G134" s="235" t="e">
        <v>#N/A</v>
      </c>
    </row>
    <row r="135" spans="1:7">
      <c r="A135">
        <v>0.71232876712328763</v>
      </c>
      <c r="B135" t="e">
        <v>#N/A</v>
      </c>
      <c r="C135" t="e">
        <v>#N/A</v>
      </c>
      <c r="D135" t="e">
        <v>#N/A</v>
      </c>
      <c r="E135" s="235" t="e">
        <v>#N/A</v>
      </c>
      <c r="F135" s="235" t="e">
        <v>#N/A</v>
      </c>
      <c r="G135" s="235" t="e">
        <v>#N/A</v>
      </c>
    </row>
    <row r="136" spans="1:7">
      <c r="A136">
        <v>0.71780821917808224</v>
      </c>
      <c r="B136" t="e">
        <v>#N/A</v>
      </c>
      <c r="C136" t="e">
        <v>#N/A</v>
      </c>
      <c r="D136" t="e">
        <v>#N/A</v>
      </c>
      <c r="E136" s="235" t="e">
        <v>#N/A</v>
      </c>
      <c r="F136" s="235" t="e">
        <v>#N/A</v>
      </c>
      <c r="G136" s="235" t="e">
        <v>#N/A</v>
      </c>
    </row>
    <row r="137" spans="1:7">
      <c r="A137">
        <v>0.72328767123287674</v>
      </c>
      <c r="B137" t="e">
        <v>#N/A</v>
      </c>
      <c r="C137" t="e">
        <v>#N/A</v>
      </c>
      <c r="D137" t="e">
        <v>#N/A</v>
      </c>
      <c r="E137" s="235" t="e">
        <v>#N/A</v>
      </c>
      <c r="F137" s="235" t="e">
        <v>#N/A</v>
      </c>
      <c r="G137" s="235" t="e">
        <v>#N/A</v>
      </c>
    </row>
    <row r="138" spans="1:7">
      <c r="A138">
        <v>0.72876712328767124</v>
      </c>
      <c r="B138" t="e">
        <v>#N/A</v>
      </c>
      <c r="C138" t="e">
        <v>#N/A</v>
      </c>
      <c r="D138" t="e">
        <v>#N/A</v>
      </c>
      <c r="E138" s="235" t="e">
        <v>#N/A</v>
      </c>
      <c r="F138" s="235" t="e">
        <v>#N/A</v>
      </c>
      <c r="G138" s="235" t="e">
        <v>#N/A</v>
      </c>
    </row>
    <row r="139" spans="1:7">
      <c r="A139">
        <v>0.73424657534246573</v>
      </c>
      <c r="B139" t="e">
        <v>#N/A</v>
      </c>
      <c r="C139" t="e">
        <v>#N/A</v>
      </c>
      <c r="D139" t="e">
        <v>#N/A</v>
      </c>
      <c r="E139" s="235" t="e">
        <v>#N/A</v>
      </c>
      <c r="F139" s="235" t="e">
        <v>#N/A</v>
      </c>
      <c r="G139" s="235" t="e">
        <v>#N/A</v>
      </c>
    </row>
    <row r="140" spans="1:7">
      <c r="A140">
        <v>0.73972602739726023</v>
      </c>
      <c r="B140" t="e">
        <v>#N/A</v>
      </c>
      <c r="C140" t="e">
        <v>#N/A</v>
      </c>
      <c r="D140" t="e">
        <v>#N/A</v>
      </c>
      <c r="E140" s="235" t="e">
        <v>#N/A</v>
      </c>
      <c r="F140" s="235" t="e">
        <v>#N/A</v>
      </c>
      <c r="G140" s="235" t="e">
        <v>#N/A</v>
      </c>
    </row>
    <row r="141" spans="1:7">
      <c r="A141">
        <v>0.74520547945205484</v>
      </c>
      <c r="B141" t="e">
        <v>#N/A</v>
      </c>
      <c r="C141" t="e">
        <v>#N/A</v>
      </c>
      <c r="D141" t="e">
        <v>#N/A</v>
      </c>
      <c r="E141" s="235" t="e">
        <v>#N/A</v>
      </c>
      <c r="F141" s="235" t="e">
        <v>#N/A</v>
      </c>
      <c r="G141" s="235" t="e">
        <v>#N/A</v>
      </c>
    </row>
    <row r="142" spans="1:7">
      <c r="A142">
        <v>0.75068493150684934</v>
      </c>
      <c r="B142" t="e">
        <v>#N/A</v>
      </c>
      <c r="C142" t="e">
        <v>#N/A</v>
      </c>
      <c r="D142" t="e">
        <v>#N/A</v>
      </c>
      <c r="E142" s="235" t="e">
        <v>#N/A</v>
      </c>
      <c r="F142" s="235" t="e">
        <v>#N/A</v>
      </c>
      <c r="G142" s="235" t="e">
        <v>#N/A</v>
      </c>
    </row>
    <row r="143" spans="1:7">
      <c r="A143">
        <v>0.75616438356164384</v>
      </c>
      <c r="B143" t="e">
        <v>#N/A</v>
      </c>
      <c r="C143" t="e">
        <v>#N/A</v>
      </c>
      <c r="D143" t="e">
        <v>#N/A</v>
      </c>
      <c r="E143" s="235" t="e">
        <v>#N/A</v>
      </c>
      <c r="F143" s="235" t="e">
        <v>#N/A</v>
      </c>
      <c r="G143" s="235" t="e">
        <v>#N/A</v>
      </c>
    </row>
    <row r="144" spans="1:7">
      <c r="A144">
        <v>0.76164383561643834</v>
      </c>
      <c r="B144" t="e">
        <v>#N/A</v>
      </c>
      <c r="C144" t="e">
        <v>#N/A</v>
      </c>
      <c r="D144" t="e">
        <v>#N/A</v>
      </c>
      <c r="E144" s="235" t="e">
        <v>#N/A</v>
      </c>
      <c r="F144" s="235" t="e">
        <v>#N/A</v>
      </c>
      <c r="G144" s="235" t="e">
        <v>#N/A</v>
      </c>
    </row>
    <row r="145" spans="1:7">
      <c r="A145">
        <v>0.76712328767123283</v>
      </c>
      <c r="B145" t="e">
        <v>#N/A</v>
      </c>
      <c r="C145" t="e">
        <v>#N/A</v>
      </c>
      <c r="D145" t="e">
        <v>#N/A</v>
      </c>
      <c r="E145" s="235" t="e">
        <v>#N/A</v>
      </c>
      <c r="F145" s="235" t="e">
        <v>#N/A</v>
      </c>
      <c r="G145" s="235" t="e">
        <v>#N/A</v>
      </c>
    </row>
    <row r="146" spans="1:7">
      <c r="A146">
        <v>0.77260273972602744</v>
      </c>
      <c r="B146" t="e">
        <v>#N/A</v>
      </c>
      <c r="C146" t="e">
        <v>#N/A</v>
      </c>
      <c r="D146" t="e">
        <v>#N/A</v>
      </c>
      <c r="E146" s="235" t="e">
        <v>#N/A</v>
      </c>
      <c r="F146" s="235" t="e">
        <v>#N/A</v>
      </c>
      <c r="G146" s="235" t="e">
        <v>#N/A</v>
      </c>
    </row>
    <row r="147" spans="1:7">
      <c r="A147">
        <v>0.77808219178082194</v>
      </c>
      <c r="B147" t="e">
        <v>#N/A</v>
      </c>
      <c r="C147" t="e">
        <v>#N/A</v>
      </c>
      <c r="D147" t="e">
        <v>#N/A</v>
      </c>
      <c r="E147" s="235" t="e">
        <v>#N/A</v>
      </c>
      <c r="F147" s="235" t="e">
        <v>#N/A</v>
      </c>
      <c r="G147" s="235" t="e">
        <v>#N/A</v>
      </c>
    </row>
    <row r="148" spans="1:7">
      <c r="A148">
        <v>0.78356164383561644</v>
      </c>
      <c r="B148" t="e">
        <v>#N/A</v>
      </c>
      <c r="C148" t="e">
        <v>#N/A</v>
      </c>
      <c r="D148" t="e">
        <v>#N/A</v>
      </c>
      <c r="E148" s="235" t="e">
        <v>#N/A</v>
      </c>
      <c r="F148" s="235" t="e">
        <v>#N/A</v>
      </c>
      <c r="G148" s="235" t="e">
        <v>#N/A</v>
      </c>
    </row>
    <row r="149" spans="1:7">
      <c r="A149">
        <v>0.78904109589041094</v>
      </c>
      <c r="B149" t="e">
        <v>#N/A</v>
      </c>
      <c r="C149" t="e">
        <v>#N/A</v>
      </c>
      <c r="D149" t="e">
        <v>#N/A</v>
      </c>
      <c r="E149" s="235" t="e">
        <v>#N/A</v>
      </c>
      <c r="F149" s="235" t="e">
        <v>#N/A</v>
      </c>
      <c r="G149" s="235" t="e">
        <v>#N/A</v>
      </c>
    </row>
    <row r="150" spans="1:7">
      <c r="A150">
        <v>0.79452054794520544</v>
      </c>
      <c r="B150" t="e">
        <v>#N/A</v>
      </c>
      <c r="C150" t="e">
        <v>#N/A</v>
      </c>
      <c r="D150" t="e">
        <v>#N/A</v>
      </c>
      <c r="E150" s="235" t="e">
        <v>#N/A</v>
      </c>
      <c r="F150" s="235" t="e">
        <v>#N/A</v>
      </c>
      <c r="G150" s="235" t="e">
        <v>#N/A</v>
      </c>
    </row>
    <row r="151" spans="1:7">
      <c r="A151">
        <v>0.8</v>
      </c>
      <c r="B151" t="e">
        <v>#N/A</v>
      </c>
      <c r="C151" t="e">
        <v>#N/A</v>
      </c>
      <c r="D151" t="e">
        <v>#N/A</v>
      </c>
      <c r="E151" s="235" t="e">
        <v>#N/A</v>
      </c>
      <c r="F151" s="235" t="e">
        <v>#N/A</v>
      </c>
      <c r="G151" s="235" t="e">
        <v>#N/A</v>
      </c>
    </row>
    <row r="152" spans="1:7">
      <c r="A152">
        <v>0.80547945205479454</v>
      </c>
      <c r="B152" t="e">
        <v>#N/A</v>
      </c>
      <c r="C152" t="e">
        <v>#N/A</v>
      </c>
      <c r="D152" t="e">
        <v>#N/A</v>
      </c>
      <c r="E152" s="235" t="e">
        <v>#N/A</v>
      </c>
      <c r="F152" s="235" t="e">
        <v>#N/A</v>
      </c>
      <c r="G152" s="235" t="e">
        <v>#N/A</v>
      </c>
    </row>
    <row r="153" spans="1:7">
      <c r="A153">
        <v>0.81095890410958904</v>
      </c>
      <c r="B153" t="e">
        <v>#N/A</v>
      </c>
      <c r="C153" t="e">
        <v>#N/A</v>
      </c>
      <c r="D153" t="e">
        <v>#N/A</v>
      </c>
      <c r="E153" s="235" t="e">
        <v>#N/A</v>
      </c>
      <c r="F153" s="235" t="e">
        <v>#N/A</v>
      </c>
      <c r="G153" s="235" t="e">
        <v>#N/A</v>
      </c>
    </row>
    <row r="154" spans="1:7">
      <c r="A154">
        <v>0.81643835616438354</v>
      </c>
      <c r="B154" t="e">
        <v>#N/A</v>
      </c>
      <c r="C154" t="e">
        <v>#N/A</v>
      </c>
      <c r="D154" t="e">
        <v>#N/A</v>
      </c>
      <c r="E154" s="235" t="e">
        <v>#N/A</v>
      </c>
      <c r="F154" s="235" t="e">
        <v>#N/A</v>
      </c>
      <c r="G154" s="235" t="e">
        <v>#N/A</v>
      </c>
    </row>
    <row r="155" spans="1:7">
      <c r="A155">
        <v>0.82191780821917804</v>
      </c>
      <c r="B155" t="e">
        <v>#N/A</v>
      </c>
      <c r="C155" t="e">
        <v>#N/A</v>
      </c>
      <c r="D155" t="e">
        <v>#N/A</v>
      </c>
      <c r="E155" s="235" t="e">
        <v>#N/A</v>
      </c>
      <c r="F155" s="235" t="e">
        <v>#N/A</v>
      </c>
      <c r="G155" s="235" t="e">
        <v>#N/A</v>
      </c>
    </row>
    <row r="156" spans="1:7">
      <c r="A156">
        <v>0.82739726027397265</v>
      </c>
      <c r="B156" t="e">
        <v>#N/A</v>
      </c>
      <c r="C156" t="e">
        <v>#N/A</v>
      </c>
      <c r="D156" t="e">
        <v>#N/A</v>
      </c>
      <c r="E156" s="235" t="e">
        <v>#N/A</v>
      </c>
      <c r="F156" s="235" t="e">
        <v>#N/A</v>
      </c>
      <c r="G156" s="235" t="e">
        <v>#N/A</v>
      </c>
    </row>
    <row r="157" spans="1:7">
      <c r="A157">
        <v>0.83287671232876714</v>
      </c>
      <c r="B157" t="e">
        <v>#N/A</v>
      </c>
      <c r="C157" t="e">
        <v>#N/A</v>
      </c>
      <c r="D157" t="e">
        <v>#N/A</v>
      </c>
      <c r="E157" s="235" t="e">
        <v>#N/A</v>
      </c>
      <c r="F157" s="235" t="e">
        <v>#N/A</v>
      </c>
      <c r="G157" s="235" t="e">
        <v>#N/A</v>
      </c>
    </row>
    <row r="158" spans="1:7">
      <c r="A158">
        <v>0.83835616438356164</v>
      </c>
      <c r="B158" t="e">
        <v>#N/A</v>
      </c>
      <c r="C158" t="e">
        <v>#N/A</v>
      </c>
      <c r="D158" t="e">
        <v>#N/A</v>
      </c>
      <c r="E158" s="235" t="e">
        <v>#N/A</v>
      </c>
      <c r="F158" s="235" t="e">
        <v>#N/A</v>
      </c>
      <c r="G158" s="235" t="e">
        <v>#N/A</v>
      </c>
    </row>
    <row r="159" spans="1:7">
      <c r="A159">
        <v>0.84383561643835614</v>
      </c>
      <c r="B159" t="e">
        <v>#N/A</v>
      </c>
      <c r="C159" t="e">
        <v>#N/A</v>
      </c>
      <c r="D159" t="e">
        <v>#N/A</v>
      </c>
      <c r="E159" s="235" t="e">
        <v>#N/A</v>
      </c>
      <c r="F159" s="235" t="e">
        <v>#N/A</v>
      </c>
      <c r="G159" s="235" t="e">
        <v>#N/A</v>
      </c>
    </row>
    <row r="160" spans="1:7">
      <c r="A160">
        <v>0.84931506849315064</v>
      </c>
      <c r="B160" t="e">
        <v>#N/A</v>
      </c>
      <c r="C160" t="e">
        <v>#N/A</v>
      </c>
      <c r="D160" t="e">
        <v>#N/A</v>
      </c>
      <c r="E160" s="235" t="e">
        <v>#N/A</v>
      </c>
      <c r="F160" s="235" t="e">
        <v>#N/A</v>
      </c>
      <c r="G160" s="235" t="e">
        <v>#N/A</v>
      </c>
    </row>
    <row r="161" spans="1:7">
      <c r="A161">
        <v>0.85479452054794525</v>
      </c>
      <c r="B161" t="e">
        <v>#N/A</v>
      </c>
      <c r="C161" t="e">
        <v>#N/A</v>
      </c>
      <c r="D161" t="e">
        <v>#N/A</v>
      </c>
      <c r="E161" s="235" t="e">
        <v>#N/A</v>
      </c>
      <c r="F161" s="235" t="e">
        <v>#N/A</v>
      </c>
      <c r="G161" s="235" t="e">
        <v>#N/A</v>
      </c>
    </row>
    <row r="162" spans="1:7">
      <c r="A162">
        <v>0.86027397260273974</v>
      </c>
      <c r="B162" t="e">
        <v>#N/A</v>
      </c>
      <c r="C162" t="e">
        <v>#N/A</v>
      </c>
      <c r="D162" t="e">
        <v>#N/A</v>
      </c>
      <c r="E162" s="235" t="e">
        <v>#N/A</v>
      </c>
      <c r="F162" s="235" t="e">
        <v>#N/A</v>
      </c>
      <c r="G162" s="235" t="e">
        <v>#N/A</v>
      </c>
    </row>
    <row r="163" spans="1:7">
      <c r="A163">
        <v>0.86575342465753424</v>
      </c>
      <c r="B163" t="e">
        <v>#N/A</v>
      </c>
      <c r="C163" t="e">
        <v>#N/A</v>
      </c>
      <c r="D163" t="e">
        <v>#N/A</v>
      </c>
      <c r="E163" s="235" t="e">
        <v>#N/A</v>
      </c>
      <c r="F163" s="235" t="e">
        <v>#N/A</v>
      </c>
      <c r="G163" s="235" t="e">
        <v>#N/A</v>
      </c>
    </row>
    <row r="164" spans="1:7">
      <c r="A164">
        <v>0.87123287671232874</v>
      </c>
      <c r="B164" t="e">
        <v>#N/A</v>
      </c>
      <c r="C164" t="e">
        <v>#N/A</v>
      </c>
      <c r="D164" t="e">
        <v>#N/A</v>
      </c>
      <c r="E164" s="235" t="e">
        <v>#N/A</v>
      </c>
      <c r="F164" s="235" t="e">
        <v>#N/A</v>
      </c>
      <c r="G164" s="235" t="e">
        <v>#N/A</v>
      </c>
    </row>
    <row r="165" spans="1:7">
      <c r="A165">
        <v>0.87671232876712324</v>
      </c>
      <c r="B165" t="e">
        <v>#N/A</v>
      </c>
      <c r="C165" t="e">
        <v>#N/A</v>
      </c>
      <c r="D165" t="e">
        <v>#N/A</v>
      </c>
      <c r="E165" s="235" t="e">
        <v>#N/A</v>
      </c>
      <c r="F165" s="235" t="e">
        <v>#N/A</v>
      </c>
      <c r="G165" s="235" t="e">
        <v>#N/A</v>
      </c>
    </row>
    <row r="166" spans="1:7">
      <c r="A166">
        <v>0.88219178082191785</v>
      </c>
      <c r="B166" t="e">
        <v>#N/A</v>
      </c>
      <c r="C166" t="e">
        <v>#N/A</v>
      </c>
      <c r="D166" t="e">
        <v>#N/A</v>
      </c>
      <c r="E166" s="235" t="e">
        <v>#N/A</v>
      </c>
      <c r="F166" s="235" t="e">
        <v>#N/A</v>
      </c>
      <c r="G166" s="235" t="e">
        <v>#N/A</v>
      </c>
    </row>
    <row r="167" spans="1:7">
      <c r="A167">
        <v>0.88767123287671235</v>
      </c>
      <c r="B167" t="e">
        <v>#N/A</v>
      </c>
      <c r="C167" t="e">
        <v>#N/A</v>
      </c>
      <c r="D167" t="e">
        <v>#N/A</v>
      </c>
      <c r="E167" s="235" t="e">
        <v>#N/A</v>
      </c>
      <c r="F167" s="235" t="e">
        <v>#N/A</v>
      </c>
      <c r="G167" s="235" t="e">
        <v>#N/A</v>
      </c>
    </row>
    <row r="168" spans="1:7">
      <c r="A168">
        <v>0.89315068493150684</v>
      </c>
      <c r="B168" t="e">
        <v>#N/A</v>
      </c>
      <c r="C168" t="e">
        <v>#N/A</v>
      </c>
      <c r="D168" t="e">
        <v>#N/A</v>
      </c>
      <c r="E168" s="235" t="e">
        <v>#N/A</v>
      </c>
      <c r="F168" s="235" t="e">
        <v>#N/A</v>
      </c>
      <c r="G168" s="235" t="e">
        <v>#N/A</v>
      </c>
    </row>
    <row r="169" spans="1:7">
      <c r="A169">
        <v>0.89863013698630134</v>
      </c>
      <c r="B169" t="e">
        <v>#N/A</v>
      </c>
      <c r="C169" t="e">
        <v>#N/A</v>
      </c>
      <c r="D169" t="e">
        <v>#N/A</v>
      </c>
      <c r="E169" s="235" t="e">
        <v>#N/A</v>
      </c>
      <c r="F169" s="235" t="e">
        <v>#N/A</v>
      </c>
      <c r="G169" s="235" t="e">
        <v>#N/A</v>
      </c>
    </row>
    <row r="170" spans="1:7">
      <c r="A170">
        <v>0.90410958904109584</v>
      </c>
      <c r="B170" t="e">
        <v>#N/A</v>
      </c>
      <c r="C170" t="e">
        <v>#N/A</v>
      </c>
      <c r="D170" t="e">
        <v>#N/A</v>
      </c>
      <c r="E170" s="235" t="e">
        <v>#N/A</v>
      </c>
      <c r="F170" s="235" t="e">
        <v>#N/A</v>
      </c>
      <c r="G170" s="235" t="e">
        <v>#N/A</v>
      </c>
    </row>
    <row r="171" spans="1:7">
      <c r="A171">
        <v>0.90958904109589045</v>
      </c>
      <c r="B171" t="e">
        <v>#N/A</v>
      </c>
      <c r="C171" t="e">
        <v>#N/A</v>
      </c>
      <c r="D171" t="e">
        <v>#N/A</v>
      </c>
      <c r="E171" s="235" t="e">
        <v>#N/A</v>
      </c>
      <c r="F171" s="235" t="e">
        <v>#N/A</v>
      </c>
      <c r="G171" s="235" t="e">
        <v>#N/A</v>
      </c>
    </row>
    <row r="172" spans="1:7">
      <c r="A172">
        <v>0.91506849315068495</v>
      </c>
      <c r="B172" t="e">
        <v>#N/A</v>
      </c>
      <c r="C172" t="e">
        <v>#N/A</v>
      </c>
      <c r="D172" t="e">
        <v>#N/A</v>
      </c>
      <c r="E172" s="235" t="e">
        <v>#N/A</v>
      </c>
      <c r="F172" s="235" t="e">
        <v>#N/A</v>
      </c>
      <c r="G172" s="235" t="e">
        <v>#N/A</v>
      </c>
    </row>
    <row r="173" spans="1:7">
      <c r="A173">
        <v>0.92054794520547945</v>
      </c>
      <c r="B173" t="e">
        <v>#N/A</v>
      </c>
      <c r="C173" t="e">
        <v>#N/A</v>
      </c>
      <c r="D173" t="e">
        <v>#N/A</v>
      </c>
      <c r="E173" s="235" t="e">
        <v>#N/A</v>
      </c>
      <c r="F173" s="235" t="e">
        <v>#N/A</v>
      </c>
      <c r="G173" s="235" t="e">
        <v>#N/A</v>
      </c>
    </row>
    <row r="174" spans="1:7">
      <c r="A174">
        <v>0.92602739726027394</v>
      </c>
      <c r="B174" t="e">
        <v>#N/A</v>
      </c>
      <c r="C174" t="e">
        <v>#N/A</v>
      </c>
      <c r="D174" t="e">
        <v>#N/A</v>
      </c>
      <c r="E174" s="235" t="e">
        <v>#N/A</v>
      </c>
      <c r="F174" s="235" t="e">
        <v>#N/A</v>
      </c>
      <c r="G174" s="235" t="e">
        <v>#N/A</v>
      </c>
    </row>
    <row r="175" spans="1:7">
      <c r="A175">
        <v>0.93150684931506844</v>
      </c>
      <c r="B175" t="e">
        <v>#N/A</v>
      </c>
      <c r="C175" t="e">
        <v>#N/A</v>
      </c>
      <c r="D175" t="e">
        <v>#N/A</v>
      </c>
      <c r="E175" s="235" t="e">
        <v>#N/A</v>
      </c>
      <c r="F175" s="235" t="e">
        <v>#N/A</v>
      </c>
      <c r="G175" s="235" t="e">
        <v>#N/A</v>
      </c>
    </row>
    <row r="176" spans="1:7">
      <c r="A176">
        <v>0.93698630136986305</v>
      </c>
      <c r="B176" t="e">
        <v>#N/A</v>
      </c>
      <c r="C176" t="e">
        <v>#N/A</v>
      </c>
      <c r="D176" t="e">
        <v>#N/A</v>
      </c>
      <c r="E176" s="235" t="e">
        <v>#N/A</v>
      </c>
      <c r="F176" s="235" t="e">
        <v>#N/A</v>
      </c>
      <c r="G176" s="235" t="e">
        <v>#N/A</v>
      </c>
    </row>
    <row r="177" spans="1:7">
      <c r="A177">
        <v>0.94246575342465755</v>
      </c>
      <c r="B177" t="e">
        <v>#N/A</v>
      </c>
      <c r="C177" t="e">
        <v>#N/A</v>
      </c>
      <c r="D177" t="e">
        <v>#N/A</v>
      </c>
      <c r="E177" s="235" t="e">
        <v>#N/A</v>
      </c>
      <c r="F177" s="235" t="e">
        <v>#N/A</v>
      </c>
      <c r="G177" s="235" t="e">
        <v>#N/A</v>
      </c>
    </row>
    <row r="178" spans="1:7">
      <c r="A178">
        <v>0.94794520547945205</v>
      </c>
      <c r="B178" t="e">
        <v>#N/A</v>
      </c>
      <c r="C178" t="e">
        <v>#N/A</v>
      </c>
      <c r="D178" t="e">
        <v>#N/A</v>
      </c>
      <c r="E178" s="235" t="e">
        <v>#N/A</v>
      </c>
      <c r="F178" s="235" t="e">
        <v>#N/A</v>
      </c>
      <c r="G178" s="235" t="e">
        <v>#N/A</v>
      </c>
    </row>
    <row r="179" spans="1:7">
      <c r="A179">
        <v>0.95342465753424654</v>
      </c>
      <c r="B179" t="e">
        <v>#N/A</v>
      </c>
      <c r="C179" t="e">
        <v>#N/A</v>
      </c>
      <c r="D179" t="e">
        <v>#N/A</v>
      </c>
      <c r="E179" s="235" t="e">
        <v>#N/A</v>
      </c>
      <c r="F179" s="235" t="e">
        <v>#N/A</v>
      </c>
      <c r="G179" s="235" t="e">
        <v>#N/A</v>
      </c>
    </row>
    <row r="180" spans="1:7">
      <c r="A180">
        <v>0.95890410958904104</v>
      </c>
      <c r="B180" t="e">
        <v>#N/A</v>
      </c>
      <c r="C180" t="e">
        <v>#N/A</v>
      </c>
      <c r="D180" t="e">
        <v>#N/A</v>
      </c>
      <c r="E180" s="235" t="e">
        <v>#N/A</v>
      </c>
      <c r="F180" s="235" t="e">
        <v>#N/A</v>
      </c>
      <c r="G180" s="235" t="e">
        <v>#N/A</v>
      </c>
    </row>
    <row r="181" spans="1:7">
      <c r="A181">
        <v>0.96438356164383565</v>
      </c>
      <c r="B181" t="e">
        <v>#N/A</v>
      </c>
      <c r="C181" t="e">
        <v>#N/A</v>
      </c>
      <c r="D181" t="e">
        <v>#N/A</v>
      </c>
      <c r="E181" s="235" t="e">
        <v>#N/A</v>
      </c>
      <c r="F181" s="235" t="e">
        <v>#N/A</v>
      </c>
      <c r="G181" s="235" t="e">
        <v>#N/A</v>
      </c>
    </row>
    <row r="182" spans="1:7">
      <c r="A182">
        <v>0.96986301369863015</v>
      </c>
      <c r="B182" t="e">
        <v>#N/A</v>
      </c>
      <c r="C182" t="e">
        <v>#N/A</v>
      </c>
      <c r="D182" t="e">
        <v>#N/A</v>
      </c>
      <c r="E182" s="235" t="e">
        <v>#N/A</v>
      </c>
      <c r="F182" s="235" t="e">
        <v>#N/A</v>
      </c>
      <c r="G182" s="235" t="e">
        <v>#N/A</v>
      </c>
    </row>
    <row r="183" spans="1:7">
      <c r="A183">
        <v>0.97534246575342465</v>
      </c>
      <c r="B183" t="e">
        <v>#N/A</v>
      </c>
      <c r="C183" t="e">
        <v>#N/A</v>
      </c>
      <c r="D183" t="e">
        <v>#N/A</v>
      </c>
      <c r="E183" s="235" t="e">
        <v>#N/A</v>
      </c>
      <c r="F183" s="235" t="e">
        <v>#N/A</v>
      </c>
      <c r="G183" s="235" t="e">
        <v>#N/A</v>
      </c>
    </row>
    <row r="184" spans="1:7">
      <c r="A184">
        <v>0.98082191780821915</v>
      </c>
      <c r="B184" t="e">
        <v>#N/A</v>
      </c>
      <c r="C184" t="e">
        <v>#N/A</v>
      </c>
      <c r="D184" t="e">
        <v>#N/A</v>
      </c>
      <c r="E184" s="235" t="e">
        <v>#N/A</v>
      </c>
      <c r="F184" s="235" t="e">
        <v>#N/A</v>
      </c>
      <c r="G184" s="235" t="e">
        <v>#N/A</v>
      </c>
    </row>
    <row r="185" spans="1:7">
      <c r="A185">
        <v>0.98630136986301364</v>
      </c>
      <c r="B185" t="e">
        <v>#N/A</v>
      </c>
      <c r="C185" t="e">
        <v>#N/A</v>
      </c>
      <c r="D185" t="e">
        <v>#N/A</v>
      </c>
      <c r="E185" s="235" t="e">
        <v>#N/A</v>
      </c>
      <c r="F185" s="235" t="e">
        <v>#N/A</v>
      </c>
      <c r="G185" s="235" t="e">
        <v>#N/A</v>
      </c>
    </row>
    <row r="186" spans="1:7">
      <c r="A186">
        <v>0.99178082191780825</v>
      </c>
      <c r="B186" t="e">
        <v>#N/A</v>
      </c>
      <c r="C186" t="e">
        <v>#N/A</v>
      </c>
      <c r="D186" t="e">
        <v>#N/A</v>
      </c>
      <c r="E186" s="235" t="e">
        <v>#N/A</v>
      </c>
      <c r="F186" s="235" t="e">
        <v>#N/A</v>
      </c>
      <c r="G186" s="235" t="e">
        <v>#N/A</v>
      </c>
    </row>
    <row r="187" spans="1:7">
      <c r="A187">
        <v>0.99726027397260275</v>
      </c>
      <c r="B187" t="e">
        <v>#N/A</v>
      </c>
      <c r="C187" t="e">
        <v>#N/A</v>
      </c>
      <c r="D187" t="e">
        <v>#N/A</v>
      </c>
      <c r="E187" s="235" t="e">
        <v>#N/A</v>
      </c>
      <c r="F187" s="235" t="e">
        <v>#N/A</v>
      </c>
      <c r="G187" s="235" t="e">
        <v>#N/A</v>
      </c>
    </row>
    <row r="188" spans="1:7">
      <c r="A188">
        <v>1.0027397260273974</v>
      </c>
      <c r="B188" t="e">
        <v>#N/A</v>
      </c>
      <c r="C188" t="e">
        <v>#N/A</v>
      </c>
      <c r="D188" t="e">
        <v>#N/A</v>
      </c>
      <c r="E188" s="235" t="e">
        <v>#N/A</v>
      </c>
      <c r="F188" s="235" t="e">
        <v>#N/A</v>
      </c>
      <c r="G188" s="235" t="e">
        <v>#N/A</v>
      </c>
    </row>
    <row r="189" spans="1:7">
      <c r="A189">
        <v>1.0082191780821919</v>
      </c>
      <c r="B189" t="e">
        <v>#N/A</v>
      </c>
      <c r="C189" t="e">
        <v>#N/A</v>
      </c>
      <c r="D189" t="e">
        <v>#N/A</v>
      </c>
      <c r="E189" s="235" t="e">
        <v>#N/A</v>
      </c>
      <c r="F189" s="235" t="e">
        <v>#N/A</v>
      </c>
      <c r="G189" s="235" t="e">
        <v>#N/A</v>
      </c>
    </row>
    <row r="190" spans="1:7">
      <c r="A190">
        <v>1.0136986301369864</v>
      </c>
      <c r="B190" t="e">
        <v>#N/A</v>
      </c>
      <c r="C190" t="e">
        <v>#N/A</v>
      </c>
      <c r="D190" t="e">
        <v>#N/A</v>
      </c>
      <c r="E190" s="235" t="e">
        <v>#N/A</v>
      </c>
      <c r="F190" s="235" t="e">
        <v>#N/A</v>
      </c>
      <c r="G190" s="235" t="e">
        <v>#N/A</v>
      </c>
    </row>
    <row r="191" spans="1:7">
      <c r="A191">
        <v>1.0191780821917809</v>
      </c>
      <c r="B191" t="e">
        <v>#N/A</v>
      </c>
      <c r="C191" t="e">
        <v>#N/A</v>
      </c>
      <c r="D191" t="e">
        <v>#N/A</v>
      </c>
      <c r="E191" s="235" t="e">
        <v>#N/A</v>
      </c>
      <c r="F191" s="235" t="e">
        <v>#N/A</v>
      </c>
      <c r="G191" s="235" t="e">
        <v>#N/A</v>
      </c>
    </row>
    <row r="192" spans="1:7">
      <c r="A192">
        <v>1.0246575342465754</v>
      </c>
      <c r="B192" t="e">
        <v>#N/A</v>
      </c>
      <c r="C192" t="e">
        <v>#N/A</v>
      </c>
      <c r="D192" t="e">
        <v>#N/A</v>
      </c>
      <c r="E192" s="235" t="e">
        <v>#N/A</v>
      </c>
      <c r="F192" s="235" t="e">
        <v>#N/A</v>
      </c>
      <c r="G192" s="235" t="e">
        <v>#N/A</v>
      </c>
    </row>
    <row r="193" spans="1:7">
      <c r="A193">
        <v>1.0301369863013699</v>
      </c>
      <c r="B193" t="e">
        <v>#N/A</v>
      </c>
      <c r="C193" t="e">
        <v>#N/A</v>
      </c>
      <c r="D193" t="e">
        <v>#N/A</v>
      </c>
      <c r="E193" s="235" t="e">
        <v>#N/A</v>
      </c>
      <c r="F193" s="235" t="e">
        <v>#N/A</v>
      </c>
      <c r="G193" s="235" t="e">
        <v>#N/A</v>
      </c>
    </row>
    <row r="194" spans="1:7">
      <c r="A194">
        <v>1.0356164383561643</v>
      </c>
      <c r="B194" t="e">
        <v>#N/A</v>
      </c>
      <c r="C194" t="e">
        <v>#N/A</v>
      </c>
      <c r="D194" t="e">
        <v>#N/A</v>
      </c>
      <c r="E194" s="235" t="e">
        <v>#N/A</v>
      </c>
      <c r="F194" s="235" t="e">
        <v>#N/A</v>
      </c>
      <c r="G194" s="235" t="e">
        <v>#N/A</v>
      </c>
    </row>
    <row r="195" spans="1:7">
      <c r="A195">
        <v>1.0410958904109588</v>
      </c>
      <c r="B195" t="e">
        <v>#N/A</v>
      </c>
      <c r="C195" t="e">
        <v>#N/A</v>
      </c>
      <c r="D195" t="e">
        <v>#N/A</v>
      </c>
      <c r="E195" s="235" t="e">
        <v>#N/A</v>
      </c>
      <c r="F195" s="235" t="e">
        <v>#N/A</v>
      </c>
      <c r="G195" s="235" t="e">
        <v>#N/A</v>
      </c>
    </row>
    <row r="196" spans="1:7">
      <c r="A196">
        <v>1.0465753424657533</v>
      </c>
      <c r="B196" t="e">
        <v>#N/A</v>
      </c>
      <c r="C196" t="e">
        <v>#N/A</v>
      </c>
      <c r="D196" t="e">
        <v>#N/A</v>
      </c>
      <c r="E196" s="235" t="e">
        <v>#N/A</v>
      </c>
      <c r="F196" s="235" t="e">
        <v>#N/A</v>
      </c>
      <c r="G196" s="235" t="e">
        <v>#N/A</v>
      </c>
    </row>
    <row r="197" spans="1:7">
      <c r="A197">
        <v>1.0520547945205478</v>
      </c>
      <c r="B197" t="e">
        <v>#N/A</v>
      </c>
      <c r="C197" t="e">
        <v>#N/A</v>
      </c>
      <c r="D197" t="e">
        <v>#N/A</v>
      </c>
      <c r="E197" s="235" t="e">
        <v>#N/A</v>
      </c>
      <c r="F197" s="235" t="e">
        <v>#N/A</v>
      </c>
      <c r="G197" s="235" t="e">
        <v>#N/A</v>
      </c>
    </row>
    <row r="198" spans="1:7">
      <c r="A198">
        <v>1.0575342465753426</v>
      </c>
      <c r="B198" t="e">
        <v>#N/A</v>
      </c>
      <c r="C198" t="e">
        <v>#N/A</v>
      </c>
      <c r="D198" t="e">
        <v>#N/A</v>
      </c>
      <c r="E198" s="235" t="e">
        <v>#N/A</v>
      </c>
      <c r="F198" s="235" t="e">
        <v>#N/A</v>
      </c>
      <c r="G198" s="235" t="e">
        <v>#N/A</v>
      </c>
    </row>
    <row r="199" spans="1:7">
      <c r="A199">
        <v>1.0630136986301371</v>
      </c>
      <c r="B199" t="e">
        <v>#N/A</v>
      </c>
      <c r="C199" t="e">
        <v>#N/A</v>
      </c>
      <c r="D199" t="e">
        <v>#N/A</v>
      </c>
      <c r="E199" s="235" t="e">
        <v>#N/A</v>
      </c>
      <c r="F199" s="235" t="e">
        <v>#N/A</v>
      </c>
      <c r="G199" s="235" t="e">
        <v>#N/A</v>
      </c>
    </row>
    <row r="200" spans="1:7">
      <c r="A200">
        <v>1.0684931506849316</v>
      </c>
      <c r="B200" t="e">
        <v>#N/A</v>
      </c>
      <c r="C200" t="e">
        <v>#N/A</v>
      </c>
      <c r="D200" t="e">
        <v>#N/A</v>
      </c>
      <c r="E200" s="235" t="e">
        <v>#N/A</v>
      </c>
      <c r="F200" s="235" t="e">
        <v>#N/A</v>
      </c>
      <c r="G200" s="235" t="e">
        <v>#N/A</v>
      </c>
    </row>
    <row r="201" spans="1:7">
      <c r="A201">
        <v>1.0739726027397261</v>
      </c>
      <c r="B201" t="e">
        <v>#N/A</v>
      </c>
      <c r="C201" t="e">
        <v>#N/A</v>
      </c>
      <c r="D201" t="e">
        <v>#N/A</v>
      </c>
      <c r="E201" s="235" t="e">
        <v>#N/A</v>
      </c>
      <c r="F201" s="235" t="e">
        <v>#N/A</v>
      </c>
      <c r="G201" s="235" t="e">
        <v>#N/A</v>
      </c>
    </row>
    <row r="202" spans="1:7">
      <c r="A202">
        <v>1.0794520547945206</v>
      </c>
      <c r="B202" t="e">
        <v>#N/A</v>
      </c>
      <c r="C202" t="e">
        <v>#N/A</v>
      </c>
      <c r="D202" t="e">
        <v>#N/A</v>
      </c>
      <c r="E202" s="235" t="e">
        <v>#N/A</v>
      </c>
      <c r="F202" s="235" t="e">
        <v>#N/A</v>
      </c>
      <c r="G202" s="235" t="e">
        <v>#N/A</v>
      </c>
    </row>
    <row r="203" spans="1:7">
      <c r="A203">
        <v>1.0849315068493151</v>
      </c>
      <c r="B203" t="e">
        <v>#N/A</v>
      </c>
      <c r="C203" t="e">
        <v>#N/A</v>
      </c>
      <c r="D203" t="e">
        <v>#N/A</v>
      </c>
      <c r="E203" s="235" t="e">
        <v>#N/A</v>
      </c>
      <c r="F203" s="235" t="e">
        <v>#N/A</v>
      </c>
      <c r="G203" s="235" t="e">
        <v>#N/A</v>
      </c>
    </row>
    <row r="204" spans="1:7">
      <c r="A204" t="e">
        <v>#N/A</v>
      </c>
      <c r="B204" t="e">
        <v>#N/A</v>
      </c>
      <c r="C204" t="e">
        <v>#N/A</v>
      </c>
      <c r="D204" t="e">
        <v>#N/A</v>
      </c>
      <c r="E204" s="235" t="e">
        <v>#N/A</v>
      </c>
      <c r="F204" s="235" t="e">
        <v>#N/A</v>
      </c>
      <c r="G204" s="235" t="e">
        <v>#N/A</v>
      </c>
    </row>
    <row r="205" spans="1:7">
      <c r="A205" t="e">
        <v>#N/A</v>
      </c>
      <c r="B205" t="e">
        <v>#N/A</v>
      </c>
      <c r="C205" t="e">
        <v>#N/A</v>
      </c>
      <c r="D205" t="e">
        <v>#N/A</v>
      </c>
      <c r="E205" s="235" t="e">
        <v>#N/A</v>
      </c>
      <c r="F205" s="235" t="e">
        <v>#N/A</v>
      </c>
      <c r="G205" s="235" t="e">
        <v>#N/A</v>
      </c>
    </row>
    <row r="206" spans="1:7">
      <c r="A206" t="e">
        <v>#N/A</v>
      </c>
      <c r="B206" t="e">
        <v>#N/A</v>
      </c>
      <c r="C206" t="e">
        <v>#N/A</v>
      </c>
      <c r="D206" t="e">
        <v>#N/A</v>
      </c>
      <c r="E206" s="235" t="e">
        <v>#N/A</v>
      </c>
      <c r="F206" s="235" t="e">
        <v>#N/A</v>
      </c>
      <c r="G206" s="235" t="e">
        <v>#N/A</v>
      </c>
    </row>
    <row r="207" spans="1:7">
      <c r="A207" t="e">
        <v>#N/A</v>
      </c>
      <c r="B207" t="e">
        <v>#N/A</v>
      </c>
      <c r="C207" t="e">
        <v>#N/A</v>
      </c>
      <c r="D207" t="e">
        <v>#N/A</v>
      </c>
      <c r="E207" s="235" t="e">
        <v>#N/A</v>
      </c>
      <c r="F207" s="235" t="e">
        <v>#N/A</v>
      </c>
      <c r="G207" s="235" t="e">
        <v>#N/A</v>
      </c>
    </row>
    <row r="208" spans="1:7">
      <c r="A208" t="e">
        <v>#N/A</v>
      </c>
      <c r="B208" t="e">
        <v>#N/A</v>
      </c>
      <c r="C208" t="e">
        <v>#N/A</v>
      </c>
      <c r="D208" t="e">
        <v>#N/A</v>
      </c>
      <c r="E208" s="235" t="e">
        <v>#N/A</v>
      </c>
      <c r="F208" s="235" t="e">
        <v>#N/A</v>
      </c>
      <c r="G208" s="235" t="e">
        <v>#N/A</v>
      </c>
    </row>
    <row r="209" spans="1:7">
      <c r="A209" t="e">
        <v>#N/A</v>
      </c>
      <c r="B209" t="e">
        <v>#N/A</v>
      </c>
      <c r="C209" t="e">
        <v>#N/A</v>
      </c>
      <c r="D209" t="e">
        <v>#N/A</v>
      </c>
      <c r="E209" s="235" t="e">
        <v>#N/A</v>
      </c>
      <c r="F209" s="235" t="e">
        <v>#N/A</v>
      </c>
      <c r="G209" s="235" t="e">
        <v>#N/A</v>
      </c>
    </row>
    <row r="210" spans="1:7">
      <c r="A210" t="e">
        <v>#N/A</v>
      </c>
      <c r="B210" t="e">
        <v>#N/A</v>
      </c>
      <c r="C210" t="e">
        <v>#N/A</v>
      </c>
      <c r="D210" t="e">
        <v>#N/A</v>
      </c>
      <c r="E210" s="235" t="e">
        <v>#N/A</v>
      </c>
      <c r="F210" s="235" t="e">
        <v>#N/A</v>
      </c>
      <c r="G210" s="235" t="e">
        <v>#N/A</v>
      </c>
    </row>
    <row r="211" spans="1:7">
      <c r="A211" t="e">
        <v>#N/A</v>
      </c>
      <c r="B211" t="e">
        <v>#N/A</v>
      </c>
      <c r="C211" t="e">
        <v>#N/A</v>
      </c>
      <c r="D211" t="e">
        <v>#N/A</v>
      </c>
      <c r="E211" s="235" t="e">
        <v>#N/A</v>
      </c>
      <c r="F211" s="235" t="e">
        <v>#N/A</v>
      </c>
      <c r="G211" s="235" t="e">
        <v>#N/A</v>
      </c>
    </row>
    <row r="212" spans="1:7">
      <c r="A212" t="e">
        <v>#N/A</v>
      </c>
      <c r="B212" t="e">
        <v>#N/A</v>
      </c>
      <c r="C212" t="e">
        <v>#N/A</v>
      </c>
      <c r="D212" t="e">
        <v>#N/A</v>
      </c>
      <c r="E212" s="235" t="e">
        <v>#N/A</v>
      </c>
      <c r="F212" s="235" t="e">
        <v>#N/A</v>
      </c>
      <c r="G212" s="235" t="e">
        <v>#N/A</v>
      </c>
    </row>
    <row r="213" spans="1:7">
      <c r="A213" t="e">
        <v>#N/A</v>
      </c>
      <c r="B213" t="e">
        <v>#N/A</v>
      </c>
      <c r="C213" t="e">
        <v>#N/A</v>
      </c>
      <c r="D213" t="e">
        <v>#N/A</v>
      </c>
      <c r="E213" s="235" t="e">
        <v>#N/A</v>
      </c>
      <c r="F213" s="235" t="e">
        <v>#N/A</v>
      </c>
      <c r="G213" s="235" t="e">
        <v>#N/A</v>
      </c>
    </row>
    <row r="214" spans="1:7">
      <c r="A214" t="e">
        <v>#N/A</v>
      </c>
      <c r="B214" t="e">
        <v>#N/A</v>
      </c>
      <c r="C214" t="e">
        <v>#N/A</v>
      </c>
      <c r="D214" t="e">
        <v>#N/A</v>
      </c>
      <c r="E214" s="235" t="e">
        <v>#N/A</v>
      </c>
      <c r="F214" s="235" t="e">
        <v>#N/A</v>
      </c>
      <c r="G214" s="235" t="e">
        <v>#N/A</v>
      </c>
    </row>
    <row r="215" spans="1:7">
      <c r="A215" t="e">
        <v>#N/A</v>
      </c>
      <c r="B215" t="e">
        <v>#N/A</v>
      </c>
      <c r="C215" t="e">
        <v>#N/A</v>
      </c>
      <c r="D215" t="e">
        <v>#N/A</v>
      </c>
      <c r="E215" s="235" t="e">
        <v>#N/A</v>
      </c>
      <c r="F215" s="235" t="e">
        <v>#N/A</v>
      </c>
      <c r="G215" s="235" t="e">
        <v>#N/A</v>
      </c>
    </row>
    <row r="216" spans="1:7">
      <c r="A216" t="e">
        <v>#N/A</v>
      </c>
      <c r="B216" t="e">
        <v>#N/A</v>
      </c>
      <c r="C216" t="e">
        <v>#N/A</v>
      </c>
      <c r="D216" t="e">
        <v>#N/A</v>
      </c>
      <c r="E216" s="235" t="e">
        <v>#N/A</v>
      </c>
      <c r="F216" s="235" t="e">
        <v>#N/A</v>
      </c>
      <c r="G216" s="235" t="e">
        <v>#N/A</v>
      </c>
    </row>
    <row r="217" spans="1:7">
      <c r="A217" t="e">
        <v>#N/A</v>
      </c>
      <c r="B217" t="e">
        <v>#N/A</v>
      </c>
      <c r="C217" t="e">
        <v>#N/A</v>
      </c>
      <c r="D217" t="e">
        <v>#N/A</v>
      </c>
      <c r="E217" s="235" t="e">
        <v>#N/A</v>
      </c>
      <c r="F217" s="235" t="e">
        <v>#N/A</v>
      </c>
      <c r="G217" s="235" t="e">
        <v>#N/A</v>
      </c>
    </row>
    <row r="218" spans="1:7">
      <c r="A218" t="e">
        <v>#N/A</v>
      </c>
      <c r="B218" t="e">
        <v>#N/A</v>
      </c>
      <c r="C218" t="e">
        <v>#N/A</v>
      </c>
      <c r="D218" t="e">
        <v>#N/A</v>
      </c>
      <c r="E218" s="235" t="e">
        <v>#N/A</v>
      </c>
      <c r="F218" s="235" t="e">
        <v>#N/A</v>
      </c>
      <c r="G218" s="235" t="e">
        <v>#N/A</v>
      </c>
    </row>
    <row r="219" spans="1:7">
      <c r="A219" t="e">
        <v>#N/A</v>
      </c>
      <c r="B219" t="e">
        <v>#N/A</v>
      </c>
      <c r="C219" t="e">
        <v>#N/A</v>
      </c>
      <c r="D219" t="e">
        <v>#N/A</v>
      </c>
      <c r="E219" s="235" t="e">
        <v>#N/A</v>
      </c>
      <c r="F219" s="235" t="e">
        <v>#N/A</v>
      </c>
      <c r="G219" s="235" t="e">
        <v>#N/A</v>
      </c>
    </row>
    <row r="220" spans="1:7">
      <c r="A220" t="e">
        <v>#N/A</v>
      </c>
      <c r="B220" t="e">
        <v>#N/A</v>
      </c>
      <c r="C220" t="e">
        <v>#N/A</v>
      </c>
      <c r="D220" t="e">
        <v>#N/A</v>
      </c>
      <c r="E220" s="235" t="e">
        <v>#N/A</v>
      </c>
      <c r="F220" s="235" t="e">
        <v>#N/A</v>
      </c>
      <c r="G220" s="235" t="e">
        <v>#N/A</v>
      </c>
    </row>
    <row r="221" spans="1:7">
      <c r="A221" t="e">
        <v>#N/A</v>
      </c>
      <c r="B221" t="e">
        <v>#N/A</v>
      </c>
      <c r="C221" t="e">
        <v>#N/A</v>
      </c>
      <c r="D221" t="e">
        <v>#N/A</v>
      </c>
      <c r="E221" s="235" t="e">
        <v>#N/A</v>
      </c>
      <c r="F221" s="235" t="e">
        <v>#N/A</v>
      </c>
      <c r="G221" s="235" t="e">
        <v>#N/A</v>
      </c>
    </row>
    <row r="222" spans="1:7">
      <c r="A222" t="e">
        <v>#N/A</v>
      </c>
      <c r="B222" t="e">
        <v>#N/A</v>
      </c>
      <c r="C222" t="e">
        <v>#N/A</v>
      </c>
      <c r="D222" t="e">
        <v>#N/A</v>
      </c>
      <c r="E222" s="235" t="e">
        <v>#N/A</v>
      </c>
      <c r="F222" s="235" t="e">
        <v>#N/A</v>
      </c>
      <c r="G222" s="235" t="e">
        <v>#N/A</v>
      </c>
    </row>
    <row r="223" spans="1:7">
      <c r="A223" t="e">
        <v>#N/A</v>
      </c>
      <c r="B223" t="e">
        <v>#N/A</v>
      </c>
      <c r="C223" t="e">
        <v>#N/A</v>
      </c>
      <c r="D223" t="e">
        <v>#N/A</v>
      </c>
      <c r="E223" s="235" t="e">
        <v>#N/A</v>
      </c>
      <c r="F223" s="235" t="e">
        <v>#N/A</v>
      </c>
      <c r="G223" s="235" t="e">
        <v>#N/A</v>
      </c>
    </row>
    <row r="224" spans="1:7">
      <c r="A224" t="e">
        <v>#N/A</v>
      </c>
      <c r="B224" t="e">
        <v>#N/A</v>
      </c>
      <c r="C224" t="e">
        <v>#N/A</v>
      </c>
      <c r="D224" t="e">
        <v>#N/A</v>
      </c>
      <c r="E224" s="235" t="e">
        <v>#N/A</v>
      </c>
      <c r="F224" s="235" t="e">
        <v>#N/A</v>
      </c>
      <c r="G224" s="235" t="e">
        <v>#N/A</v>
      </c>
    </row>
    <row r="225" spans="1:7">
      <c r="A225" t="e">
        <v>#N/A</v>
      </c>
      <c r="B225" t="e">
        <v>#N/A</v>
      </c>
      <c r="C225" t="e">
        <v>#N/A</v>
      </c>
      <c r="D225" t="e">
        <v>#N/A</v>
      </c>
      <c r="E225" s="235" t="e">
        <v>#N/A</v>
      </c>
      <c r="F225" s="235" t="e">
        <v>#N/A</v>
      </c>
      <c r="G225" s="235" t="e">
        <v>#N/A</v>
      </c>
    </row>
    <row r="226" spans="1:7">
      <c r="A226" t="e">
        <v>#N/A</v>
      </c>
      <c r="B226" t="e">
        <v>#N/A</v>
      </c>
      <c r="C226" t="e">
        <v>#N/A</v>
      </c>
      <c r="D226" t="e">
        <v>#N/A</v>
      </c>
      <c r="E226" s="235" t="e">
        <v>#N/A</v>
      </c>
      <c r="F226" s="235" t="e">
        <v>#N/A</v>
      </c>
      <c r="G226" s="235" t="e">
        <v>#N/A</v>
      </c>
    </row>
    <row r="227" spans="1:7">
      <c r="A227" t="e">
        <v>#N/A</v>
      </c>
      <c r="B227" t="e">
        <v>#N/A</v>
      </c>
      <c r="C227" t="e">
        <v>#N/A</v>
      </c>
      <c r="D227" t="e">
        <v>#N/A</v>
      </c>
      <c r="E227" s="235" t="e">
        <v>#N/A</v>
      </c>
      <c r="F227" s="235" t="e">
        <v>#N/A</v>
      </c>
      <c r="G227" s="235" t="e">
        <v>#N/A</v>
      </c>
    </row>
    <row r="228" spans="1:7">
      <c r="A228" t="e">
        <v>#N/A</v>
      </c>
      <c r="B228" t="e">
        <v>#N/A</v>
      </c>
      <c r="C228" t="e">
        <v>#N/A</v>
      </c>
      <c r="D228" t="e">
        <v>#N/A</v>
      </c>
      <c r="E228" s="235" t="e">
        <v>#N/A</v>
      </c>
      <c r="F228" s="235" t="e">
        <v>#N/A</v>
      </c>
      <c r="G228" s="235" t="e">
        <v>#N/A</v>
      </c>
    </row>
    <row r="229" spans="1:7">
      <c r="A229" t="e">
        <v>#N/A</v>
      </c>
      <c r="B229" t="e">
        <v>#N/A</v>
      </c>
      <c r="C229" t="e">
        <v>#N/A</v>
      </c>
      <c r="D229" t="e">
        <v>#N/A</v>
      </c>
      <c r="E229" s="235" t="e">
        <v>#N/A</v>
      </c>
      <c r="F229" s="235" t="e">
        <v>#N/A</v>
      </c>
      <c r="G229" s="235" t="e">
        <v>#N/A</v>
      </c>
    </row>
    <row r="230" spans="1:7">
      <c r="A230" t="e">
        <v>#N/A</v>
      </c>
      <c r="B230" t="e">
        <v>#N/A</v>
      </c>
      <c r="C230" t="e">
        <v>#N/A</v>
      </c>
      <c r="D230" t="e">
        <v>#N/A</v>
      </c>
      <c r="E230" s="235" t="e">
        <v>#N/A</v>
      </c>
      <c r="F230" s="235" t="e">
        <v>#N/A</v>
      </c>
      <c r="G230" s="235" t="e">
        <v>#N/A</v>
      </c>
    </row>
    <row r="231" spans="1:7">
      <c r="A231" t="e">
        <v>#N/A</v>
      </c>
      <c r="B231" t="e">
        <v>#N/A</v>
      </c>
      <c r="C231" t="e">
        <v>#N/A</v>
      </c>
      <c r="D231" t="e">
        <v>#N/A</v>
      </c>
      <c r="E231" s="235" t="e">
        <v>#N/A</v>
      </c>
      <c r="F231" s="235" t="e">
        <v>#N/A</v>
      </c>
      <c r="G231" s="235" t="e">
        <v>#N/A</v>
      </c>
    </row>
    <row r="232" spans="1:7">
      <c r="A232" t="e">
        <v>#N/A</v>
      </c>
      <c r="B232" t="e">
        <v>#N/A</v>
      </c>
      <c r="C232" t="e">
        <v>#N/A</v>
      </c>
      <c r="D232" t="e">
        <v>#N/A</v>
      </c>
      <c r="E232" s="235" t="e">
        <v>#N/A</v>
      </c>
      <c r="F232" s="235" t="e">
        <v>#N/A</v>
      </c>
      <c r="G232" s="235" t="e">
        <v>#N/A</v>
      </c>
    </row>
    <row r="233" spans="1:7">
      <c r="A233" t="e">
        <v>#N/A</v>
      </c>
      <c r="B233" t="e">
        <v>#N/A</v>
      </c>
      <c r="C233" t="e">
        <v>#N/A</v>
      </c>
      <c r="D233" t="e">
        <v>#N/A</v>
      </c>
      <c r="E233" s="235" t="e">
        <v>#N/A</v>
      </c>
      <c r="F233" s="235" t="e">
        <v>#N/A</v>
      </c>
      <c r="G233" s="235" t="e">
        <v>#N/A</v>
      </c>
    </row>
    <row r="234" spans="1:7">
      <c r="A234" t="e">
        <v>#N/A</v>
      </c>
      <c r="B234" t="e">
        <v>#N/A</v>
      </c>
      <c r="C234" t="e">
        <v>#N/A</v>
      </c>
      <c r="D234" t="e">
        <v>#N/A</v>
      </c>
      <c r="E234" s="235" t="e">
        <v>#N/A</v>
      </c>
      <c r="F234" s="235" t="e">
        <v>#N/A</v>
      </c>
      <c r="G234" s="235" t="e">
        <v>#N/A</v>
      </c>
    </row>
    <row r="235" spans="1:7">
      <c r="A235" t="e">
        <v>#N/A</v>
      </c>
      <c r="B235" t="e">
        <v>#N/A</v>
      </c>
      <c r="C235" t="e">
        <v>#N/A</v>
      </c>
      <c r="D235" t="e">
        <v>#N/A</v>
      </c>
      <c r="E235" s="235" t="e">
        <v>#N/A</v>
      </c>
      <c r="F235" s="235" t="e">
        <v>#N/A</v>
      </c>
      <c r="G235" s="235" t="e">
        <v>#N/A</v>
      </c>
    </row>
    <row r="236" spans="1:7">
      <c r="A236" t="e">
        <v>#N/A</v>
      </c>
      <c r="B236" t="e">
        <v>#N/A</v>
      </c>
      <c r="C236" t="e">
        <v>#N/A</v>
      </c>
      <c r="D236" t="e">
        <v>#N/A</v>
      </c>
      <c r="E236" s="235" t="e">
        <v>#N/A</v>
      </c>
      <c r="F236" s="235" t="e">
        <v>#N/A</v>
      </c>
      <c r="G236" s="235" t="e">
        <v>#N/A</v>
      </c>
    </row>
    <row r="237" spans="1:7">
      <c r="A237" t="e">
        <v>#N/A</v>
      </c>
      <c r="B237" t="e">
        <v>#N/A</v>
      </c>
      <c r="C237" t="e">
        <v>#N/A</v>
      </c>
      <c r="D237" t="e">
        <v>#N/A</v>
      </c>
      <c r="E237" s="235" t="e">
        <v>#N/A</v>
      </c>
      <c r="F237" s="235" t="e">
        <v>#N/A</v>
      </c>
      <c r="G237" s="235" t="e">
        <v>#N/A</v>
      </c>
    </row>
    <row r="238" spans="1:7">
      <c r="A238" t="e">
        <v>#N/A</v>
      </c>
      <c r="B238" t="e">
        <v>#N/A</v>
      </c>
      <c r="C238" t="e">
        <v>#N/A</v>
      </c>
      <c r="D238" t="e">
        <v>#N/A</v>
      </c>
      <c r="E238" s="235" t="e">
        <v>#N/A</v>
      </c>
      <c r="F238" s="235" t="e">
        <v>#N/A</v>
      </c>
      <c r="G238" s="235" t="e">
        <v>#N/A</v>
      </c>
    </row>
    <row r="239" spans="1:7">
      <c r="A239" t="e">
        <v>#N/A</v>
      </c>
      <c r="B239" t="e">
        <v>#N/A</v>
      </c>
      <c r="C239" t="e">
        <v>#N/A</v>
      </c>
      <c r="D239" t="e">
        <v>#N/A</v>
      </c>
      <c r="E239" s="235" t="e">
        <v>#N/A</v>
      </c>
      <c r="F239" s="235" t="e">
        <v>#N/A</v>
      </c>
      <c r="G239" s="235" t="e">
        <v>#N/A</v>
      </c>
    </row>
    <row r="240" spans="1:7">
      <c r="A240" t="e">
        <v>#N/A</v>
      </c>
      <c r="B240" t="e">
        <v>#N/A</v>
      </c>
      <c r="C240" t="e">
        <v>#N/A</v>
      </c>
      <c r="D240" t="e">
        <v>#N/A</v>
      </c>
      <c r="E240" s="235" t="e">
        <v>#N/A</v>
      </c>
      <c r="F240" s="235" t="e">
        <v>#N/A</v>
      </c>
      <c r="G240" s="235" t="e">
        <v>#N/A</v>
      </c>
    </row>
    <row r="241" spans="1:7">
      <c r="A241" t="e">
        <v>#N/A</v>
      </c>
      <c r="B241" t="e">
        <v>#N/A</v>
      </c>
      <c r="C241" t="e">
        <v>#N/A</v>
      </c>
      <c r="D241" t="e">
        <v>#N/A</v>
      </c>
      <c r="E241" s="235" t="e">
        <v>#N/A</v>
      </c>
      <c r="F241" s="235" t="e">
        <v>#N/A</v>
      </c>
      <c r="G241" s="235" t="e">
        <v>#N/A</v>
      </c>
    </row>
    <row r="242" spans="1:7">
      <c r="A242" t="e">
        <v>#N/A</v>
      </c>
      <c r="B242" t="e">
        <v>#N/A</v>
      </c>
      <c r="C242" t="e">
        <v>#N/A</v>
      </c>
      <c r="D242" t="e">
        <v>#N/A</v>
      </c>
      <c r="E242" s="235" t="e">
        <v>#N/A</v>
      </c>
      <c r="F242" s="235" t="e">
        <v>#N/A</v>
      </c>
      <c r="G242" s="235" t="e">
        <v>#N/A</v>
      </c>
    </row>
    <row r="243" spans="1:7">
      <c r="A243" t="e">
        <v>#N/A</v>
      </c>
      <c r="B243" t="e">
        <v>#N/A</v>
      </c>
      <c r="C243" t="e">
        <v>#N/A</v>
      </c>
      <c r="D243" t="e">
        <v>#N/A</v>
      </c>
      <c r="E243" s="235" t="e">
        <v>#N/A</v>
      </c>
      <c r="F243" s="235" t="e">
        <v>#N/A</v>
      </c>
      <c r="G243" s="235" t="e">
        <v>#N/A</v>
      </c>
    </row>
    <row r="244" spans="1:7">
      <c r="A244" t="e">
        <v>#N/A</v>
      </c>
      <c r="B244" t="e">
        <v>#N/A</v>
      </c>
      <c r="C244" t="e">
        <v>#N/A</v>
      </c>
      <c r="D244" t="e">
        <v>#N/A</v>
      </c>
      <c r="E244" s="235" t="e">
        <v>#N/A</v>
      </c>
      <c r="F244" s="235" t="e">
        <v>#N/A</v>
      </c>
      <c r="G244" s="235" t="e">
        <v>#N/A</v>
      </c>
    </row>
    <row r="245" spans="1:7">
      <c r="A245" t="e">
        <v>#N/A</v>
      </c>
      <c r="B245" t="e">
        <v>#N/A</v>
      </c>
      <c r="C245" t="e">
        <v>#N/A</v>
      </c>
      <c r="D245" t="e">
        <v>#N/A</v>
      </c>
      <c r="E245" s="235" t="e">
        <v>#N/A</v>
      </c>
      <c r="F245" s="235" t="e">
        <v>#N/A</v>
      </c>
      <c r="G245" s="235" t="e">
        <v>#N/A</v>
      </c>
    </row>
    <row r="246" spans="1:7">
      <c r="A246" t="e">
        <v>#N/A</v>
      </c>
      <c r="B246" t="e">
        <v>#N/A</v>
      </c>
      <c r="C246" t="e">
        <v>#N/A</v>
      </c>
      <c r="D246" t="e">
        <v>#N/A</v>
      </c>
      <c r="E246" s="235" t="e">
        <v>#N/A</v>
      </c>
      <c r="F246" s="235" t="e">
        <v>#N/A</v>
      </c>
      <c r="G246" s="235" t="e">
        <v>#N/A</v>
      </c>
    </row>
    <row r="247" spans="1:7">
      <c r="A247" t="e">
        <v>#N/A</v>
      </c>
      <c r="B247" t="e">
        <v>#N/A</v>
      </c>
      <c r="C247" t="e">
        <v>#N/A</v>
      </c>
      <c r="D247" t="e">
        <v>#N/A</v>
      </c>
      <c r="E247" s="235" t="e">
        <v>#N/A</v>
      </c>
      <c r="F247" s="235" t="e">
        <v>#N/A</v>
      </c>
      <c r="G247" s="235" t="e">
        <v>#N/A</v>
      </c>
    </row>
    <row r="248" spans="1:7">
      <c r="A248" t="e">
        <v>#N/A</v>
      </c>
      <c r="B248" t="e">
        <v>#N/A</v>
      </c>
      <c r="C248" t="e">
        <v>#N/A</v>
      </c>
      <c r="D248" t="e">
        <v>#N/A</v>
      </c>
      <c r="E248" s="235" t="e">
        <v>#N/A</v>
      </c>
      <c r="F248" s="235" t="e">
        <v>#N/A</v>
      </c>
      <c r="G248" s="235" t="e">
        <v>#N/A</v>
      </c>
    </row>
    <row r="249" spans="1:7">
      <c r="A249" t="e">
        <v>#N/A</v>
      </c>
      <c r="B249" t="e">
        <v>#N/A</v>
      </c>
      <c r="C249" t="e">
        <v>#N/A</v>
      </c>
      <c r="D249" t="e">
        <v>#N/A</v>
      </c>
      <c r="E249" s="235" t="e">
        <v>#N/A</v>
      </c>
      <c r="F249" s="235" t="e">
        <v>#N/A</v>
      </c>
      <c r="G249" s="235" t="e">
        <v>#N/A</v>
      </c>
    </row>
    <row r="250" spans="1:7">
      <c r="A250" t="e">
        <v>#N/A</v>
      </c>
      <c r="B250" t="e">
        <v>#N/A</v>
      </c>
      <c r="C250" t="e">
        <v>#N/A</v>
      </c>
      <c r="D250" t="e">
        <v>#N/A</v>
      </c>
      <c r="E250" s="235" t="e">
        <v>#N/A</v>
      </c>
      <c r="F250" s="235" t="e">
        <v>#N/A</v>
      </c>
      <c r="G250" s="235" t="e">
        <v>#N/A</v>
      </c>
    </row>
    <row r="251" spans="1:7">
      <c r="A251" t="e">
        <v>#N/A</v>
      </c>
      <c r="B251" t="e">
        <v>#N/A</v>
      </c>
      <c r="C251" t="e">
        <v>#N/A</v>
      </c>
      <c r="D251" t="e">
        <v>#N/A</v>
      </c>
      <c r="E251" s="235" t="e">
        <v>#N/A</v>
      </c>
      <c r="F251" s="235" t="e">
        <v>#N/A</v>
      </c>
      <c r="G251" s="235" t="e">
        <v>#N/A</v>
      </c>
    </row>
    <row r="252" spans="1:7">
      <c r="A252" t="e">
        <v>#N/A</v>
      </c>
      <c r="B252" t="e">
        <v>#N/A</v>
      </c>
      <c r="C252" t="e">
        <v>#N/A</v>
      </c>
      <c r="D252" t="e">
        <v>#N/A</v>
      </c>
      <c r="E252" s="235" t="e">
        <v>#N/A</v>
      </c>
      <c r="F252" s="235" t="e">
        <v>#N/A</v>
      </c>
      <c r="G252" s="235" t="e">
        <v>#N/A</v>
      </c>
    </row>
    <row r="253" spans="1:7">
      <c r="A253" t="e">
        <v>#N/A</v>
      </c>
      <c r="B253" t="e">
        <v>#N/A</v>
      </c>
      <c r="C253" t="e">
        <v>#N/A</v>
      </c>
      <c r="D253" t="e">
        <v>#N/A</v>
      </c>
      <c r="E253" s="235" t="e">
        <v>#N/A</v>
      </c>
      <c r="F253" s="235" t="e">
        <v>#N/A</v>
      </c>
      <c r="G253" s="235" t="e">
        <v>#N/A</v>
      </c>
    </row>
    <row r="254" spans="1:7">
      <c r="A254" t="e">
        <v>#N/A</v>
      </c>
      <c r="B254" t="e">
        <v>#N/A</v>
      </c>
      <c r="C254" t="e">
        <v>#N/A</v>
      </c>
      <c r="D254" t="e">
        <v>#N/A</v>
      </c>
      <c r="E254" s="235" t="e">
        <v>#N/A</v>
      </c>
      <c r="F254" s="235" t="e">
        <v>#N/A</v>
      </c>
      <c r="G254" s="235" t="e">
        <v>#N/A</v>
      </c>
    </row>
    <row r="255" spans="1:7">
      <c r="A255" t="e">
        <v>#N/A</v>
      </c>
      <c r="B255" t="e">
        <v>#N/A</v>
      </c>
      <c r="C255" t="e">
        <v>#N/A</v>
      </c>
      <c r="D255" t="e">
        <v>#N/A</v>
      </c>
      <c r="E255" s="235" t="e">
        <v>#N/A</v>
      </c>
      <c r="F255" s="235" t="e">
        <v>#N/A</v>
      </c>
      <c r="G255" s="235" t="e">
        <v>#N/A</v>
      </c>
    </row>
    <row r="256" spans="1:7">
      <c r="A256" t="e">
        <v>#N/A</v>
      </c>
      <c r="B256" t="e">
        <v>#N/A</v>
      </c>
      <c r="C256" t="e">
        <v>#N/A</v>
      </c>
      <c r="D256" t="e">
        <v>#N/A</v>
      </c>
      <c r="E256" s="235" t="e">
        <v>#N/A</v>
      </c>
      <c r="F256" s="235" t="e">
        <v>#N/A</v>
      </c>
      <c r="G256" s="235" t="e">
        <v>#N/A</v>
      </c>
    </row>
    <row r="257" spans="1:7">
      <c r="A257" t="e">
        <v>#N/A</v>
      </c>
      <c r="B257" t="e">
        <v>#N/A</v>
      </c>
      <c r="C257" t="e">
        <v>#N/A</v>
      </c>
      <c r="D257" t="e">
        <v>#N/A</v>
      </c>
      <c r="E257" s="235" t="e">
        <v>#N/A</v>
      </c>
      <c r="F257" s="235" t="e">
        <v>#N/A</v>
      </c>
      <c r="G257" s="235" t="e">
        <v>#N/A</v>
      </c>
    </row>
    <row r="258" spans="1:7">
      <c r="A258" t="e">
        <v>#N/A</v>
      </c>
      <c r="B258" t="e">
        <v>#N/A</v>
      </c>
      <c r="C258" t="e">
        <v>#N/A</v>
      </c>
      <c r="D258" t="e">
        <v>#N/A</v>
      </c>
      <c r="E258" s="235" t="e">
        <v>#N/A</v>
      </c>
      <c r="F258" s="235" t="e">
        <v>#N/A</v>
      </c>
      <c r="G258" s="235" t="e">
        <v>#N/A</v>
      </c>
    </row>
    <row r="259" spans="1:7">
      <c r="A259" t="e">
        <v>#N/A</v>
      </c>
      <c r="B259" t="e">
        <v>#N/A</v>
      </c>
      <c r="C259" t="e">
        <v>#N/A</v>
      </c>
      <c r="D259" t="e">
        <v>#N/A</v>
      </c>
      <c r="E259" s="235" t="e">
        <v>#N/A</v>
      </c>
      <c r="F259" s="235" t="e">
        <v>#N/A</v>
      </c>
      <c r="G259" s="235" t="e">
        <v>#N/A</v>
      </c>
    </row>
    <row r="260" spans="1:7">
      <c r="A260" t="e">
        <v>#N/A</v>
      </c>
      <c r="B260" t="e">
        <v>#N/A</v>
      </c>
      <c r="C260" t="e">
        <v>#N/A</v>
      </c>
      <c r="D260" t="e">
        <v>#N/A</v>
      </c>
      <c r="E260" s="235" t="e">
        <v>#N/A</v>
      </c>
      <c r="F260" s="235" t="e">
        <v>#N/A</v>
      </c>
      <c r="G260" s="235" t="e">
        <v>#N/A</v>
      </c>
    </row>
    <row r="261" spans="1:7">
      <c r="A261" t="e">
        <v>#N/A</v>
      </c>
      <c r="B261" t="e">
        <v>#N/A</v>
      </c>
      <c r="C261" t="e">
        <v>#N/A</v>
      </c>
      <c r="D261" t="e">
        <v>#N/A</v>
      </c>
      <c r="E261" s="235" t="e">
        <v>#N/A</v>
      </c>
      <c r="F261" s="235" t="e">
        <v>#N/A</v>
      </c>
      <c r="G261" s="235" t="e">
        <v>#N/A</v>
      </c>
    </row>
    <row r="262" spans="1:7">
      <c r="A262" t="e">
        <v>#N/A</v>
      </c>
      <c r="B262" t="e">
        <v>#N/A</v>
      </c>
      <c r="C262" t="e">
        <v>#N/A</v>
      </c>
      <c r="D262" t="e">
        <v>#N/A</v>
      </c>
      <c r="E262" s="235" t="e">
        <v>#N/A</v>
      </c>
      <c r="F262" s="235" t="e">
        <v>#N/A</v>
      </c>
      <c r="G262" s="235" t="e">
        <v>#N/A</v>
      </c>
    </row>
    <row r="263" spans="1:7">
      <c r="A263" t="e">
        <v>#N/A</v>
      </c>
      <c r="B263" t="e">
        <v>#N/A</v>
      </c>
      <c r="C263" t="e">
        <v>#N/A</v>
      </c>
      <c r="D263" t="e">
        <v>#N/A</v>
      </c>
      <c r="E263" s="235" t="e">
        <v>#N/A</v>
      </c>
      <c r="F263" s="235" t="e">
        <v>#N/A</v>
      </c>
      <c r="G263" s="235" t="e">
        <v>#N/A</v>
      </c>
    </row>
    <row r="264" spans="1:7">
      <c r="A264" t="e">
        <v>#N/A</v>
      </c>
      <c r="B264" t="e">
        <v>#N/A</v>
      </c>
      <c r="C264" t="e">
        <v>#N/A</v>
      </c>
      <c r="D264" t="e">
        <v>#N/A</v>
      </c>
      <c r="E264" s="235" t="e">
        <v>#N/A</v>
      </c>
      <c r="F264" s="235" t="e">
        <v>#N/A</v>
      </c>
      <c r="G264" s="235" t="e">
        <v>#N/A</v>
      </c>
    </row>
    <row r="265" spans="1:7">
      <c r="A265" t="e">
        <v>#N/A</v>
      </c>
      <c r="B265" t="e">
        <v>#N/A</v>
      </c>
      <c r="C265" t="e">
        <v>#N/A</v>
      </c>
      <c r="D265" t="e">
        <v>#N/A</v>
      </c>
      <c r="E265" s="235" t="e">
        <v>#N/A</v>
      </c>
      <c r="F265" s="235" t="e">
        <v>#N/A</v>
      </c>
      <c r="G265" s="235" t="e">
        <v>#N/A</v>
      </c>
    </row>
    <row r="266" spans="1:7">
      <c r="A266" t="e">
        <v>#N/A</v>
      </c>
      <c r="B266" t="e">
        <v>#N/A</v>
      </c>
      <c r="C266" t="e">
        <v>#N/A</v>
      </c>
      <c r="D266" t="e">
        <v>#N/A</v>
      </c>
      <c r="E266" s="235" t="e">
        <v>#N/A</v>
      </c>
      <c r="F266" s="235" t="e">
        <v>#N/A</v>
      </c>
      <c r="G266" s="235" t="e">
        <v>#N/A</v>
      </c>
    </row>
    <row r="267" spans="1:7">
      <c r="A267" t="e">
        <v>#N/A</v>
      </c>
      <c r="B267" t="e">
        <v>#N/A</v>
      </c>
      <c r="C267" t="e">
        <v>#N/A</v>
      </c>
      <c r="D267" t="e">
        <v>#N/A</v>
      </c>
      <c r="E267" s="235" t="e">
        <v>#N/A</v>
      </c>
      <c r="F267" s="235" t="e">
        <v>#N/A</v>
      </c>
      <c r="G267" s="235" t="e">
        <v>#N/A</v>
      </c>
    </row>
    <row r="268" spans="1:7">
      <c r="A268" t="e">
        <v>#N/A</v>
      </c>
      <c r="B268" t="e">
        <v>#N/A</v>
      </c>
      <c r="C268" t="e">
        <v>#N/A</v>
      </c>
      <c r="D268" t="e">
        <v>#N/A</v>
      </c>
      <c r="E268" s="235" t="e">
        <v>#N/A</v>
      </c>
      <c r="F268" s="235" t="e">
        <v>#N/A</v>
      </c>
      <c r="G268" s="235" t="e">
        <v>#N/A</v>
      </c>
    </row>
    <row r="269" spans="1:7">
      <c r="A269" t="e">
        <v>#N/A</v>
      </c>
      <c r="B269" t="e">
        <v>#N/A</v>
      </c>
      <c r="C269" t="e">
        <v>#N/A</v>
      </c>
      <c r="D269" t="e">
        <v>#N/A</v>
      </c>
      <c r="E269" s="235" t="e">
        <v>#N/A</v>
      </c>
      <c r="F269" s="235" t="e">
        <v>#N/A</v>
      </c>
      <c r="G269" s="235" t="e">
        <v>#N/A</v>
      </c>
    </row>
    <row r="270" spans="1:7">
      <c r="A270" t="e">
        <v>#N/A</v>
      </c>
      <c r="B270" t="e">
        <v>#N/A</v>
      </c>
      <c r="C270" t="e">
        <v>#N/A</v>
      </c>
      <c r="D270" t="e">
        <v>#N/A</v>
      </c>
      <c r="E270" s="235" t="e">
        <v>#N/A</v>
      </c>
      <c r="F270" s="235" t="e">
        <v>#N/A</v>
      </c>
      <c r="G270" s="235" t="e">
        <v>#N/A</v>
      </c>
    </row>
    <row r="271" spans="1:7">
      <c r="A271" t="e">
        <v>#N/A</v>
      </c>
      <c r="B271" t="e">
        <v>#N/A</v>
      </c>
      <c r="C271" t="e">
        <v>#N/A</v>
      </c>
      <c r="D271" t="e">
        <v>#N/A</v>
      </c>
      <c r="E271" s="235" t="e">
        <v>#N/A</v>
      </c>
      <c r="F271" s="235" t="e">
        <v>#N/A</v>
      </c>
      <c r="G271" s="235" t="e">
        <v>#N/A</v>
      </c>
    </row>
    <row r="272" spans="1:7">
      <c r="A272" t="e">
        <v>#N/A</v>
      </c>
      <c r="B272" t="e">
        <v>#N/A</v>
      </c>
      <c r="C272" t="e">
        <v>#N/A</v>
      </c>
      <c r="D272" t="e">
        <v>#N/A</v>
      </c>
      <c r="E272" s="235" t="e">
        <v>#N/A</v>
      </c>
      <c r="F272" s="235" t="e">
        <v>#N/A</v>
      </c>
      <c r="G272" s="235" t="e">
        <v>#N/A</v>
      </c>
    </row>
    <row r="273" spans="1:7">
      <c r="A273" t="e">
        <v>#N/A</v>
      </c>
      <c r="B273" t="e">
        <v>#N/A</v>
      </c>
      <c r="C273" t="e">
        <v>#N/A</v>
      </c>
      <c r="D273" t="e">
        <v>#N/A</v>
      </c>
      <c r="E273" s="235" t="e">
        <v>#N/A</v>
      </c>
      <c r="F273" s="235" t="e">
        <v>#N/A</v>
      </c>
      <c r="G273" s="235" t="e">
        <v>#N/A</v>
      </c>
    </row>
    <row r="274" spans="1:7">
      <c r="A274" t="e">
        <v>#N/A</v>
      </c>
      <c r="B274" t="e">
        <v>#N/A</v>
      </c>
      <c r="C274" t="e">
        <v>#N/A</v>
      </c>
      <c r="D274" t="e">
        <v>#N/A</v>
      </c>
      <c r="E274" s="235" t="e">
        <v>#N/A</v>
      </c>
      <c r="F274" s="235" t="e">
        <v>#N/A</v>
      </c>
      <c r="G274" s="235" t="e">
        <v>#N/A</v>
      </c>
    </row>
    <row r="275" spans="1:7">
      <c r="A275" t="e">
        <v>#N/A</v>
      </c>
      <c r="B275" t="e">
        <v>#N/A</v>
      </c>
      <c r="C275" t="e">
        <v>#N/A</v>
      </c>
      <c r="D275" t="e">
        <v>#N/A</v>
      </c>
      <c r="E275" s="235" t="e">
        <v>#N/A</v>
      </c>
      <c r="F275" s="235" t="e">
        <v>#N/A</v>
      </c>
      <c r="G275" s="235" t="e">
        <v>#N/A</v>
      </c>
    </row>
    <row r="276" spans="1:7">
      <c r="A276" t="e">
        <v>#N/A</v>
      </c>
      <c r="B276" t="e">
        <v>#N/A</v>
      </c>
      <c r="C276" t="e">
        <v>#N/A</v>
      </c>
      <c r="D276" t="e">
        <v>#N/A</v>
      </c>
      <c r="E276" s="235" t="e">
        <v>#N/A</v>
      </c>
      <c r="F276" s="235" t="e">
        <v>#N/A</v>
      </c>
      <c r="G276" s="235" t="e">
        <v>#N/A</v>
      </c>
    </row>
    <row r="277" spans="1:7">
      <c r="A277" t="e">
        <v>#N/A</v>
      </c>
      <c r="B277" t="e">
        <v>#N/A</v>
      </c>
      <c r="C277" t="e">
        <v>#N/A</v>
      </c>
      <c r="D277" t="e">
        <v>#N/A</v>
      </c>
      <c r="E277" s="235" t="e">
        <v>#N/A</v>
      </c>
      <c r="F277" s="235" t="e">
        <v>#N/A</v>
      </c>
      <c r="G277" s="235" t="e">
        <v>#N/A</v>
      </c>
    </row>
    <row r="278" spans="1:7">
      <c r="A278" t="e">
        <v>#N/A</v>
      </c>
      <c r="B278" t="e">
        <v>#N/A</v>
      </c>
      <c r="C278" t="e">
        <v>#N/A</v>
      </c>
      <c r="D278" t="e">
        <v>#N/A</v>
      </c>
      <c r="E278" s="235" t="e">
        <v>#N/A</v>
      </c>
      <c r="F278" s="235" t="e">
        <v>#N/A</v>
      </c>
      <c r="G278" s="235" t="e">
        <v>#N/A</v>
      </c>
    </row>
    <row r="279" spans="1:7">
      <c r="A279" t="e">
        <v>#N/A</v>
      </c>
      <c r="B279" t="e">
        <v>#N/A</v>
      </c>
      <c r="C279" t="e">
        <v>#N/A</v>
      </c>
      <c r="D279" t="e">
        <v>#N/A</v>
      </c>
      <c r="E279" s="235" t="e">
        <v>#N/A</v>
      </c>
      <c r="F279" s="235" t="e">
        <v>#N/A</v>
      </c>
      <c r="G279" s="235" t="e">
        <v>#N/A</v>
      </c>
    </row>
    <row r="280" spans="1:7">
      <c r="A280" t="e">
        <v>#N/A</v>
      </c>
      <c r="B280" t="e">
        <v>#N/A</v>
      </c>
      <c r="C280" t="e">
        <v>#N/A</v>
      </c>
      <c r="D280" t="e">
        <v>#N/A</v>
      </c>
      <c r="E280" s="235" t="e">
        <v>#N/A</v>
      </c>
      <c r="F280" s="235" t="e">
        <v>#N/A</v>
      </c>
      <c r="G280" s="235" t="e">
        <v>#N/A</v>
      </c>
    </row>
    <row r="281" spans="1:7">
      <c r="A281" t="e">
        <v>#N/A</v>
      </c>
      <c r="B281" t="e">
        <v>#N/A</v>
      </c>
      <c r="C281" t="e">
        <v>#N/A</v>
      </c>
      <c r="D281" t="e">
        <v>#N/A</v>
      </c>
      <c r="E281" s="235" t="e">
        <v>#N/A</v>
      </c>
      <c r="F281" s="235" t="e">
        <v>#N/A</v>
      </c>
      <c r="G281" s="235" t="e">
        <v>#N/A</v>
      </c>
    </row>
    <row r="282" spans="1:7">
      <c r="A282" t="e">
        <v>#N/A</v>
      </c>
      <c r="B282" t="e">
        <v>#N/A</v>
      </c>
      <c r="C282" t="e">
        <v>#N/A</v>
      </c>
      <c r="D282" t="e">
        <v>#N/A</v>
      </c>
      <c r="E282" s="235" t="e">
        <v>#N/A</v>
      </c>
      <c r="F282" s="235" t="e">
        <v>#N/A</v>
      </c>
      <c r="G282" s="235" t="e">
        <v>#N/A</v>
      </c>
    </row>
    <row r="283" spans="1:7">
      <c r="A283" t="e">
        <v>#N/A</v>
      </c>
      <c r="B283" t="e">
        <v>#N/A</v>
      </c>
      <c r="C283" t="e">
        <v>#N/A</v>
      </c>
      <c r="D283" t="e">
        <v>#N/A</v>
      </c>
      <c r="E283" s="235" t="e">
        <v>#N/A</v>
      </c>
      <c r="F283" s="235" t="e">
        <v>#N/A</v>
      </c>
      <c r="G283" s="235" t="e">
        <v>#N/A</v>
      </c>
    </row>
    <row r="284" spans="1:7">
      <c r="A284" t="e">
        <v>#N/A</v>
      </c>
      <c r="B284" t="e">
        <v>#N/A</v>
      </c>
      <c r="C284" t="e">
        <v>#N/A</v>
      </c>
      <c r="D284" t="e">
        <v>#N/A</v>
      </c>
      <c r="E284" s="235" t="e">
        <v>#N/A</v>
      </c>
      <c r="F284" s="235" t="e">
        <v>#N/A</v>
      </c>
      <c r="G284" s="235" t="e">
        <v>#N/A</v>
      </c>
    </row>
    <row r="285" spans="1:7">
      <c r="A285" t="e">
        <v>#N/A</v>
      </c>
      <c r="B285" t="e">
        <v>#N/A</v>
      </c>
      <c r="C285" t="e">
        <v>#N/A</v>
      </c>
      <c r="D285" t="e">
        <v>#N/A</v>
      </c>
      <c r="E285" s="235" t="e">
        <v>#N/A</v>
      </c>
      <c r="F285" s="235" t="e">
        <v>#N/A</v>
      </c>
      <c r="G285" s="235" t="e">
        <v>#N/A</v>
      </c>
    </row>
    <row r="286" spans="1:7">
      <c r="A286" t="e">
        <v>#N/A</v>
      </c>
      <c r="B286" t="e">
        <v>#N/A</v>
      </c>
      <c r="C286" t="e">
        <v>#N/A</v>
      </c>
      <c r="D286" t="e">
        <v>#N/A</v>
      </c>
      <c r="E286" s="235" t="e">
        <v>#N/A</v>
      </c>
      <c r="F286" s="235" t="e">
        <v>#N/A</v>
      </c>
      <c r="G286" s="235" t="e">
        <v>#N/A</v>
      </c>
    </row>
    <row r="287" spans="1:7">
      <c r="A287" t="e">
        <v>#N/A</v>
      </c>
      <c r="B287" t="e">
        <v>#N/A</v>
      </c>
      <c r="C287" t="e">
        <v>#N/A</v>
      </c>
      <c r="D287" t="e">
        <v>#N/A</v>
      </c>
      <c r="E287" s="235" t="e">
        <v>#N/A</v>
      </c>
      <c r="F287" s="235" t="e">
        <v>#N/A</v>
      </c>
      <c r="G287" s="235" t="e">
        <v>#N/A</v>
      </c>
    </row>
    <row r="288" spans="1:7">
      <c r="A288" t="e">
        <v>#N/A</v>
      </c>
      <c r="B288" t="e">
        <v>#N/A</v>
      </c>
      <c r="C288" t="e">
        <v>#N/A</v>
      </c>
      <c r="D288" t="e">
        <v>#N/A</v>
      </c>
      <c r="E288" s="235" t="e">
        <v>#N/A</v>
      </c>
      <c r="F288" s="235" t="e">
        <v>#N/A</v>
      </c>
      <c r="G288" s="235" t="e">
        <v>#N/A</v>
      </c>
    </row>
    <row r="289" spans="1:7">
      <c r="A289" t="e">
        <v>#N/A</v>
      </c>
      <c r="B289" t="e">
        <v>#N/A</v>
      </c>
      <c r="C289" t="e">
        <v>#N/A</v>
      </c>
      <c r="D289" t="e">
        <v>#N/A</v>
      </c>
      <c r="E289" s="235" t="e">
        <v>#N/A</v>
      </c>
      <c r="F289" s="235" t="e">
        <v>#N/A</v>
      </c>
      <c r="G289" s="235" t="e">
        <v>#N/A</v>
      </c>
    </row>
    <row r="290" spans="1:7">
      <c r="A290" t="e">
        <v>#N/A</v>
      </c>
      <c r="B290" t="e">
        <v>#N/A</v>
      </c>
      <c r="C290" t="e">
        <v>#N/A</v>
      </c>
      <c r="D290" t="e">
        <v>#N/A</v>
      </c>
      <c r="E290" s="235" t="e">
        <v>#N/A</v>
      </c>
      <c r="F290" s="235" t="e">
        <v>#N/A</v>
      </c>
      <c r="G290" s="235" t="e">
        <v>#N/A</v>
      </c>
    </row>
    <row r="291" spans="1:7">
      <c r="A291" t="e">
        <v>#N/A</v>
      </c>
      <c r="B291" t="e">
        <v>#N/A</v>
      </c>
      <c r="C291" t="e">
        <v>#N/A</v>
      </c>
      <c r="D291" t="e">
        <v>#N/A</v>
      </c>
      <c r="E291" s="235" t="e">
        <v>#N/A</v>
      </c>
      <c r="F291" s="235" t="e">
        <v>#N/A</v>
      </c>
      <c r="G291" s="235" t="e">
        <v>#N/A</v>
      </c>
    </row>
    <row r="292" spans="1:7">
      <c r="A292" t="e">
        <v>#N/A</v>
      </c>
      <c r="B292" t="e">
        <v>#N/A</v>
      </c>
      <c r="C292" t="e">
        <v>#N/A</v>
      </c>
      <c r="D292" t="e">
        <v>#N/A</v>
      </c>
      <c r="E292" s="235" t="e">
        <v>#N/A</v>
      </c>
      <c r="F292" s="235" t="e">
        <v>#N/A</v>
      </c>
      <c r="G292" s="235" t="e">
        <v>#N/A</v>
      </c>
    </row>
    <row r="293" spans="1:7">
      <c r="A293" t="e">
        <v>#N/A</v>
      </c>
      <c r="B293" t="e">
        <v>#N/A</v>
      </c>
      <c r="C293" t="e">
        <v>#N/A</v>
      </c>
      <c r="D293" t="e">
        <v>#N/A</v>
      </c>
      <c r="E293" s="235" t="e">
        <v>#N/A</v>
      </c>
      <c r="F293" s="235" t="e">
        <v>#N/A</v>
      </c>
      <c r="G293" s="235" t="e">
        <v>#N/A</v>
      </c>
    </row>
    <row r="294" spans="1:7">
      <c r="A294" t="e">
        <v>#N/A</v>
      </c>
      <c r="B294" t="e">
        <v>#N/A</v>
      </c>
      <c r="C294" t="e">
        <v>#N/A</v>
      </c>
      <c r="D294" t="e">
        <v>#N/A</v>
      </c>
      <c r="E294" s="235" t="e">
        <v>#N/A</v>
      </c>
      <c r="F294" s="235" t="e">
        <v>#N/A</v>
      </c>
      <c r="G294" s="235" t="e">
        <v>#N/A</v>
      </c>
    </row>
    <row r="295" spans="1:7">
      <c r="A295" t="e">
        <v>#N/A</v>
      </c>
      <c r="B295" t="e">
        <v>#N/A</v>
      </c>
      <c r="C295" t="e">
        <v>#N/A</v>
      </c>
      <c r="D295" t="e">
        <v>#N/A</v>
      </c>
      <c r="E295" s="235" t="e">
        <v>#N/A</v>
      </c>
      <c r="F295" s="235" t="e">
        <v>#N/A</v>
      </c>
      <c r="G295" s="235" t="e">
        <v>#N/A</v>
      </c>
    </row>
    <row r="296" spans="1:7">
      <c r="A296" t="e">
        <v>#N/A</v>
      </c>
      <c r="B296" t="e">
        <v>#N/A</v>
      </c>
      <c r="C296" t="e">
        <v>#N/A</v>
      </c>
      <c r="D296" t="e">
        <v>#N/A</v>
      </c>
      <c r="E296" s="235" t="e">
        <v>#N/A</v>
      </c>
      <c r="F296" s="235" t="e">
        <v>#N/A</v>
      </c>
      <c r="G296" s="235" t="e">
        <v>#N/A</v>
      </c>
    </row>
    <row r="297" spans="1:7">
      <c r="A297" t="e">
        <v>#N/A</v>
      </c>
      <c r="B297" t="e">
        <v>#N/A</v>
      </c>
      <c r="C297" t="e">
        <v>#N/A</v>
      </c>
      <c r="D297" t="e">
        <v>#N/A</v>
      </c>
      <c r="E297" s="235" t="e">
        <v>#N/A</v>
      </c>
      <c r="F297" s="235" t="e">
        <v>#N/A</v>
      </c>
      <c r="G297" s="235" t="e">
        <v>#N/A</v>
      </c>
    </row>
    <row r="298" spans="1:7">
      <c r="A298" t="e">
        <v>#N/A</v>
      </c>
      <c r="B298" t="e">
        <v>#N/A</v>
      </c>
      <c r="C298" t="e">
        <v>#N/A</v>
      </c>
      <c r="D298" t="e">
        <v>#N/A</v>
      </c>
      <c r="E298" s="235" t="e">
        <v>#N/A</v>
      </c>
      <c r="F298" s="235" t="e">
        <v>#N/A</v>
      </c>
      <c r="G298" s="235" t="e">
        <v>#N/A</v>
      </c>
    </row>
    <row r="299" spans="1:7">
      <c r="A299" t="e">
        <v>#N/A</v>
      </c>
      <c r="B299" t="e">
        <v>#N/A</v>
      </c>
      <c r="C299" t="e">
        <v>#N/A</v>
      </c>
      <c r="D299" t="e">
        <v>#N/A</v>
      </c>
      <c r="E299" s="235" t="e">
        <v>#N/A</v>
      </c>
      <c r="F299" s="235" t="e">
        <v>#N/A</v>
      </c>
      <c r="G299" s="235" t="e">
        <v>#N/A</v>
      </c>
    </row>
    <row r="300" spans="1:7">
      <c r="A300" t="e">
        <v>#N/A</v>
      </c>
      <c r="B300" t="e">
        <v>#N/A</v>
      </c>
      <c r="C300" t="e">
        <v>#N/A</v>
      </c>
      <c r="D300" t="e">
        <v>#N/A</v>
      </c>
      <c r="E300" s="235" t="e">
        <v>#N/A</v>
      </c>
      <c r="F300" s="235" t="e">
        <v>#N/A</v>
      </c>
      <c r="G300" s="235" t="e">
        <v>#N/A</v>
      </c>
    </row>
    <row r="301" spans="1:7">
      <c r="A301" t="e">
        <v>#N/A</v>
      </c>
      <c r="B301" t="e">
        <v>#N/A</v>
      </c>
      <c r="C301" t="e">
        <v>#N/A</v>
      </c>
      <c r="D301" t="e">
        <v>#N/A</v>
      </c>
      <c r="E301" s="235" t="e">
        <v>#N/A</v>
      </c>
      <c r="F301" s="235" t="e">
        <v>#N/A</v>
      </c>
      <c r="G301" s="235" t="e">
        <v>#N/A</v>
      </c>
    </row>
    <row r="302" spans="1:7">
      <c r="A302" t="e">
        <v>#N/A</v>
      </c>
      <c r="B302" t="e">
        <v>#N/A</v>
      </c>
      <c r="C302" t="e">
        <v>#N/A</v>
      </c>
      <c r="D302" t="e">
        <v>#N/A</v>
      </c>
      <c r="E302" s="235" t="e">
        <v>#N/A</v>
      </c>
      <c r="F302" s="235" t="e">
        <v>#N/A</v>
      </c>
      <c r="G302" s="235" t="e">
        <v>#N/A</v>
      </c>
    </row>
    <row r="303" spans="1:7">
      <c r="A303" t="e">
        <v>#N/A</v>
      </c>
      <c r="B303" t="e">
        <v>#N/A</v>
      </c>
      <c r="C303" t="e">
        <v>#N/A</v>
      </c>
      <c r="D303" t="e">
        <v>#N/A</v>
      </c>
      <c r="E303" s="235" t="e">
        <v>#N/A</v>
      </c>
      <c r="F303" s="235" t="e">
        <v>#N/A</v>
      </c>
      <c r="G303" s="235" t="e">
        <v>#N/A</v>
      </c>
    </row>
    <row r="304" spans="1:7">
      <c r="A304" t="e">
        <v>#N/A</v>
      </c>
      <c r="B304" t="e">
        <v>#N/A</v>
      </c>
      <c r="C304" t="e">
        <v>#N/A</v>
      </c>
      <c r="D304" t="e">
        <v>#N/A</v>
      </c>
      <c r="E304" s="235" t="e">
        <v>#N/A</v>
      </c>
      <c r="F304" s="235" t="e">
        <v>#N/A</v>
      </c>
      <c r="G304" s="235" t="e">
        <v>#N/A</v>
      </c>
    </row>
    <row r="305" spans="1:7">
      <c r="A305" t="e">
        <v>#N/A</v>
      </c>
      <c r="B305" t="e">
        <v>#N/A</v>
      </c>
      <c r="C305" t="e">
        <v>#N/A</v>
      </c>
      <c r="D305" t="e">
        <v>#N/A</v>
      </c>
      <c r="E305" s="235" t="e">
        <v>#N/A</v>
      </c>
      <c r="F305" s="235" t="e">
        <v>#N/A</v>
      </c>
      <c r="G305" s="235" t="e">
        <v>#N/A</v>
      </c>
    </row>
    <row r="306" spans="1:7">
      <c r="A306" t="e">
        <v>#N/A</v>
      </c>
      <c r="B306" t="e">
        <v>#N/A</v>
      </c>
      <c r="C306" t="e">
        <v>#N/A</v>
      </c>
      <c r="D306" t="e">
        <v>#N/A</v>
      </c>
      <c r="E306" s="235" t="e">
        <v>#N/A</v>
      </c>
      <c r="F306" s="235" t="e">
        <v>#N/A</v>
      </c>
      <c r="G306" s="235" t="e">
        <v>#N/A</v>
      </c>
    </row>
    <row r="307" spans="1:7">
      <c r="A307" t="e">
        <v>#N/A</v>
      </c>
      <c r="B307" t="e">
        <v>#N/A</v>
      </c>
      <c r="C307" t="e">
        <v>#N/A</v>
      </c>
      <c r="D307" t="e">
        <v>#N/A</v>
      </c>
      <c r="E307" s="235" t="e">
        <v>#N/A</v>
      </c>
      <c r="F307" s="235" t="e">
        <v>#N/A</v>
      </c>
      <c r="G307" s="235" t="e">
        <v>#N/A</v>
      </c>
    </row>
    <row r="308" spans="1:7">
      <c r="A308" t="e">
        <v>#N/A</v>
      </c>
      <c r="B308" t="e">
        <v>#N/A</v>
      </c>
      <c r="C308" t="e">
        <v>#N/A</v>
      </c>
      <c r="D308" t="e">
        <v>#N/A</v>
      </c>
      <c r="E308" s="235" t="e">
        <v>#N/A</v>
      </c>
      <c r="F308" s="235" t="e">
        <v>#N/A</v>
      </c>
      <c r="G308" s="235" t="e">
        <v>#N/A</v>
      </c>
    </row>
    <row r="309" spans="1:7">
      <c r="A309" t="e">
        <v>#N/A</v>
      </c>
      <c r="B309" t="e">
        <v>#N/A</v>
      </c>
      <c r="C309" t="e">
        <v>#N/A</v>
      </c>
      <c r="D309" t="e">
        <v>#N/A</v>
      </c>
      <c r="E309" s="235" t="e">
        <v>#N/A</v>
      </c>
      <c r="F309" s="235" t="e">
        <v>#N/A</v>
      </c>
      <c r="G309" s="235" t="e">
        <v>#N/A</v>
      </c>
    </row>
    <row r="310" spans="1:7">
      <c r="A310" t="e">
        <v>#N/A</v>
      </c>
      <c r="B310" t="e">
        <v>#N/A</v>
      </c>
      <c r="C310" t="e">
        <v>#N/A</v>
      </c>
      <c r="D310" t="e">
        <v>#N/A</v>
      </c>
      <c r="E310" s="235" t="e">
        <v>#N/A</v>
      </c>
      <c r="F310" s="235" t="e">
        <v>#N/A</v>
      </c>
      <c r="G310" s="235" t="e">
        <v>#N/A</v>
      </c>
    </row>
    <row r="311" spans="1:7">
      <c r="A311" t="e">
        <v>#N/A</v>
      </c>
      <c r="B311" t="e">
        <v>#N/A</v>
      </c>
      <c r="C311" t="e">
        <v>#N/A</v>
      </c>
      <c r="D311" t="e">
        <v>#N/A</v>
      </c>
      <c r="E311" s="235" t="e">
        <v>#N/A</v>
      </c>
      <c r="F311" s="235" t="e">
        <v>#N/A</v>
      </c>
      <c r="G311" s="235" t="e">
        <v>#N/A</v>
      </c>
    </row>
    <row r="312" spans="1:7">
      <c r="A312" t="e">
        <v>#N/A</v>
      </c>
      <c r="B312" t="e">
        <v>#N/A</v>
      </c>
      <c r="C312" t="e">
        <v>#N/A</v>
      </c>
      <c r="D312" t="e">
        <v>#N/A</v>
      </c>
      <c r="E312" s="235" t="e">
        <v>#N/A</v>
      </c>
      <c r="F312" s="235" t="e">
        <v>#N/A</v>
      </c>
      <c r="G312" s="235" t="e">
        <v>#N/A</v>
      </c>
    </row>
    <row r="313" spans="1:7">
      <c r="A313" t="e">
        <v>#N/A</v>
      </c>
      <c r="B313" t="e">
        <v>#N/A</v>
      </c>
      <c r="C313" t="e">
        <v>#N/A</v>
      </c>
      <c r="D313" t="e">
        <v>#N/A</v>
      </c>
      <c r="E313" s="235" t="e">
        <v>#N/A</v>
      </c>
      <c r="F313" s="235" t="e">
        <v>#N/A</v>
      </c>
      <c r="G313" s="235" t="e">
        <v>#N/A</v>
      </c>
    </row>
    <row r="314" spans="1:7">
      <c r="A314" t="e">
        <v>#N/A</v>
      </c>
      <c r="B314" t="e">
        <v>#N/A</v>
      </c>
      <c r="C314" t="e">
        <v>#N/A</v>
      </c>
      <c r="D314" t="e">
        <v>#N/A</v>
      </c>
      <c r="E314" s="235" t="e">
        <v>#N/A</v>
      </c>
      <c r="F314" s="235" t="e">
        <v>#N/A</v>
      </c>
      <c r="G314" s="235" t="e">
        <v>#N/A</v>
      </c>
    </row>
    <row r="315" spans="1:7">
      <c r="A315" t="e">
        <v>#N/A</v>
      </c>
      <c r="B315" t="e">
        <v>#N/A</v>
      </c>
      <c r="C315" t="e">
        <v>#N/A</v>
      </c>
      <c r="D315" t="e">
        <v>#N/A</v>
      </c>
      <c r="E315" s="235" t="e">
        <v>#N/A</v>
      </c>
      <c r="F315" s="235" t="e">
        <v>#N/A</v>
      </c>
      <c r="G315" s="235" t="e">
        <v>#N/A</v>
      </c>
    </row>
    <row r="316" spans="1:7">
      <c r="A316" t="e">
        <v>#N/A</v>
      </c>
      <c r="B316" t="e">
        <v>#N/A</v>
      </c>
      <c r="C316" t="e">
        <v>#N/A</v>
      </c>
      <c r="D316" t="e">
        <v>#N/A</v>
      </c>
      <c r="E316" s="235" t="e">
        <v>#N/A</v>
      </c>
      <c r="F316" s="235" t="e">
        <v>#N/A</v>
      </c>
      <c r="G316" s="235" t="e">
        <v>#N/A</v>
      </c>
    </row>
    <row r="317" spans="1:7">
      <c r="A317" t="e">
        <v>#N/A</v>
      </c>
      <c r="B317" t="e">
        <v>#N/A</v>
      </c>
      <c r="C317" t="e">
        <v>#N/A</v>
      </c>
      <c r="D317" t="e">
        <v>#N/A</v>
      </c>
      <c r="E317" s="235" t="e">
        <v>#N/A</v>
      </c>
      <c r="F317" s="235" t="e">
        <v>#N/A</v>
      </c>
      <c r="G317" s="235" t="e">
        <v>#N/A</v>
      </c>
    </row>
    <row r="318" spans="1:7">
      <c r="A318" t="e">
        <v>#N/A</v>
      </c>
      <c r="B318" t="e">
        <v>#N/A</v>
      </c>
      <c r="C318" t="e">
        <v>#N/A</v>
      </c>
      <c r="D318" t="e">
        <v>#N/A</v>
      </c>
      <c r="E318" s="235" t="e">
        <v>#N/A</v>
      </c>
      <c r="F318" s="235" t="e">
        <v>#N/A</v>
      </c>
      <c r="G318" s="235" t="e">
        <v>#N/A</v>
      </c>
    </row>
    <row r="319" spans="1:7">
      <c r="A319" t="e">
        <v>#N/A</v>
      </c>
      <c r="B319" t="e">
        <v>#N/A</v>
      </c>
      <c r="C319" t="e">
        <v>#N/A</v>
      </c>
      <c r="D319" t="e">
        <v>#N/A</v>
      </c>
      <c r="E319" s="235" t="e">
        <v>#N/A</v>
      </c>
      <c r="F319" s="235" t="e">
        <v>#N/A</v>
      </c>
      <c r="G319" s="235" t="e">
        <v>#N/A</v>
      </c>
    </row>
    <row r="320" spans="1:7">
      <c r="A320" t="e">
        <v>#N/A</v>
      </c>
      <c r="B320" t="e">
        <v>#N/A</v>
      </c>
      <c r="C320" t="e">
        <v>#N/A</v>
      </c>
      <c r="D320" t="e">
        <v>#N/A</v>
      </c>
      <c r="E320" s="235" t="e">
        <v>#N/A</v>
      </c>
      <c r="F320" s="235" t="e">
        <v>#N/A</v>
      </c>
      <c r="G320" s="235" t="e">
        <v>#N/A</v>
      </c>
    </row>
    <row r="321" spans="1:7">
      <c r="A321" t="e">
        <v>#N/A</v>
      </c>
      <c r="B321" t="e">
        <v>#N/A</v>
      </c>
      <c r="C321" t="e">
        <v>#N/A</v>
      </c>
      <c r="D321" t="e">
        <v>#N/A</v>
      </c>
      <c r="E321" s="235" t="e">
        <v>#N/A</v>
      </c>
      <c r="F321" s="235" t="e">
        <v>#N/A</v>
      </c>
      <c r="G321" s="235" t="e">
        <v>#N/A</v>
      </c>
    </row>
    <row r="322" spans="1:7">
      <c r="A322" t="e">
        <v>#N/A</v>
      </c>
      <c r="B322" t="e">
        <v>#N/A</v>
      </c>
      <c r="C322" t="e">
        <v>#N/A</v>
      </c>
      <c r="D322" t="e">
        <v>#N/A</v>
      </c>
      <c r="E322" s="235" t="e">
        <v>#N/A</v>
      </c>
      <c r="F322" s="235" t="e">
        <v>#N/A</v>
      </c>
      <c r="G322" s="235" t="e">
        <v>#N/A</v>
      </c>
    </row>
    <row r="323" spans="1:7">
      <c r="A323" t="e">
        <v>#N/A</v>
      </c>
      <c r="B323" t="e">
        <v>#N/A</v>
      </c>
      <c r="C323" t="e">
        <v>#N/A</v>
      </c>
      <c r="D323" t="e">
        <v>#N/A</v>
      </c>
      <c r="E323" s="235" t="e">
        <v>#N/A</v>
      </c>
      <c r="F323" s="235" t="e">
        <v>#N/A</v>
      </c>
      <c r="G323" s="235" t="e">
        <v>#N/A</v>
      </c>
    </row>
    <row r="324" spans="1:7">
      <c r="A324" t="e">
        <v>#N/A</v>
      </c>
      <c r="B324" t="e">
        <v>#N/A</v>
      </c>
      <c r="C324" t="e">
        <v>#N/A</v>
      </c>
      <c r="D324" t="e">
        <v>#N/A</v>
      </c>
      <c r="E324" s="235" t="e">
        <v>#N/A</v>
      </c>
      <c r="F324" s="235" t="e">
        <v>#N/A</v>
      </c>
      <c r="G324" s="235" t="e">
        <v>#N/A</v>
      </c>
    </row>
    <row r="325" spans="1:7">
      <c r="A325" t="e">
        <v>#N/A</v>
      </c>
      <c r="B325" t="e">
        <v>#N/A</v>
      </c>
      <c r="C325" t="e">
        <v>#N/A</v>
      </c>
      <c r="D325" t="e">
        <v>#N/A</v>
      </c>
      <c r="E325" s="235" t="e">
        <v>#N/A</v>
      </c>
      <c r="F325" s="235" t="e">
        <v>#N/A</v>
      </c>
      <c r="G325" s="235" t="e">
        <v>#N/A</v>
      </c>
    </row>
    <row r="326" spans="1:7">
      <c r="A326" t="e">
        <v>#N/A</v>
      </c>
      <c r="B326" t="e">
        <v>#N/A</v>
      </c>
      <c r="C326" t="e">
        <v>#N/A</v>
      </c>
      <c r="D326" t="e">
        <v>#N/A</v>
      </c>
      <c r="E326" s="235" t="e">
        <v>#N/A</v>
      </c>
      <c r="F326" s="235" t="e">
        <v>#N/A</v>
      </c>
      <c r="G326" s="235" t="e">
        <v>#N/A</v>
      </c>
    </row>
    <row r="327" spans="1:7">
      <c r="A327" t="e">
        <v>#N/A</v>
      </c>
      <c r="B327" t="e">
        <v>#N/A</v>
      </c>
      <c r="C327" t="e">
        <v>#N/A</v>
      </c>
      <c r="D327" t="e">
        <v>#N/A</v>
      </c>
      <c r="E327" s="235" t="e">
        <v>#N/A</v>
      </c>
      <c r="F327" s="235" t="e">
        <v>#N/A</v>
      </c>
      <c r="G327" s="235" t="e">
        <v>#N/A</v>
      </c>
    </row>
    <row r="328" spans="1:7">
      <c r="A328" t="e">
        <v>#N/A</v>
      </c>
      <c r="B328" t="e">
        <v>#N/A</v>
      </c>
      <c r="C328" t="e">
        <v>#N/A</v>
      </c>
      <c r="D328" t="e">
        <v>#N/A</v>
      </c>
      <c r="E328" s="235" t="e">
        <v>#N/A</v>
      </c>
      <c r="F328" s="235" t="e">
        <v>#N/A</v>
      </c>
      <c r="G328" s="235" t="e">
        <v>#N/A</v>
      </c>
    </row>
    <row r="329" spans="1:7">
      <c r="A329" t="e">
        <v>#N/A</v>
      </c>
      <c r="B329" t="e">
        <v>#N/A</v>
      </c>
      <c r="C329" t="e">
        <v>#N/A</v>
      </c>
      <c r="D329" t="e">
        <v>#N/A</v>
      </c>
      <c r="E329" s="235" t="e">
        <v>#N/A</v>
      </c>
      <c r="F329" s="235" t="e">
        <v>#N/A</v>
      </c>
      <c r="G329" s="235" t="e">
        <v>#N/A</v>
      </c>
    </row>
    <row r="330" spans="1:7">
      <c r="A330" t="e">
        <v>#N/A</v>
      </c>
      <c r="B330" t="e">
        <v>#N/A</v>
      </c>
      <c r="C330" t="e">
        <v>#N/A</v>
      </c>
      <c r="D330" t="e">
        <v>#N/A</v>
      </c>
      <c r="E330" s="235" t="e">
        <v>#N/A</v>
      </c>
      <c r="F330" s="235" t="e">
        <v>#N/A</v>
      </c>
      <c r="G330" s="235" t="e">
        <v>#N/A</v>
      </c>
    </row>
    <row r="331" spans="1:7">
      <c r="A331" t="e">
        <v>#N/A</v>
      </c>
      <c r="B331" t="e">
        <v>#N/A</v>
      </c>
      <c r="C331" t="e">
        <v>#N/A</v>
      </c>
      <c r="D331" t="e">
        <v>#N/A</v>
      </c>
      <c r="E331" s="235" t="e">
        <v>#N/A</v>
      </c>
      <c r="F331" s="235" t="e">
        <v>#N/A</v>
      </c>
      <c r="G331" s="235" t="e">
        <v>#N/A</v>
      </c>
    </row>
    <row r="332" spans="1:7">
      <c r="A332" t="e">
        <v>#N/A</v>
      </c>
      <c r="B332" t="e">
        <v>#N/A</v>
      </c>
      <c r="C332" t="e">
        <v>#N/A</v>
      </c>
      <c r="D332" t="e">
        <v>#N/A</v>
      </c>
      <c r="E332" s="235" t="e">
        <v>#N/A</v>
      </c>
      <c r="F332" s="235" t="e">
        <v>#N/A</v>
      </c>
      <c r="G332" s="235" t="e">
        <v>#N/A</v>
      </c>
    </row>
    <row r="333" spans="1:7">
      <c r="A333" t="e">
        <v>#N/A</v>
      </c>
      <c r="B333" t="e">
        <v>#N/A</v>
      </c>
      <c r="C333" t="e">
        <v>#N/A</v>
      </c>
      <c r="D333" t="e">
        <v>#N/A</v>
      </c>
      <c r="E333" s="235" t="e">
        <v>#N/A</v>
      </c>
      <c r="F333" s="235" t="e">
        <v>#N/A</v>
      </c>
      <c r="G333" s="235" t="e">
        <v>#N/A</v>
      </c>
    </row>
    <row r="334" spans="1:7">
      <c r="A334" t="e">
        <v>#N/A</v>
      </c>
      <c r="B334" t="e">
        <v>#N/A</v>
      </c>
      <c r="C334" t="e">
        <v>#N/A</v>
      </c>
      <c r="D334" t="e">
        <v>#N/A</v>
      </c>
      <c r="E334" s="235" t="e">
        <v>#N/A</v>
      </c>
      <c r="F334" s="235" t="e">
        <v>#N/A</v>
      </c>
      <c r="G334" s="235" t="e">
        <v>#N/A</v>
      </c>
    </row>
    <row r="335" spans="1:7">
      <c r="A335" t="e">
        <v>#N/A</v>
      </c>
      <c r="B335" t="e">
        <v>#N/A</v>
      </c>
      <c r="C335" t="e">
        <v>#N/A</v>
      </c>
      <c r="D335" t="e">
        <v>#N/A</v>
      </c>
      <c r="E335" s="235" t="e">
        <v>#N/A</v>
      </c>
      <c r="F335" s="235" t="e">
        <v>#N/A</v>
      </c>
      <c r="G335" s="235" t="e">
        <v>#N/A</v>
      </c>
    </row>
    <row r="336" spans="1:7">
      <c r="A336" t="e">
        <v>#N/A</v>
      </c>
      <c r="B336" t="e">
        <v>#N/A</v>
      </c>
      <c r="C336" t="e">
        <v>#N/A</v>
      </c>
      <c r="D336" t="e">
        <v>#N/A</v>
      </c>
      <c r="E336" s="235" t="e">
        <v>#N/A</v>
      </c>
      <c r="F336" s="235" t="e">
        <v>#N/A</v>
      </c>
      <c r="G336" s="235" t="e">
        <v>#N/A</v>
      </c>
    </row>
    <row r="337" spans="1:7">
      <c r="A337" t="e">
        <v>#N/A</v>
      </c>
      <c r="B337" t="e">
        <v>#N/A</v>
      </c>
      <c r="C337" t="e">
        <v>#N/A</v>
      </c>
      <c r="D337" t="e">
        <v>#N/A</v>
      </c>
      <c r="E337" s="235" t="e">
        <v>#N/A</v>
      </c>
      <c r="F337" s="235" t="e">
        <v>#N/A</v>
      </c>
      <c r="G337" s="235" t="e">
        <v>#N/A</v>
      </c>
    </row>
    <row r="338" spans="1:7">
      <c r="A338" t="e">
        <v>#N/A</v>
      </c>
      <c r="B338" t="e">
        <v>#N/A</v>
      </c>
      <c r="C338" t="e">
        <v>#N/A</v>
      </c>
      <c r="D338" t="e">
        <v>#N/A</v>
      </c>
      <c r="E338" s="235" t="e">
        <v>#N/A</v>
      </c>
      <c r="F338" s="235" t="e">
        <v>#N/A</v>
      </c>
      <c r="G338" s="235" t="e">
        <v>#N/A</v>
      </c>
    </row>
    <row r="339" spans="1:7">
      <c r="A339" t="e">
        <v>#N/A</v>
      </c>
      <c r="B339" t="e">
        <v>#N/A</v>
      </c>
      <c r="C339" t="e">
        <v>#N/A</v>
      </c>
      <c r="D339" t="e">
        <v>#N/A</v>
      </c>
      <c r="E339" s="235" t="e">
        <v>#N/A</v>
      </c>
      <c r="F339" s="235" t="e">
        <v>#N/A</v>
      </c>
      <c r="G339" s="235" t="e">
        <v>#N/A</v>
      </c>
    </row>
    <row r="340" spans="1:7">
      <c r="A340" t="e">
        <v>#N/A</v>
      </c>
      <c r="B340" t="e">
        <v>#N/A</v>
      </c>
      <c r="C340" t="e">
        <v>#N/A</v>
      </c>
      <c r="D340" t="e">
        <v>#N/A</v>
      </c>
      <c r="E340" s="235" t="e">
        <v>#N/A</v>
      </c>
      <c r="F340" s="235" t="e">
        <v>#N/A</v>
      </c>
      <c r="G340" s="235" t="e">
        <v>#N/A</v>
      </c>
    </row>
    <row r="341" spans="1:7">
      <c r="A341" t="e">
        <v>#N/A</v>
      </c>
      <c r="B341" t="e">
        <v>#N/A</v>
      </c>
      <c r="C341" t="e">
        <v>#N/A</v>
      </c>
      <c r="D341" t="e">
        <v>#N/A</v>
      </c>
      <c r="E341" s="235" t="e">
        <v>#N/A</v>
      </c>
      <c r="F341" s="235" t="e">
        <v>#N/A</v>
      </c>
      <c r="G341" s="235" t="e">
        <v>#N/A</v>
      </c>
    </row>
    <row r="342" spans="1:7">
      <c r="A342" t="e">
        <v>#N/A</v>
      </c>
      <c r="B342" t="e">
        <v>#N/A</v>
      </c>
      <c r="C342" t="e">
        <v>#N/A</v>
      </c>
      <c r="D342" t="e">
        <v>#N/A</v>
      </c>
      <c r="E342" s="235" t="e">
        <v>#N/A</v>
      </c>
      <c r="F342" s="235" t="e">
        <v>#N/A</v>
      </c>
      <c r="G342" s="235" t="e">
        <v>#N/A</v>
      </c>
    </row>
    <row r="343" spans="1:7">
      <c r="A343" t="e">
        <v>#N/A</v>
      </c>
      <c r="B343" t="e">
        <v>#N/A</v>
      </c>
      <c r="C343" t="e">
        <v>#N/A</v>
      </c>
      <c r="D343" t="e">
        <v>#N/A</v>
      </c>
      <c r="E343" s="235" t="e">
        <v>#N/A</v>
      </c>
      <c r="F343" s="235" t="e">
        <v>#N/A</v>
      </c>
      <c r="G343" s="235" t="e">
        <v>#N/A</v>
      </c>
    </row>
    <row r="344" spans="1:7">
      <c r="A344" t="e">
        <v>#N/A</v>
      </c>
      <c r="B344" t="e">
        <v>#N/A</v>
      </c>
      <c r="C344" t="e">
        <v>#N/A</v>
      </c>
      <c r="D344" t="e">
        <v>#N/A</v>
      </c>
      <c r="E344" s="235" t="e">
        <v>#N/A</v>
      </c>
      <c r="F344" s="235" t="e">
        <v>#N/A</v>
      </c>
      <c r="G344" s="235" t="e">
        <v>#N/A</v>
      </c>
    </row>
    <row r="345" spans="1:7">
      <c r="A345" t="e">
        <v>#N/A</v>
      </c>
      <c r="B345" t="e">
        <v>#N/A</v>
      </c>
      <c r="C345" t="e">
        <v>#N/A</v>
      </c>
      <c r="D345" t="e">
        <v>#N/A</v>
      </c>
      <c r="E345" s="235" t="e">
        <v>#N/A</v>
      </c>
      <c r="F345" s="235" t="e">
        <v>#N/A</v>
      </c>
      <c r="G345" s="235" t="e">
        <v>#N/A</v>
      </c>
    </row>
    <row r="346" spans="1:7">
      <c r="A346" t="e">
        <v>#N/A</v>
      </c>
      <c r="B346" t="e">
        <v>#N/A</v>
      </c>
      <c r="C346" t="e">
        <v>#N/A</v>
      </c>
      <c r="D346" t="e">
        <v>#N/A</v>
      </c>
      <c r="E346" s="235" t="e">
        <v>#N/A</v>
      </c>
      <c r="F346" s="235" t="e">
        <v>#N/A</v>
      </c>
      <c r="G346" s="235" t="e">
        <v>#N/A</v>
      </c>
    </row>
    <row r="347" spans="1:7">
      <c r="A347" t="e">
        <v>#N/A</v>
      </c>
      <c r="B347" t="e">
        <v>#N/A</v>
      </c>
      <c r="C347" t="e">
        <v>#N/A</v>
      </c>
      <c r="D347" t="e">
        <v>#N/A</v>
      </c>
      <c r="E347" s="235" t="e">
        <v>#N/A</v>
      </c>
      <c r="F347" s="235" t="e">
        <v>#N/A</v>
      </c>
      <c r="G347" s="235" t="e">
        <v>#N/A</v>
      </c>
    </row>
    <row r="348" spans="1:7">
      <c r="A348" t="e">
        <v>#N/A</v>
      </c>
      <c r="B348" t="e">
        <v>#N/A</v>
      </c>
      <c r="C348" t="e">
        <v>#N/A</v>
      </c>
      <c r="D348" t="e">
        <v>#N/A</v>
      </c>
      <c r="E348" s="235" t="e">
        <v>#N/A</v>
      </c>
      <c r="F348" s="235" t="e">
        <v>#N/A</v>
      </c>
      <c r="G348" s="235" t="e">
        <v>#N/A</v>
      </c>
    </row>
    <row r="349" spans="1:7">
      <c r="A349" t="e">
        <v>#N/A</v>
      </c>
      <c r="B349" t="e">
        <v>#N/A</v>
      </c>
      <c r="C349" t="e">
        <v>#N/A</v>
      </c>
      <c r="D349" t="e">
        <v>#N/A</v>
      </c>
      <c r="E349" s="235" t="e">
        <v>#N/A</v>
      </c>
      <c r="F349" s="235" t="e">
        <v>#N/A</v>
      </c>
      <c r="G349" s="235" t="e">
        <v>#N/A</v>
      </c>
    </row>
    <row r="350" spans="1:7">
      <c r="A350" t="e">
        <v>#N/A</v>
      </c>
      <c r="B350" t="e">
        <v>#N/A</v>
      </c>
      <c r="C350" t="e">
        <v>#N/A</v>
      </c>
      <c r="D350" t="e">
        <v>#N/A</v>
      </c>
      <c r="E350" s="235" t="e">
        <v>#N/A</v>
      </c>
      <c r="F350" s="235" t="e">
        <v>#N/A</v>
      </c>
      <c r="G350" s="235" t="e">
        <v>#N/A</v>
      </c>
    </row>
    <row r="351" spans="1:7">
      <c r="A351" t="e">
        <v>#N/A</v>
      </c>
      <c r="B351" t="e">
        <v>#N/A</v>
      </c>
      <c r="C351" t="e">
        <v>#N/A</v>
      </c>
      <c r="D351" t="e">
        <v>#N/A</v>
      </c>
      <c r="E351" s="235" t="e">
        <v>#N/A</v>
      </c>
      <c r="F351" s="235" t="e">
        <v>#N/A</v>
      </c>
      <c r="G351" s="235" t="e">
        <v>#N/A</v>
      </c>
    </row>
    <row r="352" spans="1:7">
      <c r="A352" t="e">
        <v>#N/A</v>
      </c>
      <c r="B352" t="e">
        <v>#N/A</v>
      </c>
      <c r="C352" t="e">
        <v>#N/A</v>
      </c>
      <c r="D352" t="e">
        <v>#N/A</v>
      </c>
      <c r="E352" s="235" t="e">
        <v>#N/A</v>
      </c>
      <c r="F352" s="235" t="e">
        <v>#N/A</v>
      </c>
      <c r="G352" s="235" t="e">
        <v>#N/A</v>
      </c>
    </row>
    <row r="353" spans="1:7">
      <c r="A353" t="e">
        <v>#N/A</v>
      </c>
      <c r="B353" t="e">
        <v>#N/A</v>
      </c>
      <c r="C353" t="e">
        <v>#N/A</v>
      </c>
      <c r="D353" t="e">
        <v>#N/A</v>
      </c>
      <c r="E353" s="235" t="e">
        <v>#N/A</v>
      </c>
      <c r="F353" s="235" t="e">
        <v>#N/A</v>
      </c>
      <c r="G353" s="235" t="e">
        <v>#N/A</v>
      </c>
    </row>
    <row r="354" spans="1:7">
      <c r="A354" t="e">
        <v>#N/A</v>
      </c>
      <c r="B354" t="e">
        <v>#N/A</v>
      </c>
      <c r="C354" t="e">
        <v>#N/A</v>
      </c>
      <c r="D354" t="e">
        <v>#N/A</v>
      </c>
      <c r="E354" s="235" t="e">
        <v>#N/A</v>
      </c>
      <c r="F354" s="235" t="e">
        <v>#N/A</v>
      </c>
      <c r="G354" s="235" t="e">
        <v>#N/A</v>
      </c>
    </row>
    <row r="355" spans="1:7">
      <c r="A355" t="e">
        <v>#N/A</v>
      </c>
      <c r="B355" t="e">
        <v>#N/A</v>
      </c>
      <c r="C355" t="e">
        <v>#N/A</v>
      </c>
      <c r="D355" t="e">
        <v>#N/A</v>
      </c>
      <c r="E355" s="235" t="e">
        <v>#N/A</v>
      </c>
      <c r="F355" s="235" t="e">
        <v>#N/A</v>
      </c>
      <c r="G355" s="235" t="e">
        <v>#N/A</v>
      </c>
    </row>
    <row r="356" spans="1:7">
      <c r="A356" t="e">
        <v>#N/A</v>
      </c>
      <c r="B356" t="e">
        <v>#N/A</v>
      </c>
      <c r="C356" t="e">
        <v>#N/A</v>
      </c>
      <c r="D356" t="e">
        <v>#N/A</v>
      </c>
      <c r="E356" s="235" t="e">
        <v>#N/A</v>
      </c>
      <c r="F356" s="235" t="e">
        <v>#N/A</v>
      </c>
      <c r="G356" s="235" t="e">
        <v>#N/A</v>
      </c>
    </row>
    <row r="357" spans="1:7">
      <c r="A357" t="e">
        <v>#N/A</v>
      </c>
      <c r="B357" t="e">
        <v>#N/A</v>
      </c>
      <c r="C357" t="e">
        <v>#N/A</v>
      </c>
      <c r="D357" t="e">
        <v>#N/A</v>
      </c>
      <c r="E357" s="235" t="e">
        <v>#N/A</v>
      </c>
      <c r="F357" s="235" t="e">
        <v>#N/A</v>
      </c>
      <c r="G357" s="235" t="e">
        <v>#N/A</v>
      </c>
    </row>
    <row r="358" spans="1:7">
      <c r="A358" t="e">
        <v>#N/A</v>
      </c>
      <c r="B358" t="e">
        <v>#N/A</v>
      </c>
      <c r="C358" t="e">
        <v>#N/A</v>
      </c>
      <c r="D358" t="e">
        <v>#N/A</v>
      </c>
      <c r="E358" s="235" t="e">
        <v>#N/A</v>
      </c>
      <c r="F358" s="235" t="e">
        <v>#N/A</v>
      </c>
      <c r="G358" s="235" t="e">
        <v>#N/A</v>
      </c>
    </row>
    <row r="359" spans="1:7">
      <c r="A359" t="e">
        <v>#N/A</v>
      </c>
      <c r="B359" t="e">
        <v>#N/A</v>
      </c>
      <c r="C359" t="e">
        <v>#N/A</v>
      </c>
      <c r="D359" t="e">
        <v>#N/A</v>
      </c>
      <c r="E359" s="235" t="e">
        <v>#N/A</v>
      </c>
      <c r="F359" s="235" t="e">
        <v>#N/A</v>
      </c>
      <c r="G359" s="235" t="e">
        <v>#N/A</v>
      </c>
    </row>
    <row r="360" spans="1:7">
      <c r="A360" t="e">
        <v>#N/A</v>
      </c>
      <c r="B360" t="e">
        <v>#N/A</v>
      </c>
      <c r="C360" t="e">
        <v>#N/A</v>
      </c>
      <c r="D360" t="e">
        <v>#N/A</v>
      </c>
      <c r="E360" s="235" t="e">
        <v>#N/A</v>
      </c>
      <c r="F360" s="235" t="e">
        <v>#N/A</v>
      </c>
      <c r="G360" s="235" t="e">
        <v>#N/A</v>
      </c>
    </row>
    <row r="361" spans="1:7">
      <c r="A361" t="e">
        <v>#N/A</v>
      </c>
      <c r="B361" t="e">
        <v>#N/A</v>
      </c>
      <c r="C361" t="e">
        <v>#N/A</v>
      </c>
      <c r="D361" t="e">
        <v>#N/A</v>
      </c>
      <c r="E361" s="235" t="e">
        <v>#N/A</v>
      </c>
      <c r="F361" s="235" t="e">
        <v>#N/A</v>
      </c>
      <c r="G361" s="235" t="e">
        <v>#N/A</v>
      </c>
    </row>
    <row r="362" spans="1:7">
      <c r="A362" t="e">
        <v>#N/A</v>
      </c>
      <c r="B362" t="e">
        <v>#N/A</v>
      </c>
      <c r="C362" t="e">
        <v>#N/A</v>
      </c>
      <c r="D362" t="e">
        <v>#N/A</v>
      </c>
      <c r="E362" s="235" t="e">
        <v>#N/A</v>
      </c>
      <c r="F362" s="235" t="e">
        <v>#N/A</v>
      </c>
      <c r="G362" s="235" t="e">
        <v>#N/A</v>
      </c>
    </row>
    <row r="363" spans="1:7">
      <c r="A363" t="e">
        <v>#N/A</v>
      </c>
      <c r="B363" t="e">
        <v>#N/A</v>
      </c>
      <c r="C363" t="e">
        <v>#N/A</v>
      </c>
      <c r="D363" t="e">
        <v>#N/A</v>
      </c>
      <c r="E363" s="235" t="e">
        <v>#N/A</v>
      </c>
      <c r="F363" s="235" t="e">
        <v>#N/A</v>
      </c>
      <c r="G363" s="235" t="e">
        <v>#N/A</v>
      </c>
    </row>
    <row r="364" spans="1:7">
      <c r="A364" t="e">
        <v>#N/A</v>
      </c>
      <c r="B364" t="e">
        <v>#N/A</v>
      </c>
      <c r="C364" t="e">
        <v>#N/A</v>
      </c>
      <c r="D364" t="e">
        <v>#N/A</v>
      </c>
      <c r="E364" s="235" t="e">
        <v>#N/A</v>
      </c>
      <c r="F364" s="235" t="e">
        <v>#N/A</v>
      </c>
      <c r="G364" s="235" t="e">
        <v>#N/A</v>
      </c>
    </row>
    <row r="365" spans="1:7">
      <c r="A365" t="e">
        <v>#N/A</v>
      </c>
      <c r="B365" t="e">
        <v>#N/A</v>
      </c>
      <c r="C365" t="e">
        <v>#N/A</v>
      </c>
      <c r="D365" t="e">
        <v>#N/A</v>
      </c>
      <c r="E365" s="235" t="e">
        <v>#N/A</v>
      </c>
      <c r="F365" s="235" t="e">
        <v>#N/A</v>
      </c>
      <c r="G365" s="235" t="e">
        <v>#N/A</v>
      </c>
    </row>
    <row r="366" spans="1:7">
      <c r="A366" t="e">
        <v>#N/A</v>
      </c>
      <c r="B366" t="e">
        <v>#N/A</v>
      </c>
      <c r="C366" t="e">
        <v>#N/A</v>
      </c>
      <c r="D366" t="e">
        <v>#N/A</v>
      </c>
      <c r="E366" s="235" t="e">
        <v>#N/A</v>
      </c>
      <c r="F366" s="235" t="e">
        <v>#N/A</v>
      </c>
      <c r="G366" s="235" t="e">
        <v>#N/A</v>
      </c>
    </row>
    <row r="367" spans="1:7">
      <c r="A367" t="e">
        <v>#N/A</v>
      </c>
      <c r="B367" t="e">
        <v>#N/A</v>
      </c>
      <c r="C367" t="e">
        <v>#N/A</v>
      </c>
      <c r="D367" t="e">
        <v>#N/A</v>
      </c>
      <c r="E367" s="235" t="e">
        <v>#N/A</v>
      </c>
      <c r="F367" s="235" t="e">
        <v>#N/A</v>
      </c>
      <c r="G367" s="235" t="e">
        <v>#N/A</v>
      </c>
    </row>
    <row r="368" spans="1:7">
      <c r="A368" t="e">
        <v>#N/A</v>
      </c>
      <c r="B368" t="e">
        <v>#N/A</v>
      </c>
      <c r="C368" t="e">
        <v>#N/A</v>
      </c>
      <c r="D368" t="e">
        <v>#N/A</v>
      </c>
      <c r="E368" s="235" t="e">
        <v>#N/A</v>
      </c>
      <c r="F368" s="235" t="e">
        <v>#N/A</v>
      </c>
      <c r="G368" s="235" t="e">
        <v>#N/A</v>
      </c>
    </row>
    <row r="369" spans="1:7">
      <c r="A369" t="e">
        <v>#N/A</v>
      </c>
      <c r="B369" t="e">
        <v>#N/A</v>
      </c>
      <c r="C369" t="e">
        <v>#N/A</v>
      </c>
      <c r="D369" t="e">
        <v>#N/A</v>
      </c>
      <c r="E369" s="235" t="e">
        <v>#N/A</v>
      </c>
      <c r="F369" s="235" t="e">
        <v>#N/A</v>
      </c>
      <c r="G369" s="235" t="e">
        <v>#N/A</v>
      </c>
    </row>
    <row r="370" spans="1:7">
      <c r="A370" t="e">
        <v>#N/A</v>
      </c>
      <c r="B370" t="e">
        <v>#N/A</v>
      </c>
      <c r="C370" t="e">
        <v>#N/A</v>
      </c>
      <c r="D370" t="e">
        <v>#N/A</v>
      </c>
      <c r="E370" s="235" t="e">
        <v>#N/A</v>
      </c>
      <c r="F370" s="235" t="e">
        <v>#N/A</v>
      </c>
      <c r="G370" s="235" t="e">
        <v>#N/A</v>
      </c>
    </row>
    <row r="371" spans="1:7">
      <c r="A371" t="e">
        <v>#N/A</v>
      </c>
      <c r="B371" t="e">
        <v>#N/A</v>
      </c>
      <c r="C371" t="e">
        <v>#N/A</v>
      </c>
      <c r="D371" t="e">
        <v>#N/A</v>
      </c>
      <c r="E371" s="235" t="e">
        <v>#N/A</v>
      </c>
      <c r="F371" s="235" t="e">
        <v>#N/A</v>
      </c>
      <c r="G371" s="235" t="e">
        <v>#N/A</v>
      </c>
    </row>
    <row r="372" spans="1:7">
      <c r="A372" t="e">
        <v>#N/A</v>
      </c>
      <c r="B372" t="e">
        <v>#N/A</v>
      </c>
      <c r="C372" t="e">
        <v>#N/A</v>
      </c>
      <c r="D372" t="e">
        <v>#N/A</v>
      </c>
      <c r="E372" s="235" t="e">
        <v>#N/A</v>
      </c>
      <c r="F372" s="235" t="e">
        <v>#N/A</v>
      </c>
      <c r="G372" s="235" t="e">
        <v>#N/A</v>
      </c>
    </row>
    <row r="373" spans="1:7">
      <c r="A373" t="e">
        <v>#N/A</v>
      </c>
      <c r="B373" t="e">
        <v>#N/A</v>
      </c>
      <c r="C373" t="e">
        <v>#N/A</v>
      </c>
      <c r="D373" t="e">
        <v>#N/A</v>
      </c>
      <c r="E373" s="235" t="e">
        <v>#N/A</v>
      </c>
      <c r="F373" s="235" t="e">
        <v>#N/A</v>
      </c>
      <c r="G373" s="235" t="e">
        <v>#N/A</v>
      </c>
    </row>
    <row r="374" spans="1:7">
      <c r="A374" t="e">
        <v>#N/A</v>
      </c>
      <c r="B374" t="e">
        <v>#N/A</v>
      </c>
      <c r="C374" t="e">
        <v>#N/A</v>
      </c>
      <c r="D374" t="e">
        <v>#N/A</v>
      </c>
      <c r="E374" s="235" t="e">
        <v>#N/A</v>
      </c>
      <c r="F374" s="235" t="e">
        <v>#N/A</v>
      </c>
      <c r="G374" s="235" t="e">
        <v>#N/A</v>
      </c>
    </row>
    <row r="375" spans="1:7">
      <c r="A375" t="e">
        <v>#N/A</v>
      </c>
      <c r="B375" t="e">
        <v>#N/A</v>
      </c>
      <c r="C375" t="e">
        <v>#N/A</v>
      </c>
      <c r="D375" t="e">
        <v>#N/A</v>
      </c>
      <c r="E375" s="235" t="e">
        <v>#N/A</v>
      </c>
      <c r="F375" s="235" t="e">
        <v>#N/A</v>
      </c>
      <c r="G375" s="235" t="e">
        <v>#N/A</v>
      </c>
    </row>
    <row r="376" spans="1:7">
      <c r="A376" t="e">
        <v>#N/A</v>
      </c>
      <c r="B376" t="e">
        <v>#N/A</v>
      </c>
      <c r="C376" t="e">
        <v>#N/A</v>
      </c>
      <c r="D376" t="e">
        <v>#N/A</v>
      </c>
      <c r="E376" s="235" t="e">
        <v>#N/A</v>
      </c>
      <c r="F376" s="235" t="e">
        <v>#N/A</v>
      </c>
      <c r="G376" s="235" t="e">
        <v>#N/A</v>
      </c>
    </row>
    <row r="377" spans="1:7">
      <c r="A377" t="e">
        <v>#N/A</v>
      </c>
      <c r="B377" t="e">
        <v>#N/A</v>
      </c>
      <c r="C377" t="e">
        <v>#N/A</v>
      </c>
      <c r="D377" t="e">
        <v>#N/A</v>
      </c>
      <c r="E377" s="235" t="e">
        <v>#N/A</v>
      </c>
      <c r="F377" s="235" t="e">
        <v>#N/A</v>
      </c>
      <c r="G377" s="235" t="e">
        <v>#N/A</v>
      </c>
    </row>
    <row r="378" spans="1:7">
      <c r="A378" t="e">
        <v>#N/A</v>
      </c>
      <c r="B378" t="e">
        <v>#N/A</v>
      </c>
      <c r="C378" t="e">
        <v>#N/A</v>
      </c>
      <c r="D378" t="e">
        <v>#N/A</v>
      </c>
      <c r="E378" s="235" t="e">
        <v>#N/A</v>
      </c>
      <c r="F378" s="235" t="e">
        <v>#N/A</v>
      </c>
      <c r="G378" s="235" t="e">
        <v>#N/A</v>
      </c>
    </row>
    <row r="379" spans="1:7">
      <c r="A379" t="e">
        <v>#N/A</v>
      </c>
      <c r="B379" t="e">
        <v>#N/A</v>
      </c>
      <c r="C379" t="e">
        <v>#N/A</v>
      </c>
      <c r="D379" t="e">
        <v>#N/A</v>
      </c>
      <c r="E379" s="235" t="e">
        <v>#N/A</v>
      </c>
      <c r="F379" s="235" t="e">
        <v>#N/A</v>
      </c>
      <c r="G379" s="235" t="e">
        <v>#N/A</v>
      </c>
    </row>
    <row r="380" spans="1:7">
      <c r="A380" t="e">
        <v>#N/A</v>
      </c>
      <c r="B380" t="e">
        <v>#N/A</v>
      </c>
      <c r="C380" t="e">
        <v>#N/A</v>
      </c>
      <c r="D380" t="e">
        <v>#N/A</v>
      </c>
      <c r="E380" s="235" t="e">
        <v>#N/A</v>
      </c>
      <c r="F380" s="235" t="e">
        <v>#N/A</v>
      </c>
      <c r="G380" s="235" t="e">
        <v>#N/A</v>
      </c>
    </row>
    <row r="381" spans="1:7">
      <c r="A381" t="e">
        <v>#N/A</v>
      </c>
      <c r="B381" t="e">
        <v>#N/A</v>
      </c>
      <c r="C381" t="e">
        <v>#N/A</v>
      </c>
      <c r="D381" t="e">
        <v>#N/A</v>
      </c>
      <c r="E381" s="235" t="e">
        <v>#N/A</v>
      </c>
      <c r="F381" s="235" t="e">
        <v>#N/A</v>
      </c>
      <c r="G381" s="235" t="e">
        <v>#N/A</v>
      </c>
    </row>
    <row r="382" spans="1:7">
      <c r="A382" t="e">
        <v>#N/A</v>
      </c>
      <c r="B382" t="e">
        <v>#N/A</v>
      </c>
      <c r="C382" t="e">
        <v>#N/A</v>
      </c>
      <c r="D382" t="e">
        <v>#N/A</v>
      </c>
      <c r="E382" s="235" t="e">
        <v>#N/A</v>
      </c>
      <c r="F382" s="235" t="e">
        <v>#N/A</v>
      </c>
      <c r="G382" s="235" t="e">
        <v>#N/A</v>
      </c>
    </row>
    <row r="383" spans="1:7">
      <c r="A383" t="e">
        <v>#N/A</v>
      </c>
      <c r="B383" t="e">
        <v>#N/A</v>
      </c>
      <c r="C383" t="e">
        <v>#N/A</v>
      </c>
      <c r="D383" t="e">
        <v>#N/A</v>
      </c>
      <c r="E383" s="235" t="e">
        <v>#N/A</v>
      </c>
      <c r="F383" s="235" t="e">
        <v>#N/A</v>
      </c>
      <c r="G383" s="235" t="e">
        <v>#N/A</v>
      </c>
    </row>
    <row r="384" spans="1:7">
      <c r="A384" t="e">
        <v>#N/A</v>
      </c>
      <c r="B384" t="e">
        <v>#N/A</v>
      </c>
      <c r="C384" t="e">
        <v>#N/A</v>
      </c>
      <c r="D384" t="e">
        <v>#N/A</v>
      </c>
      <c r="E384" s="235" t="e">
        <v>#N/A</v>
      </c>
      <c r="F384" s="235" t="e">
        <v>#N/A</v>
      </c>
      <c r="G384" s="235" t="e">
        <v>#N/A</v>
      </c>
    </row>
    <row r="385" spans="1:7">
      <c r="A385" t="e">
        <v>#N/A</v>
      </c>
      <c r="B385" t="e">
        <v>#N/A</v>
      </c>
      <c r="C385" t="e">
        <v>#N/A</v>
      </c>
      <c r="D385" t="e">
        <v>#N/A</v>
      </c>
      <c r="E385" s="235" t="e">
        <v>#N/A</v>
      </c>
      <c r="F385" s="235" t="e">
        <v>#N/A</v>
      </c>
      <c r="G385" s="235" t="e">
        <v>#N/A</v>
      </c>
    </row>
    <row r="386" spans="1:7">
      <c r="A386" t="e">
        <v>#N/A</v>
      </c>
      <c r="B386" t="e">
        <v>#N/A</v>
      </c>
      <c r="C386" t="e">
        <v>#N/A</v>
      </c>
      <c r="D386" t="e">
        <v>#N/A</v>
      </c>
      <c r="E386" s="235" t="e">
        <v>#N/A</v>
      </c>
      <c r="F386" s="235" t="e">
        <v>#N/A</v>
      </c>
      <c r="G386" s="235" t="e">
        <v>#N/A</v>
      </c>
    </row>
    <row r="387" spans="1:7">
      <c r="A387" t="e">
        <v>#N/A</v>
      </c>
      <c r="B387" t="e">
        <v>#N/A</v>
      </c>
      <c r="C387" t="e">
        <v>#N/A</v>
      </c>
      <c r="D387" t="e">
        <v>#N/A</v>
      </c>
      <c r="E387" s="235" t="e">
        <v>#N/A</v>
      </c>
      <c r="F387" s="235" t="e">
        <v>#N/A</v>
      </c>
      <c r="G387" s="235" t="e">
        <v>#N/A</v>
      </c>
    </row>
    <row r="388" spans="1:7">
      <c r="A388" t="e">
        <v>#N/A</v>
      </c>
      <c r="B388" t="e">
        <v>#N/A</v>
      </c>
      <c r="C388" t="e">
        <v>#N/A</v>
      </c>
      <c r="D388" t="e">
        <v>#N/A</v>
      </c>
      <c r="E388" s="235" t="e">
        <v>#N/A</v>
      </c>
      <c r="F388" s="235" t="e">
        <v>#N/A</v>
      </c>
      <c r="G388" s="235" t="e">
        <v>#N/A</v>
      </c>
    </row>
    <row r="389" spans="1:7">
      <c r="A389" t="e">
        <v>#N/A</v>
      </c>
      <c r="B389" t="e">
        <v>#N/A</v>
      </c>
      <c r="C389" t="e">
        <v>#N/A</v>
      </c>
      <c r="D389" t="e">
        <v>#N/A</v>
      </c>
      <c r="E389" s="235" t="e">
        <v>#N/A</v>
      </c>
      <c r="F389" s="235" t="e">
        <v>#N/A</v>
      </c>
      <c r="G389" s="235" t="e">
        <v>#N/A</v>
      </c>
    </row>
    <row r="390" spans="1:7">
      <c r="A390" t="e">
        <v>#N/A</v>
      </c>
      <c r="B390" t="e">
        <v>#N/A</v>
      </c>
      <c r="C390" t="e">
        <v>#N/A</v>
      </c>
      <c r="D390" t="e">
        <v>#N/A</v>
      </c>
      <c r="E390" s="235" t="e">
        <v>#N/A</v>
      </c>
      <c r="F390" s="235" t="e">
        <v>#N/A</v>
      </c>
      <c r="G390" s="235" t="e">
        <v>#N/A</v>
      </c>
    </row>
    <row r="391" spans="1:7">
      <c r="A391" t="e">
        <v>#N/A</v>
      </c>
      <c r="B391" t="e">
        <v>#N/A</v>
      </c>
      <c r="C391" t="e">
        <v>#N/A</v>
      </c>
      <c r="D391" t="e">
        <v>#N/A</v>
      </c>
      <c r="E391" s="235" t="e">
        <v>#N/A</v>
      </c>
      <c r="F391" s="235" t="e">
        <v>#N/A</v>
      </c>
      <c r="G391" s="235" t="e">
        <v>#N/A</v>
      </c>
    </row>
    <row r="392" spans="1:7">
      <c r="A392" t="e">
        <v>#N/A</v>
      </c>
      <c r="B392" t="e">
        <v>#N/A</v>
      </c>
      <c r="C392" t="e">
        <v>#N/A</v>
      </c>
      <c r="D392" t="e">
        <v>#N/A</v>
      </c>
      <c r="E392" s="235" t="e">
        <v>#N/A</v>
      </c>
      <c r="F392" s="235" t="e">
        <v>#N/A</v>
      </c>
      <c r="G392" s="235" t="e">
        <v>#N/A</v>
      </c>
    </row>
    <row r="393" spans="1:7">
      <c r="A393" t="e">
        <v>#N/A</v>
      </c>
      <c r="B393" t="e">
        <v>#N/A</v>
      </c>
      <c r="C393" t="e">
        <v>#N/A</v>
      </c>
      <c r="D393" t="e">
        <v>#N/A</v>
      </c>
      <c r="E393" s="235" t="e">
        <v>#N/A</v>
      </c>
      <c r="F393" s="235" t="e">
        <v>#N/A</v>
      </c>
      <c r="G393" s="235" t="e">
        <v>#N/A</v>
      </c>
    </row>
    <row r="394" spans="1:7">
      <c r="A394" t="e">
        <v>#N/A</v>
      </c>
      <c r="B394" t="e">
        <v>#N/A</v>
      </c>
      <c r="C394" t="e">
        <v>#N/A</v>
      </c>
      <c r="D394" t="e">
        <v>#N/A</v>
      </c>
      <c r="E394" s="235" t="e">
        <v>#N/A</v>
      </c>
      <c r="F394" s="235" t="e">
        <v>#N/A</v>
      </c>
      <c r="G394" s="235" t="e">
        <v>#N/A</v>
      </c>
    </row>
    <row r="395" spans="1:7">
      <c r="A395" t="e">
        <v>#N/A</v>
      </c>
      <c r="B395" t="e">
        <v>#N/A</v>
      </c>
      <c r="C395" t="e">
        <v>#N/A</v>
      </c>
      <c r="D395" t="e">
        <v>#N/A</v>
      </c>
      <c r="E395" s="235" t="e">
        <v>#N/A</v>
      </c>
      <c r="F395" s="235" t="e">
        <v>#N/A</v>
      </c>
      <c r="G395" s="235" t="e">
        <v>#N/A</v>
      </c>
    </row>
    <row r="396" spans="1:7">
      <c r="A396" t="e">
        <v>#N/A</v>
      </c>
      <c r="B396" t="e">
        <v>#N/A</v>
      </c>
      <c r="C396" t="e">
        <v>#N/A</v>
      </c>
      <c r="D396" t="e">
        <v>#N/A</v>
      </c>
      <c r="E396" s="235" t="e">
        <v>#N/A</v>
      </c>
      <c r="F396" s="235" t="e">
        <v>#N/A</v>
      </c>
      <c r="G396" s="235" t="e">
        <v>#N/A</v>
      </c>
    </row>
    <row r="397" spans="1:7">
      <c r="A397" t="e">
        <v>#N/A</v>
      </c>
      <c r="B397" t="e">
        <v>#N/A</v>
      </c>
      <c r="C397" t="e">
        <v>#N/A</v>
      </c>
      <c r="D397" t="e">
        <v>#N/A</v>
      </c>
      <c r="E397" s="235" t="e">
        <v>#N/A</v>
      </c>
      <c r="F397" s="235" t="e">
        <v>#N/A</v>
      </c>
      <c r="G397" s="235" t="e">
        <v>#N/A</v>
      </c>
    </row>
    <row r="398" spans="1:7">
      <c r="A398" t="e">
        <v>#N/A</v>
      </c>
      <c r="B398" t="e">
        <v>#N/A</v>
      </c>
      <c r="C398" t="e">
        <v>#N/A</v>
      </c>
      <c r="D398" t="e">
        <v>#N/A</v>
      </c>
      <c r="E398" s="235" t="e">
        <v>#N/A</v>
      </c>
      <c r="F398" s="235" t="e">
        <v>#N/A</v>
      </c>
      <c r="G398" s="235" t="e">
        <v>#N/A</v>
      </c>
    </row>
    <row r="399" spans="1:7">
      <c r="A399" t="e">
        <v>#N/A</v>
      </c>
      <c r="B399" t="e">
        <v>#N/A</v>
      </c>
      <c r="C399" t="e">
        <v>#N/A</v>
      </c>
      <c r="D399" t="e">
        <v>#N/A</v>
      </c>
      <c r="E399" s="235" t="e">
        <v>#N/A</v>
      </c>
      <c r="F399" s="235" t="e">
        <v>#N/A</v>
      </c>
      <c r="G399" s="235" t="e">
        <v>#N/A</v>
      </c>
    </row>
    <row r="400" spans="1:7">
      <c r="A400" t="e">
        <v>#N/A</v>
      </c>
      <c r="B400" t="e">
        <v>#N/A</v>
      </c>
      <c r="C400" t="e">
        <v>#N/A</v>
      </c>
      <c r="D400" t="e">
        <v>#N/A</v>
      </c>
      <c r="E400" s="235" t="e">
        <v>#N/A</v>
      </c>
      <c r="F400" s="235" t="e">
        <v>#N/A</v>
      </c>
      <c r="G400" s="235" t="e">
        <v>#N/A</v>
      </c>
    </row>
    <row r="401" spans="1:7">
      <c r="A401" t="e">
        <v>#N/A</v>
      </c>
      <c r="B401" t="e">
        <v>#N/A</v>
      </c>
      <c r="C401" t="e">
        <v>#N/A</v>
      </c>
      <c r="D401" t="e">
        <v>#N/A</v>
      </c>
      <c r="E401" s="235" t="e">
        <v>#N/A</v>
      </c>
      <c r="F401" s="235" t="e">
        <v>#N/A</v>
      </c>
      <c r="G401" s="235" t="e">
        <v>#N/A</v>
      </c>
    </row>
    <row r="402" spans="1:7">
      <c r="A402" t="e">
        <v>#N/A</v>
      </c>
      <c r="B402" t="e">
        <v>#N/A</v>
      </c>
      <c r="C402" t="e">
        <v>#N/A</v>
      </c>
      <c r="D402" t="e">
        <v>#N/A</v>
      </c>
      <c r="E402" s="235" t="e">
        <v>#N/A</v>
      </c>
      <c r="F402" s="235" t="e">
        <v>#N/A</v>
      </c>
      <c r="G402" s="235" t="e">
        <v>#N/A</v>
      </c>
    </row>
    <row r="403" spans="1:7">
      <c r="A403" t="e">
        <v>#N/A</v>
      </c>
      <c r="B403" t="e">
        <v>#N/A</v>
      </c>
      <c r="C403" t="e">
        <v>#N/A</v>
      </c>
      <c r="D403" t="e">
        <v>#N/A</v>
      </c>
      <c r="E403" s="235" t="e">
        <v>#N/A</v>
      </c>
      <c r="F403" s="235" t="e">
        <v>#N/A</v>
      </c>
      <c r="G403" s="235" t="e">
        <v>#N/A</v>
      </c>
    </row>
    <row r="404" spans="1:7">
      <c r="A404" t="e">
        <v>#N/A</v>
      </c>
      <c r="B404" t="e">
        <v>#N/A</v>
      </c>
      <c r="C404" t="e">
        <v>#N/A</v>
      </c>
      <c r="D404" t="e">
        <v>#N/A</v>
      </c>
      <c r="E404" s="235" t="e">
        <v>#N/A</v>
      </c>
      <c r="F404" s="235" t="e">
        <v>#N/A</v>
      </c>
      <c r="G404" s="235" t="e">
        <v>#N/A</v>
      </c>
    </row>
    <row r="405" spans="1:7">
      <c r="A405" t="e">
        <v>#N/A</v>
      </c>
      <c r="B405" t="e">
        <v>#N/A</v>
      </c>
      <c r="C405" t="e">
        <v>#N/A</v>
      </c>
      <c r="D405" t="e">
        <v>#N/A</v>
      </c>
      <c r="E405" s="235" t="e">
        <v>#N/A</v>
      </c>
      <c r="F405" s="235" t="e">
        <v>#N/A</v>
      </c>
      <c r="G405" s="235" t="e">
        <v>#N/A</v>
      </c>
    </row>
    <row r="406" spans="1:7">
      <c r="A406" t="e">
        <v>#N/A</v>
      </c>
      <c r="B406" t="e">
        <v>#N/A</v>
      </c>
      <c r="C406" t="e">
        <v>#N/A</v>
      </c>
      <c r="D406" t="e">
        <v>#N/A</v>
      </c>
      <c r="E406" s="235" t="e">
        <v>#N/A</v>
      </c>
      <c r="F406" s="235" t="e">
        <v>#N/A</v>
      </c>
      <c r="G406" s="235" t="e">
        <v>#N/A</v>
      </c>
    </row>
    <row r="407" spans="1:7">
      <c r="A407" t="e">
        <v>#N/A</v>
      </c>
      <c r="B407" t="e">
        <v>#N/A</v>
      </c>
      <c r="C407" t="e">
        <v>#N/A</v>
      </c>
      <c r="D407" t="e">
        <v>#N/A</v>
      </c>
      <c r="E407" s="235" t="e">
        <v>#N/A</v>
      </c>
      <c r="F407" s="235" t="e">
        <v>#N/A</v>
      </c>
      <c r="G407" s="235" t="e">
        <v>#N/A</v>
      </c>
    </row>
    <row r="408" spans="1:7">
      <c r="A408" t="e">
        <v>#N/A</v>
      </c>
      <c r="B408" t="e">
        <v>#N/A</v>
      </c>
      <c r="C408" t="e">
        <v>#N/A</v>
      </c>
      <c r="D408" t="e">
        <v>#N/A</v>
      </c>
      <c r="E408" s="235" t="e">
        <v>#N/A</v>
      </c>
      <c r="F408" s="235" t="e">
        <v>#N/A</v>
      </c>
      <c r="G408" s="235" t="e">
        <v>#N/A</v>
      </c>
    </row>
    <row r="409" spans="1:7">
      <c r="A409" t="e">
        <v>#N/A</v>
      </c>
      <c r="B409" t="e">
        <v>#N/A</v>
      </c>
      <c r="C409" t="e">
        <v>#N/A</v>
      </c>
      <c r="D409" t="e">
        <v>#N/A</v>
      </c>
      <c r="E409" s="235" t="e">
        <v>#N/A</v>
      </c>
      <c r="F409" s="235" t="e">
        <v>#N/A</v>
      </c>
      <c r="G409" s="235" t="e">
        <v>#N/A</v>
      </c>
    </row>
    <row r="410" spans="1:7">
      <c r="A410" t="e">
        <v>#N/A</v>
      </c>
      <c r="B410" t="e">
        <v>#N/A</v>
      </c>
      <c r="C410" t="e">
        <v>#N/A</v>
      </c>
      <c r="D410" t="e">
        <v>#N/A</v>
      </c>
      <c r="E410" s="235" t="e">
        <v>#N/A</v>
      </c>
      <c r="F410" s="235" t="e">
        <v>#N/A</v>
      </c>
      <c r="G410" s="235" t="e">
        <v>#N/A</v>
      </c>
    </row>
    <row r="411" spans="1:7">
      <c r="A411" t="e">
        <v>#N/A</v>
      </c>
      <c r="B411" t="e">
        <v>#N/A</v>
      </c>
      <c r="C411" t="e">
        <v>#N/A</v>
      </c>
      <c r="D411" t="e">
        <v>#N/A</v>
      </c>
      <c r="E411" s="235" t="e">
        <v>#N/A</v>
      </c>
      <c r="F411" s="235" t="e">
        <v>#N/A</v>
      </c>
      <c r="G411" s="235" t="e">
        <v>#N/A</v>
      </c>
    </row>
    <row r="412" spans="1:7">
      <c r="A412" t="e">
        <v>#N/A</v>
      </c>
      <c r="B412" t="e">
        <v>#N/A</v>
      </c>
      <c r="C412" t="e">
        <v>#N/A</v>
      </c>
      <c r="D412" t="e">
        <v>#N/A</v>
      </c>
      <c r="E412" s="235" t="e">
        <v>#N/A</v>
      </c>
      <c r="F412" s="235" t="e">
        <v>#N/A</v>
      </c>
      <c r="G412" s="235" t="e">
        <v>#N/A</v>
      </c>
    </row>
    <row r="413" spans="1:7">
      <c r="A413" t="e">
        <v>#N/A</v>
      </c>
      <c r="B413" t="e">
        <v>#N/A</v>
      </c>
      <c r="C413" t="e">
        <v>#N/A</v>
      </c>
      <c r="D413" t="e">
        <v>#N/A</v>
      </c>
      <c r="E413" s="235" t="e">
        <v>#N/A</v>
      </c>
      <c r="F413" s="235" t="e">
        <v>#N/A</v>
      </c>
      <c r="G413" s="235" t="e">
        <v>#N/A</v>
      </c>
    </row>
    <row r="414" spans="1:7">
      <c r="A414" t="e">
        <v>#N/A</v>
      </c>
      <c r="B414" t="e">
        <v>#N/A</v>
      </c>
      <c r="C414" t="e">
        <v>#N/A</v>
      </c>
      <c r="D414" t="e">
        <v>#N/A</v>
      </c>
      <c r="E414" s="235" t="e">
        <v>#N/A</v>
      </c>
      <c r="F414" s="235" t="e">
        <v>#N/A</v>
      </c>
      <c r="G414" s="235" t="e">
        <v>#N/A</v>
      </c>
    </row>
    <row r="415" spans="1:7">
      <c r="A415" t="e">
        <v>#N/A</v>
      </c>
      <c r="B415" t="e">
        <v>#N/A</v>
      </c>
      <c r="C415" t="e">
        <v>#N/A</v>
      </c>
      <c r="D415" t="e">
        <v>#N/A</v>
      </c>
      <c r="E415" s="235" t="e">
        <v>#N/A</v>
      </c>
      <c r="F415" s="235" t="e">
        <v>#N/A</v>
      </c>
      <c r="G415" s="235" t="e">
        <v>#N/A</v>
      </c>
    </row>
    <row r="416" spans="1:7">
      <c r="A416" t="e">
        <v>#N/A</v>
      </c>
      <c r="B416" t="e">
        <v>#N/A</v>
      </c>
      <c r="C416" t="e">
        <v>#N/A</v>
      </c>
      <c r="D416" t="e">
        <v>#N/A</v>
      </c>
      <c r="E416" s="235" t="e">
        <v>#N/A</v>
      </c>
      <c r="F416" s="235" t="e">
        <v>#N/A</v>
      </c>
      <c r="G416" s="235" t="e">
        <v>#N/A</v>
      </c>
    </row>
    <row r="417" spans="1:7">
      <c r="A417" t="e">
        <v>#N/A</v>
      </c>
      <c r="B417" t="e">
        <v>#N/A</v>
      </c>
      <c r="C417" t="e">
        <v>#N/A</v>
      </c>
      <c r="D417" t="e">
        <v>#N/A</v>
      </c>
      <c r="E417" s="235" t="e">
        <v>#N/A</v>
      </c>
      <c r="F417" s="235" t="e">
        <v>#N/A</v>
      </c>
      <c r="G417" s="235" t="e">
        <v>#N/A</v>
      </c>
    </row>
    <row r="418" spans="1:7">
      <c r="A418" t="e">
        <v>#N/A</v>
      </c>
      <c r="B418" t="e">
        <v>#N/A</v>
      </c>
      <c r="C418" t="e">
        <v>#N/A</v>
      </c>
      <c r="D418" t="e">
        <v>#N/A</v>
      </c>
      <c r="E418" s="235" t="e">
        <v>#N/A</v>
      </c>
      <c r="F418" s="235" t="e">
        <v>#N/A</v>
      </c>
      <c r="G418" s="235" t="e">
        <v>#N/A</v>
      </c>
    </row>
    <row r="419" spans="1:7">
      <c r="A419" t="e">
        <v>#N/A</v>
      </c>
      <c r="B419" t="e">
        <v>#N/A</v>
      </c>
      <c r="C419" t="e">
        <v>#N/A</v>
      </c>
      <c r="D419" t="e">
        <v>#N/A</v>
      </c>
      <c r="E419" s="235" t="e">
        <v>#N/A</v>
      </c>
      <c r="F419" s="235" t="e">
        <v>#N/A</v>
      </c>
      <c r="G419" s="235" t="e">
        <v>#N/A</v>
      </c>
    </row>
    <row r="420" spans="1:7">
      <c r="A420" t="e">
        <v>#N/A</v>
      </c>
      <c r="B420" t="e">
        <v>#N/A</v>
      </c>
      <c r="C420" t="e">
        <v>#N/A</v>
      </c>
      <c r="D420" t="e">
        <v>#N/A</v>
      </c>
      <c r="E420" s="235" t="e">
        <v>#N/A</v>
      </c>
      <c r="F420" s="235" t="e">
        <v>#N/A</v>
      </c>
      <c r="G420" s="235" t="e">
        <v>#N/A</v>
      </c>
    </row>
    <row r="421" spans="1:7">
      <c r="A421" t="e">
        <v>#N/A</v>
      </c>
      <c r="B421" t="e">
        <v>#N/A</v>
      </c>
      <c r="C421" t="e">
        <v>#N/A</v>
      </c>
      <c r="D421" t="e">
        <v>#N/A</v>
      </c>
      <c r="E421" s="235" t="e">
        <v>#N/A</v>
      </c>
      <c r="F421" s="235" t="e">
        <v>#N/A</v>
      </c>
      <c r="G421" s="235" t="e">
        <v>#N/A</v>
      </c>
    </row>
    <row r="422" spans="1:7">
      <c r="A422" t="e">
        <v>#N/A</v>
      </c>
      <c r="B422" t="e">
        <v>#N/A</v>
      </c>
      <c r="C422" t="e">
        <v>#N/A</v>
      </c>
      <c r="D422" t="e">
        <v>#N/A</v>
      </c>
      <c r="E422" s="235" t="e">
        <v>#N/A</v>
      </c>
      <c r="F422" s="235" t="e">
        <v>#N/A</v>
      </c>
      <c r="G422" s="235" t="e">
        <v>#N/A</v>
      </c>
    </row>
    <row r="423" spans="1:7">
      <c r="A423" t="e">
        <v>#N/A</v>
      </c>
      <c r="B423" t="e">
        <v>#N/A</v>
      </c>
      <c r="C423" t="e">
        <v>#N/A</v>
      </c>
      <c r="D423" t="e">
        <v>#N/A</v>
      </c>
      <c r="E423" s="235" t="e">
        <v>#N/A</v>
      </c>
      <c r="F423" s="235" t="e">
        <v>#N/A</v>
      </c>
      <c r="G423" s="235" t="e">
        <v>#N/A</v>
      </c>
    </row>
    <row r="424" spans="1:7">
      <c r="A424" t="e">
        <v>#N/A</v>
      </c>
      <c r="B424" t="e">
        <v>#N/A</v>
      </c>
      <c r="C424" t="e">
        <v>#N/A</v>
      </c>
      <c r="D424" t="e">
        <v>#N/A</v>
      </c>
      <c r="E424" s="235" t="e">
        <v>#N/A</v>
      </c>
      <c r="F424" s="235" t="e">
        <v>#N/A</v>
      </c>
      <c r="G424" s="235" t="e">
        <v>#N/A</v>
      </c>
    </row>
    <row r="425" spans="1:7">
      <c r="A425" t="e">
        <v>#N/A</v>
      </c>
      <c r="B425" t="e">
        <v>#N/A</v>
      </c>
      <c r="C425" t="e">
        <v>#N/A</v>
      </c>
      <c r="D425" t="e">
        <v>#N/A</v>
      </c>
      <c r="E425" s="235" t="e">
        <v>#N/A</v>
      </c>
      <c r="F425" s="235" t="e">
        <v>#N/A</v>
      </c>
      <c r="G425" s="235" t="e">
        <v>#N/A</v>
      </c>
    </row>
    <row r="426" spans="1:7">
      <c r="A426" t="e">
        <v>#N/A</v>
      </c>
      <c r="B426" t="e">
        <v>#N/A</v>
      </c>
      <c r="C426" t="e">
        <v>#N/A</v>
      </c>
      <c r="D426" t="e">
        <v>#N/A</v>
      </c>
      <c r="E426" s="235" t="e">
        <v>#N/A</v>
      </c>
      <c r="F426" s="235" t="e">
        <v>#N/A</v>
      </c>
      <c r="G426" s="235" t="e">
        <v>#N/A</v>
      </c>
    </row>
    <row r="427" spans="1:7">
      <c r="A427" t="e">
        <v>#N/A</v>
      </c>
      <c r="B427" t="e">
        <v>#N/A</v>
      </c>
      <c r="C427" t="e">
        <v>#N/A</v>
      </c>
      <c r="D427" t="e">
        <v>#N/A</v>
      </c>
      <c r="E427" s="235" t="e">
        <v>#N/A</v>
      </c>
      <c r="F427" s="235" t="e">
        <v>#N/A</v>
      </c>
      <c r="G427" s="235" t="e">
        <v>#N/A</v>
      </c>
    </row>
    <row r="428" spans="1:7">
      <c r="A428" t="e">
        <v>#N/A</v>
      </c>
      <c r="B428" t="e">
        <v>#N/A</v>
      </c>
      <c r="C428" t="e">
        <v>#N/A</v>
      </c>
      <c r="D428" t="e">
        <v>#N/A</v>
      </c>
      <c r="E428" s="235" t="e">
        <v>#N/A</v>
      </c>
      <c r="F428" s="235" t="e">
        <v>#N/A</v>
      </c>
      <c r="G428" s="235" t="e">
        <v>#N/A</v>
      </c>
    </row>
    <row r="429" spans="1:7">
      <c r="A429" t="e">
        <v>#N/A</v>
      </c>
      <c r="B429" t="e">
        <v>#N/A</v>
      </c>
      <c r="C429" t="e">
        <v>#N/A</v>
      </c>
      <c r="D429" t="e">
        <v>#N/A</v>
      </c>
      <c r="E429" s="235" t="e">
        <v>#N/A</v>
      </c>
      <c r="F429" s="235" t="e">
        <v>#N/A</v>
      </c>
      <c r="G429" s="235" t="e">
        <v>#N/A</v>
      </c>
    </row>
    <row r="430" spans="1:7">
      <c r="A430" t="e">
        <v>#N/A</v>
      </c>
      <c r="B430" t="e">
        <v>#N/A</v>
      </c>
      <c r="C430" t="e">
        <v>#N/A</v>
      </c>
      <c r="D430" t="e">
        <v>#N/A</v>
      </c>
      <c r="E430" s="235" t="e">
        <v>#N/A</v>
      </c>
      <c r="F430" s="235" t="e">
        <v>#N/A</v>
      </c>
      <c r="G430" s="235" t="e">
        <v>#N/A</v>
      </c>
    </row>
    <row r="431" spans="1:7">
      <c r="A431" t="e">
        <v>#N/A</v>
      </c>
      <c r="B431" t="e">
        <v>#N/A</v>
      </c>
      <c r="C431" t="e">
        <v>#N/A</v>
      </c>
      <c r="D431" t="e">
        <v>#N/A</v>
      </c>
      <c r="E431" s="235" t="e">
        <v>#N/A</v>
      </c>
      <c r="F431" s="235" t="e">
        <v>#N/A</v>
      </c>
      <c r="G431" s="235" t="e">
        <v>#N/A</v>
      </c>
    </row>
    <row r="432" spans="1:7">
      <c r="A432" t="e">
        <v>#N/A</v>
      </c>
      <c r="B432" t="e">
        <v>#N/A</v>
      </c>
      <c r="C432" t="e">
        <v>#N/A</v>
      </c>
      <c r="D432" t="e">
        <v>#N/A</v>
      </c>
      <c r="E432" s="235" t="e">
        <v>#N/A</v>
      </c>
      <c r="F432" s="235" t="e">
        <v>#N/A</v>
      </c>
      <c r="G432" s="235" t="e">
        <v>#N/A</v>
      </c>
    </row>
    <row r="433" spans="1:7">
      <c r="A433" t="e">
        <v>#N/A</v>
      </c>
      <c r="B433" t="e">
        <v>#N/A</v>
      </c>
      <c r="C433" t="e">
        <v>#N/A</v>
      </c>
      <c r="D433" t="e">
        <v>#N/A</v>
      </c>
      <c r="E433" s="235" t="e">
        <v>#N/A</v>
      </c>
      <c r="F433" s="235" t="e">
        <v>#N/A</v>
      </c>
      <c r="G433" s="235" t="e">
        <v>#N/A</v>
      </c>
    </row>
    <row r="434" spans="1:7">
      <c r="A434" t="e">
        <v>#N/A</v>
      </c>
      <c r="B434" t="e">
        <v>#N/A</v>
      </c>
      <c r="C434" t="e">
        <v>#N/A</v>
      </c>
      <c r="D434" t="e">
        <v>#N/A</v>
      </c>
      <c r="E434" s="235" t="e">
        <v>#N/A</v>
      </c>
      <c r="F434" s="235" t="e">
        <v>#N/A</v>
      </c>
      <c r="G434" s="235" t="e">
        <v>#N/A</v>
      </c>
    </row>
    <row r="435" spans="1:7">
      <c r="A435" t="e">
        <v>#N/A</v>
      </c>
      <c r="B435" t="e">
        <v>#N/A</v>
      </c>
      <c r="C435" t="e">
        <v>#N/A</v>
      </c>
      <c r="D435" t="e">
        <v>#N/A</v>
      </c>
      <c r="E435" s="235" t="e">
        <v>#N/A</v>
      </c>
      <c r="F435" s="235" t="e">
        <v>#N/A</v>
      </c>
      <c r="G435" s="235" t="e">
        <v>#N/A</v>
      </c>
    </row>
    <row r="436" spans="1:7">
      <c r="A436" t="e">
        <v>#N/A</v>
      </c>
      <c r="B436" t="e">
        <v>#N/A</v>
      </c>
      <c r="C436" t="e">
        <v>#N/A</v>
      </c>
      <c r="D436" t="e">
        <v>#N/A</v>
      </c>
      <c r="E436" s="235" t="e">
        <v>#N/A</v>
      </c>
      <c r="F436" s="235" t="e">
        <v>#N/A</v>
      </c>
      <c r="G436" s="235" t="e">
        <v>#N/A</v>
      </c>
    </row>
    <row r="437" spans="1:7">
      <c r="A437" t="e">
        <v>#N/A</v>
      </c>
      <c r="B437" t="e">
        <v>#N/A</v>
      </c>
      <c r="C437" t="e">
        <v>#N/A</v>
      </c>
      <c r="D437" t="e">
        <v>#N/A</v>
      </c>
      <c r="E437" s="235" t="e">
        <v>#N/A</v>
      </c>
      <c r="F437" s="235" t="e">
        <v>#N/A</v>
      </c>
      <c r="G437" s="235" t="e">
        <v>#N/A</v>
      </c>
    </row>
    <row r="438" spans="1:7">
      <c r="A438" t="e">
        <v>#N/A</v>
      </c>
      <c r="B438" t="e">
        <v>#N/A</v>
      </c>
      <c r="C438" t="e">
        <v>#N/A</v>
      </c>
      <c r="D438" t="e">
        <v>#N/A</v>
      </c>
      <c r="E438" s="235" t="e">
        <v>#N/A</v>
      </c>
      <c r="F438" s="235" t="e">
        <v>#N/A</v>
      </c>
      <c r="G438" s="235" t="e">
        <v>#N/A</v>
      </c>
    </row>
    <row r="439" spans="1:7">
      <c r="A439" t="e">
        <v>#N/A</v>
      </c>
      <c r="B439" t="e">
        <v>#N/A</v>
      </c>
      <c r="C439" t="e">
        <v>#N/A</v>
      </c>
      <c r="D439" t="e">
        <v>#N/A</v>
      </c>
      <c r="E439" s="235" t="e">
        <v>#N/A</v>
      </c>
      <c r="F439" s="235" t="e">
        <v>#N/A</v>
      </c>
      <c r="G439" s="235" t="e">
        <v>#N/A</v>
      </c>
    </row>
    <row r="440" spans="1:7">
      <c r="A440" t="e">
        <v>#N/A</v>
      </c>
      <c r="B440" t="e">
        <v>#N/A</v>
      </c>
      <c r="C440" t="e">
        <v>#N/A</v>
      </c>
      <c r="D440" t="e">
        <v>#N/A</v>
      </c>
      <c r="E440" s="235" t="e">
        <v>#N/A</v>
      </c>
      <c r="F440" s="235" t="e">
        <v>#N/A</v>
      </c>
      <c r="G440" s="235" t="e">
        <v>#N/A</v>
      </c>
    </row>
    <row r="441" spans="1:7">
      <c r="A441" t="e">
        <v>#N/A</v>
      </c>
      <c r="B441" t="e">
        <v>#N/A</v>
      </c>
      <c r="C441" t="e">
        <v>#N/A</v>
      </c>
      <c r="D441" t="e">
        <v>#N/A</v>
      </c>
      <c r="E441" s="235" t="e">
        <v>#N/A</v>
      </c>
      <c r="F441" s="235" t="e">
        <v>#N/A</v>
      </c>
      <c r="G441" s="235" t="e">
        <v>#N/A</v>
      </c>
    </row>
    <row r="442" spans="1:7">
      <c r="A442" t="e">
        <v>#N/A</v>
      </c>
      <c r="B442" t="e">
        <v>#N/A</v>
      </c>
      <c r="C442" t="e">
        <v>#N/A</v>
      </c>
      <c r="D442" t="e">
        <v>#N/A</v>
      </c>
      <c r="E442" s="235" t="e">
        <v>#N/A</v>
      </c>
      <c r="F442" s="235" t="e">
        <v>#N/A</v>
      </c>
      <c r="G442" s="235" t="e">
        <v>#N/A</v>
      </c>
    </row>
    <row r="443" spans="1:7">
      <c r="A443" t="e">
        <v>#N/A</v>
      </c>
      <c r="B443" t="e">
        <v>#N/A</v>
      </c>
      <c r="C443" t="e">
        <v>#N/A</v>
      </c>
      <c r="D443" t="e">
        <v>#N/A</v>
      </c>
      <c r="E443" s="235" t="e">
        <v>#N/A</v>
      </c>
      <c r="F443" s="235" t="e">
        <v>#N/A</v>
      </c>
      <c r="G443" s="235" t="e">
        <v>#N/A</v>
      </c>
    </row>
    <row r="444" spans="1:7">
      <c r="A444" t="e">
        <v>#N/A</v>
      </c>
      <c r="B444" t="e">
        <v>#N/A</v>
      </c>
      <c r="C444" t="e">
        <v>#N/A</v>
      </c>
      <c r="D444" t="e">
        <v>#N/A</v>
      </c>
      <c r="E444" s="235" t="e">
        <v>#N/A</v>
      </c>
      <c r="F444" s="235" t="e">
        <v>#N/A</v>
      </c>
      <c r="G444" s="235" t="e">
        <v>#N/A</v>
      </c>
    </row>
    <row r="445" spans="1:7">
      <c r="A445" t="e">
        <v>#N/A</v>
      </c>
      <c r="B445" t="e">
        <v>#N/A</v>
      </c>
      <c r="C445" t="e">
        <v>#N/A</v>
      </c>
      <c r="D445" t="e">
        <v>#N/A</v>
      </c>
      <c r="E445" s="235" t="e">
        <v>#N/A</v>
      </c>
      <c r="F445" s="235" t="e">
        <v>#N/A</v>
      </c>
      <c r="G445" s="235" t="e">
        <v>#N/A</v>
      </c>
    </row>
    <row r="446" spans="1:7">
      <c r="A446" t="e">
        <v>#N/A</v>
      </c>
      <c r="B446" t="e">
        <v>#N/A</v>
      </c>
      <c r="C446" t="e">
        <v>#N/A</v>
      </c>
      <c r="D446" t="e">
        <v>#N/A</v>
      </c>
      <c r="E446" s="235" t="e">
        <v>#N/A</v>
      </c>
      <c r="F446" s="235" t="e">
        <v>#N/A</v>
      </c>
      <c r="G446" s="235" t="e">
        <v>#N/A</v>
      </c>
    </row>
    <row r="447" spans="1:7">
      <c r="A447" t="e">
        <v>#N/A</v>
      </c>
      <c r="B447" t="e">
        <v>#N/A</v>
      </c>
      <c r="C447" t="e">
        <v>#N/A</v>
      </c>
      <c r="D447" t="e">
        <v>#N/A</v>
      </c>
      <c r="E447" s="235" t="e">
        <v>#N/A</v>
      </c>
      <c r="F447" s="235" t="e">
        <v>#N/A</v>
      </c>
      <c r="G447" s="235" t="e">
        <v>#N/A</v>
      </c>
    </row>
    <row r="448" spans="1:7">
      <c r="A448" t="e">
        <v>#N/A</v>
      </c>
      <c r="B448" t="e">
        <v>#N/A</v>
      </c>
      <c r="C448" t="e">
        <v>#N/A</v>
      </c>
      <c r="D448" t="e">
        <v>#N/A</v>
      </c>
      <c r="E448" s="235" t="e">
        <v>#N/A</v>
      </c>
      <c r="F448" s="235" t="e">
        <v>#N/A</v>
      </c>
      <c r="G448" s="235" t="e">
        <v>#N/A</v>
      </c>
    </row>
    <row r="449" spans="1:7">
      <c r="A449" t="e">
        <v>#N/A</v>
      </c>
      <c r="B449" t="e">
        <v>#N/A</v>
      </c>
      <c r="C449" t="e">
        <v>#N/A</v>
      </c>
      <c r="D449" t="e">
        <v>#N/A</v>
      </c>
      <c r="E449" s="235" t="e">
        <v>#N/A</v>
      </c>
      <c r="F449" s="235" t="e">
        <v>#N/A</v>
      </c>
      <c r="G449" s="235" t="e">
        <v>#N/A</v>
      </c>
    </row>
    <row r="450" spans="1:7">
      <c r="A450" t="e">
        <v>#N/A</v>
      </c>
      <c r="B450" t="e">
        <v>#N/A</v>
      </c>
      <c r="C450" t="e">
        <v>#N/A</v>
      </c>
      <c r="D450" t="e">
        <v>#N/A</v>
      </c>
      <c r="E450" s="235" t="e">
        <v>#N/A</v>
      </c>
      <c r="F450" s="235" t="e">
        <v>#N/A</v>
      </c>
      <c r="G450" s="235" t="e">
        <v>#N/A</v>
      </c>
    </row>
    <row r="451" spans="1:7">
      <c r="A451" t="e">
        <v>#N/A</v>
      </c>
      <c r="B451" t="e">
        <v>#N/A</v>
      </c>
      <c r="C451" t="e">
        <v>#N/A</v>
      </c>
      <c r="D451" t="e">
        <v>#N/A</v>
      </c>
      <c r="E451" s="235" t="e">
        <v>#N/A</v>
      </c>
      <c r="F451" s="235" t="e">
        <v>#N/A</v>
      </c>
      <c r="G451" s="235" t="e">
        <v>#N/A</v>
      </c>
    </row>
    <row r="452" spans="1:7">
      <c r="A452" t="e">
        <v>#N/A</v>
      </c>
      <c r="B452" t="e">
        <v>#N/A</v>
      </c>
      <c r="C452" t="e">
        <v>#N/A</v>
      </c>
      <c r="D452" t="e">
        <v>#N/A</v>
      </c>
      <c r="E452" s="235" t="e">
        <v>#N/A</v>
      </c>
      <c r="F452" s="235" t="e">
        <v>#N/A</v>
      </c>
      <c r="G452" s="235" t="e">
        <v>#N/A</v>
      </c>
    </row>
    <row r="453" spans="1:7">
      <c r="A453" t="e">
        <v>#N/A</v>
      </c>
      <c r="B453" t="e">
        <v>#N/A</v>
      </c>
      <c r="C453" t="e">
        <v>#N/A</v>
      </c>
      <c r="D453" t="e">
        <v>#N/A</v>
      </c>
      <c r="E453" s="235" t="e">
        <v>#N/A</v>
      </c>
      <c r="F453" s="235" t="e">
        <v>#N/A</v>
      </c>
      <c r="G453" s="235" t="e">
        <v>#N/A</v>
      </c>
    </row>
    <row r="454" spans="1:7">
      <c r="A454" t="e">
        <v>#N/A</v>
      </c>
      <c r="B454" t="e">
        <v>#N/A</v>
      </c>
      <c r="C454" t="e">
        <v>#N/A</v>
      </c>
      <c r="D454" t="e">
        <v>#N/A</v>
      </c>
      <c r="E454" s="235" t="e">
        <v>#N/A</v>
      </c>
      <c r="F454" s="235" t="e">
        <v>#N/A</v>
      </c>
      <c r="G454" s="235" t="e">
        <v>#N/A</v>
      </c>
    </row>
    <row r="455" spans="1:7">
      <c r="A455" t="e">
        <v>#N/A</v>
      </c>
      <c r="B455" t="e">
        <v>#N/A</v>
      </c>
      <c r="C455" t="e">
        <v>#N/A</v>
      </c>
      <c r="D455" t="e">
        <v>#N/A</v>
      </c>
      <c r="E455" s="235" t="e">
        <v>#N/A</v>
      </c>
      <c r="F455" s="235" t="e">
        <v>#N/A</v>
      </c>
      <c r="G455" s="235" t="e">
        <v>#N/A</v>
      </c>
    </row>
    <row r="456" spans="1:7">
      <c r="A456" t="e">
        <v>#N/A</v>
      </c>
      <c r="B456" t="e">
        <v>#N/A</v>
      </c>
      <c r="C456" t="e">
        <v>#N/A</v>
      </c>
      <c r="D456" t="e">
        <v>#N/A</v>
      </c>
      <c r="E456" s="235" t="e">
        <v>#N/A</v>
      </c>
      <c r="F456" s="235" t="e">
        <v>#N/A</v>
      </c>
      <c r="G456" s="235" t="e">
        <v>#N/A</v>
      </c>
    </row>
    <row r="457" spans="1:7">
      <c r="A457" t="e">
        <v>#N/A</v>
      </c>
      <c r="B457" t="e">
        <v>#N/A</v>
      </c>
      <c r="C457" t="e">
        <v>#N/A</v>
      </c>
      <c r="D457" t="e">
        <v>#N/A</v>
      </c>
      <c r="E457" s="235" t="e">
        <v>#N/A</v>
      </c>
      <c r="F457" s="235" t="e">
        <v>#N/A</v>
      </c>
      <c r="G457" s="235" t="e">
        <v>#N/A</v>
      </c>
    </row>
    <row r="458" spans="1:7">
      <c r="A458" t="e">
        <v>#N/A</v>
      </c>
      <c r="B458" t="e">
        <v>#N/A</v>
      </c>
      <c r="C458" t="e">
        <v>#N/A</v>
      </c>
      <c r="D458" t="e">
        <v>#N/A</v>
      </c>
      <c r="E458" s="235" t="e">
        <v>#N/A</v>
      </c>
      <c r="F458" s="235" t="e">
        <v>#N/A</v>
      </c>
      <c r="G458" s="235" t="e">
        <v>#N/A</v>
      </c>
    </row>
    <row r="459" spans="1:7">
      <c r="A459" t="e">
        <v>#N/A</v>
      </c>
      <c r="B459" t="e">
        <v>#N/A</v>
      </c>
      <c r="C459" t="e">
        <v>#N/A</v>
      </c>
      <c r="D459" t="e">
        <v>#N/A</v>
      </c>
      <c r="E459" s="235" t="e">
        <v>#N/A</v>
      </c>
      <c r="F459" s="235" t="e">
        <v>#N/A</v>
      </c>
      <c r="G459" s="235" t="e">
        <v>#N/A</v>
      </c>
    </row>
    <row r="460" spans="1:7">
      <c r="A460" t="e">
        <v>#N/A</v>
      </c>
      <c r="B460" t="e">
        <v>#N/A</v>
      </c>
      <c r="C460" t="e">
        <v>#N/A</v>
      </c>
      <c r="D460" t="e">
        <v>#N/A</v>
      </c>
      <c r="E460" s="235" t="e">
        <v>#N/A</v>
      </c>
      <c r="F460" s="235" t="e">
        <v>#N/A</v>
      </c>
      <c r="G460" s="235" t="e">
        <v>#N/A</v>
      </c>
    </row>
    <row r="461" spans="1:7">
      <c r="A461" t="e">
        <v>#N/A</v>
      </c>
      <c r="B461" t="e">
        <v>#N/A</v>
      </c>
      <c r="C461" t="e">
        <v>#N/A</v>
      </c>
      <c r="D461" t="e">
        <v>#N/A</v>
      </c>
      <c r="E461" s="235" t="e">
        <v>#N/A</v>
      </c>
      <c r="F461" s="235" t="e">
        <v>#N/A</v>
      </c>
      <c r="G461" s="235" t="e">
        <v>#N/A</v>
      </c>
    </row>
    <row r="462" spans="1:7">
      <c r="A462" t="e">
        <v>#N/A</v>
      </c>
      <c r="B462" t="e">
        <v>#N/A</v>
      </c>
      <c r="C462" t="e">
        <v>#N/A</v>
      </c>
      <c r="D462" t="e">
        <v>#N/A</v>
      </c>
      <c r="E462" s="235" t="e">
        <v>#N/A</v>
      </c>
      <c r="F462" s="235" t="e">
        <v>#N/A</v>
      </c>
      <c r="G462" s="235" t="e">
        <v>#N/A</v>
      </c>
    </row>
    <row r="463" spans="1:7">
      <c r="A463" t="e">
        <v>#N/A</v>
      </c>
      <c r="B463" t="e">
        <v>#N/A</v>
      </c>
      <c r="C463" t="e">
        <v>#N/A</v>
      </c>
      <c r="D463" t="e">
        <v>#N/A</v>
      </c>
      <c r="E463" s="235" t="e">
        <v>#N/A</v>
      </c>
      <c r="F463" s="235" t="e">
        <v>#N/A</v>
      </c>
      <c r="G463" s="235" t="e">
        <v>#N/A</v>
      </c>
    </row>
    <row r="464" spans="1:7">
      <c r="A464" t="e">
        <v>#N/A</v>
      </c>
      <c r="B464" t="e">
        <v>#N/A</v>
      </c>
      <c r="C464" t="e">
        <v>#N/A</v>
      </c>
      <c r="D464" t="e">
        <v>#N/A</v>
      </c>
      <c r="E464" s="235" t="e">
        <v>#N/A</v>
      </c>
      <c r="F464" s="235" t="e">
        <v>#N/A</v>
      </c>
      <c r="G464" s="235" t="e">
        <v>#N/A</v>
      </c>
    </row>
    <row r="465" spans="1:7">
      <c r="A465" t="e">
        <v>#N/A</v>
      </c>
      <c r="B465" t="e">
        <v>#N/A</v>
      </c>
      <c r="C465" t="e">
        <v>#N/A</v>
      </c>
      <c r="D465" t="e">
        <v>#N/A</v>
      </c>
      <c r="E465" s="235" t="e">
        <v>#N/A</v>
      </c>
      <c r="F465" s="235" t="e">
        <v>#N/A</v>
      </c>
      <c r="G465" s="235" t="e">
        <v>#N/A</v>
      </c>
    </row>
    <row r="466" spans="1:7">
      <c r="A466" t="e">
        <v>#N/A</v>
      </c>
      <c r="B466" t="e">
        <v>#N/A</v>
      </c>
      <c r="C466" t="e">
        <v>#N/A</v>
      </c>
      <c r="D466" t="e">
        <v>#N/A</v>
      </c>
      <c r="E466" s="235" t="e">
        <v>#N/A</v>
      </c>
      <c r="F466" s="235" t="e">
        <v>#N/A</v>
      </c>
      <c r="G466" s="235" t="e">
        <v>#N/A</v>
      </c>
    </row>
    <row r="467" spans="1:7">
      <c r="A467" t="e">
        <v>#N/A</v>
      </c>
      <c r="B467" t="e">
        <v>#N/A</v>
      </c>
      <c r="C467" t="e">
        <v>#N/A</v>
      </c>
      <c r="D467" t="e">
        <v>#N/A</v>
      </c>
      <c r="E467" s="235" t="e">
        <v>#N/A</v>
      </c>
      <c r="F467" s="235" t="e">
        <v>#N/A</v>
      </c>
      <c r="G467" s="235" t="e">
        <v>#N/A</v>
      </c>
    </row>
    <row r="468" spans="1:7">
      <c r="A468" t="e">
        <v>#N/A</v>
      </c>
      <c r="B468" t="e">
        <v>#N/A</v>
      </c>
      <c r="C468" t="e">
        <v>#N/A</v>
      </c>
      <c r="D468" t="e">
        <v>#N/A</v>
      </c>
      <c r="E468" s="235" t="e">
        <v>#N/A</v>
      </c>
      <c r="F468" s="235" t="e">
        <v>#N/A</v>
      </c>
      <c r="G468" s="235" t="e">
        <v>#N/A</v>
      </c>
    </row>
    <row r="469" spans="1:7">
      <c r="A469" t="e">
        <v>#N/A</v>
      </c>
      <c r="B469" t="e">
        <v>#N/A</v>
      </c>
      <c r="C469" t="e">
        <v>#N/A</v>
      </c>
      <c r="D469" t="e">
        <v>#N/A</v>
      </c>
      <c r="E469" s="235" t="e">
        <v>#N/A</v>
      </c>
      <c r="F469" s="235" t="e">
        <v>#N/A</v>
      </c>
      <c r="G469" s="235" t="e">
        <v>#N/A</v>
      </c>
    </row>
    <row r="470" spans="1:7">
      <c r="A470" t="e">
        <v>#N/A</v>
      </c>
      <c r="B470" t="e">
        <v>#N/A</v>
      </c>
      <c r="C470" t="e">
        <v>#N/A</v>
      </c>
      <c r="D470" t="e">
        <v>#N/A</v>
      </c>
      <c r="E470" s="235" t="e">
        <v>#N/A</v>
      </c>
      <c r="F470" s="235" t="e">
        <v>#N/A</v>
      </c>
      <c r="G470" s="235" t="e">
        <v>#N/A</v>
      </c>
    </row>
    <row r="471" spans="1:7">
      <c r="A471" t="e">
        <v>#N/A</v>
      </c>
      <c r="B471" t="e">
        <v>#N/A</v>
      </c>
      <c r="C471" t="e">
        <v>#N/A</v>
      </c>
      <c r="D471" t="e">
        <v>#N/A</v>
      </c>
      <c r="E471" s="235" t="e">
        <v>#N/A</v>
      </c>
      <c r="F471" s="235" t="e">
        <v>#N/A</v>
      </c>
      <c r="G471" s="235" t="e">
        <v>#N/A</v>
      </c>
    </row>
    <row r="472" spans="1:7">
      <c r="A472" t="e">
        <v>#N/A</v>
      </c>
      <c r="B472" t="e">
        <v>#N/A</v>
      </c>
      <c r="C472" t="e">
        <v>#N/A</v>
      </c>
      <c r="D472" t="e">
        <v>#N/A</v>
      </c>
      <c r="E472" s="235" t="e">
        <v>#N/A</v>
      </c>
      <c r="F472" s="235" t="e">
        <v>#N/A</v>
      </c>
      <c r="G472" s="235" t="e">
        <v>#N/A</v>
      </c>
    </row>
    <row r="473" spans="1:7">
      <c r="A473" t="e">
        <v>#N/A</v>
      </c>
      <c r="B473" t="e">
        <v>#N/A</v>
      </c>
      <c r="C473" t="e">
        <v>#N/A</v>
      </c>
      <c r="D473" t="e">
        <v>#N/A</v>
      </c>
      <c r="E473" s="235" t="e">
        <v>#N/A</v>
      </c>
      <c r="F473" s="235" t="e">
        <v>#N/A</v>
      </c>
      <c r="G473" s="235" t="e">
        <v>#N/A</v>
      </c>
    </row>
    <row r="474" spans="1:7">
      <c r="A474" t="e">
        <v>#N/A</v>
      </c>
      <c r="B474" t="e">
        <v>#N/A</v>
      </c>
      <c r="C474" t="e">
        <v>#N/A</v>
      </c>
      <c r="D474" t="e">
        <v>#N/A</v>
      </c>
      <c r="E474" s="235" t="e">
        <v>#N/A</v>
      </c>
      <c r="F474" s="235" t="e">
        <v>#N/A</v>
      </c>
      <c r="G474" s="235" t="e">
        <v>#N/A</v>
      </c>
    </row>
    <row r="475" spans="1:7">
      <c r="A475" t="e">
        <v>#N/A</v>
      </c>
      <c r="B475" t="e">
        <v>#N/A</v>
      </c>
      <c r="C475" t="e">
        <v>#N/A</v>
      </c>
      <c r="D475" t="e">
        <v>#N/A</v>
      </c>
      <c r="E475" s="235" t="e">
        <v>#N/A</v>
      </c>
      <c r="F475" s="235" t="e">
        <v>#N/A</v>
      </c>
      <c r="G475" s="235" t="e">
        <v>#N/A</v>
      </c>
    </row>
    <row r="476" spans="1:7">
      <c r="A476" t="e">
        <v>#N/A</v>
      </c>
      <c r="B476" t="e">
        <v>#N/A</v>
      </c>
      <c r="C476" t="e">
        <v>#N/A</v>
      </c>
      <c r="D476" t="e">
        <v>#N/A</v>
      </c>
      <c r="E476" s="235" t="e">
        <v>#N/A</v>
      </c>
      <c r="F476" s="235" t="e">
        <v>#N/A</v>
      </c>
      <c r="G476" s="235" t="e">
        <v>#N/A</v>
      </c>
    </row>
    <row r="477" spans="1:7">
      <c r="A477" t="e">
        <v>#N/A</v>
      </c>
      <c r="B477" t="e">
        <v>#N/A</v>
      </c>
      <c r="C477" t="e">
        <v>#N/A</v>
      </c>
      <c r="D477" t="e">
        <v>#N/A</v>
      </c>
      <c r="E477" s="235" t="e">
        <v>#N/A</v>
      </c>
      <c r="F477" s="235" t="e">
        <v>#N/A</v>
      </c>
      <c r="G477" s="235" t="e">
        <v>#N/A</v>
      </c>
    </row>
    <row r="478" spans="1:7">
      <c r="A478" t="e">
        <v>#N/A</v>
      </c>
      <c r="B478" t="e">
        <v>#N/A</v>
      </c>
      <c r="C478" t="e">
        <v>#N/A</v>
      </c>
      <c r="D478" t="e">
        <v>#N/A</v>
      </c>
      <c r="E478" s="235" t="e">
        <v>#N/A</v>
      </c>
      <c r="F478" s="235" t="e">
        <v>#N/A</v>
      </c>
      <c r="G478" s="235" t="e">
        <v>#N/A</v>
      </c>
    </row>
    <row r="479" spans="1:7">
      <c r="A479" t="e">
        <v>#N/A</v>
      </c>
      <c r="B479" t="e">
        <v>#N/A</v>
      </c>
      <c r="C479" t="e">
        <v>#N/A</v>
      </c>
      <c r="D479" t="e">
        <v>#N/A</v>
      </c>
      <c r="E479" s="235" t="e">
        <v>#N/A</v>
      </c>
      <c r="F479" s="235" t="e">
        <v>#N/A</v>
      </c>
      <c r="G479" s="235" t="e">
        <v>#N/A</v>
      </c>
    </row>
    <row r="480" spans="1:7">
      <c r="A480" t="e">
        <v>#N/A</v>
      </c>
      <c r="B480" t="e">
        <v>#N/A</v>
      </c>
      <c r="C480" t="e">
        <v>#N/A</v>
      </c>
      <c r="D480" t="e">
        <v>#N/A</v>
      </c>
      <c r="E480" s="235" t="e">
        <v>#N/A</v>
      </c>
      <c r="F480" s="235" t="e">
        <v>#N/A</v>
      </c>
      <c r="G480" s="235" t="e">
        <v>#N/A</v>
      </c>
    </row>
    <row r="481" spans="1:7">
      <c r="A481" t="e">
        <v>#N/A</v>
      </c>
      <c r="B481" t="e">
        <v>#N/A</v>
      </c>
      <c r="C481" t="e">
        <v>#N/A</v>
      </c>
      <c r="D481" t="e">
        <v>#N/A</v>
      </c>
      <c r="E481" s="235" t="e">
        <v>#N/A</v>
      </c>
      <c r="F481" s="235" t="e">
        <v>#N/A</v>
      </c>
      <c r="G481" s="235" t="e">
        <v>#N/A</v>
      </c>
    </row>
    <row r="482" spans="1:7">
      <c r="A482" t="e">
        <v>#N/A</v>
      </c>
      <c r="B482" t="e">
        <v>#N/A</v>
      </c>
      <c r="C482" t="e">
        <v>#N/A</v>
      </c>
      <c r="D482" t="e">
        <v>#N/A</v>
      </c>
      <c r="E482" s="235" t="e">
        <v>#N/A</v>
      </c>
      <c r="F482" s="235" t="e">
        <v>#N/A</v>
      </c>
      <c r="G482" s="235" t="e">
        <v>#N/A</v>
      </c>
    </row>
    <row r="483" spans="1:7">
      <c r="A483" t="e">
        <v>#N/A</v>
      </c>
      <c r="B483" t="e">
        <v>#N/A</v>
      </c>
      <c r="C483" t="e">
        <v>#N/A</v>
      </c>
      <c r="D483" t="e">
        <v>#N/A</v>
      </c>
      <c r="E483" s="235" t="e">
        <v>#N/A</v>
      </c>
      <c r="F483" s="235" t="e">
        <v>#N/A</v>
      </c>
      <c r="G483" s="235" t="e">
        <v>#N/A</v>
      </c>
    </row>
    <row r="484" spans="1:7">
      <c r="A484" t="e">
        <v>#N/A</v>
      </c>
      <c r="B484" t="e">
        <v>#N/A</v>
      </c>
      <c r="C484" t="e">
        <v>#N/A</v>
      </c>
      <c r="D484" t="e">
        <v>#N/A</v>
      </c>
      <c r="E484" s="235" t="e">
        <v>#N/A</v>
      </c>
      <c r="F484" s="235" t="e">
        <v>#N/A</v>
      </c>
      <c r="G484" s="235" t="e">
        <v>#N/A</v>
      </c>
    </row>
    <row r="485" spans="1:7">
      <c r="A485" t="e">
        <v>#N/A</v>
      </c>
      <c r="B485" t="e">
        <v>#N/A</v>
      </c>
      <c r="C485" t="e">
        <v>#N/A</v>
      </c>
      <c r="D485" t="e">
        <v>#N/A</v>
      </c>
      <c r="E485" s="235" t="e">
        <v>#N/A</v>
      </c>
      <c r="F485" s="235" t="e">
        <v>#N/A</v>
      </c>
      <c r="G485" s="235" t="e">
        <v>#N/A</v>
      </c>
    </row>
    <row r="486" spans="1:7">
      <c r="A486" t="e">
        <v>#N/A</v>
      </c>
      <c r="B486" t="e">
        <v>#N/A</v>
      </c>
      <c r="C486" t="e">
        <v>#N/A</v>
      </c>
      <c r="D486" t="e">
        <v>#N/A</v>
      </c>
      <c r="E486" s="235" t="e">
        <v>#N/A</v>
      </c>
      <c r="F486" s="235" t="e">
        <v>#N/A</v>
      </c>
      <c r="G486" s="235" t="e">
        <v>#N/A</v>
      </c>
    </row>
    <row r="487" spans="1:7">
      <c r="A487" t="e">
        <v>#N/A</v>
      </c>
      <c r="B487" t="e">
        <v>#N/A</v>
      </c>
      <c r="C487" t="e">
        <v>#N/A</v>
      </c>
      <c r="D487" t="e">
        <v>#N/A</v>
      </c>
      <c r="E487" s="235" t="e">
        <v>#N/A</v>
      </c>
      <c r="F487" s="235" t="e">
        <v>#N/A</v>
      </c>
      <c r="G487" s="235" t="e">
        <v>#N/A</v>
      </c>
    </row>
    <row r="488" spans="1:7">
      <c r="A488" t="e">
        <v>#N/A</v>
      </c>
      <c r="B488" t="e">
        <v>#N/A</v>
      </c>
      <c r="C488" t="e">
        <v>#N/A</v>
      </c>
      <c r="D488" t="e">
        <v>#N/A</v>
      </c>
      <c r="E488" s="235" t="e">
        <v>#N/A</v>
      </c>
      <c r="F488" s="235" t="e">
        <v>#N/A</v>
      </c>
      <c r="G488" s="235" t="e">
        <v>#N/A</v>
      </c>
    </row>
    <row r="489" spans="1:7">
      <c r="A489" t="e">
        <v>#N/A</v>
      </c>
      <c r="B489" t="e">
        <v>#N/A</v>
      </c>
      <c r="C489" t="e">
        <v>#N/A</v>
      </c>
      <c r="D489" t="e">
        <v>#N/A</v>
      </c>
      <c r="E489" s="235" t="e">
        <v>#N/A</v>
      </c>
      <c r="F489" s="235" t="e">
        <v>#N/A</v>
      </c>
      <c r="G489" s="235" t="e">
        <v>#N/A</v>
      </c>
    </row>
    <row r="490" spans="1:7">
      <c r="A490" t="e">
        <v>#N/A</v>
      </c>
      <c r="B490" t="e">
        <v>#N/A</v>
      </c>
      <c r="C490" t="e">
        <v>#N/A</v>
      </c>
      <c r="D490" t="e">
        <v>#N/A</v>
      </c>
      <c r="E490" s="235" t="e">
        <v>#N/A</v>
      </c>
      <c r="F490" s="235" t="e">
        <v>#N/A</v>
      </c>
      <c r="G490" s="235" t="e">
        <v>#N/A</v>
      </c>
    </row>
    <row r="491" spans="1:7">
      <c r="A491" t="e">
        <v>#N/A</v>
      </c>
      <c r="B491" t="e">
        <v>#N/A</v>
      </c>
      <c r="C491" t="e">
        <v>#N/A</v>
      </c>
      <c r="D491" t="e">
        <v>#N/A</v>
      </c>
      <c r="E491" s="235" t="e">
        <v>#N/A</v>
      </c>
      <c r="F491" s="235" t="e">
        <v>#N/A</v>
      </c>
      <c r="G491" s="235" t="e">
        <v>#N/A</v>
      </c>
    </row>
    <row r="492" spans="1:7">
      <c r="A492" t="e">
        <v>#N/A</v>
      </c>
      <c r="B492" t="e">
        <v>#N/A</v>
      </c>
      <c r="C492" t="e">
        <v>#N/A</v>
      </c>
      <c r="D492" t="e">
        <v>#N/A</v>
      </c>
      <c r="E492" s="235" t="e">
        <v>#N/A</v>
      </c>
      <c r="F492" s="235" t="e">
        <v>#N/A</v>
      </c>
      <c r="G492" s="235" t="e">
        <v>#N/A</v>
      </c>
    </row>
    <row r="493" spans="1:7">
      <c r="A493" t="e">
        <v>#N/A</v>
      </c>
      <c r="B493" t="e">
        <v>#N/A</v>
      </c>
      <c r="C493" t="e">
        <v>#N/A</v>
      </c>
      <c r="D493" t="e">
        <v>#N/A</v>
      </c>
      <c r="E493" s="235" t="e">
        <v>#N/A</v>
      </c>
      <c r="F493" s="235" t="e">
        <v>#N/A</v>
      </c>
      <c r="G493" s="235" t="e">
        <v>#N/A</v>
      </c>
    </row>
    <row r="494" spans="1:7">
      <c r="A494" t="e">
        <v>#N/A</v>
      </c>
      <c r="B494" t="e">
        <v>#N/A</v>
      </c>
      <c r="C494" t="e">
        <v>#N/A</v>
      </c>
      <c r="D494" t="e">
        <v>#N/A</v>
      </c>
      <c r="E494" s="235" t="e">
        <v>#N/A</v>
      </c>
      <c r="F494" s="235" t="e">
        <v>#N/A</v>
      </c>
      <c r="G494" s="235" t="e">
        <v>#N/A</v>
      </c>
    </row>
    <row r="495" spans="1:7">
      <c r="A495" t="e">
        <v>#N/A</v>
      </c>
      <c r="B495" t="e">
        <v>#N/A</v>
      </c>
      <c r="C495" t="e">
        <v>#N/A</v>
      </c>
      <c r="D495" t="e">
        <v>#N/A</v>
      </c>
      <c r="E495" s="235" t="e">
        <v>#N/A</v>
      </c>
      <c r="F495" s="235" t="e">
        <v>#N/A</v>
      </c>
      <c r="G495" s="235" t="e">
        <v>#N/A</v>
      </c>
    </row>
    <row r="496" spans="1:7">
      <c r="A496" t="e">
        <v>#N/A</v>
      </c>
      <c r="B496" t="e">
        <v>#N/A</v>
      </c>
      <c r="C496" t="e">
        <v>#N/A</v>
      </c>
      <c r="D496" t="e">
        <v>#N/A</v>
      </c>
      <c r="E496" s="235" t="e">
        <v>#N/A</v>
      </c>
      <c r="F496" s="235" t="e">
        <v>#N/A</v>
      </c>
      <c r="G496" s="235" t="e">
        <v>#N/A</v>
      </c>
    </row>
    <row r="497" spans="1:7">
      <c r="A497" t="e">
        <v>#N/A</v>
      </c>
      <c r="B497" t="e">
        <v>#N/A</v>
      </c>
      <c r="C497" t="e">
        <v>#N/A</v>
      </c>
      <c r="D497" t="e">
        <v>#N/A</v>
      </c>
      <c r="E497" s="235" t="e">
        <v>#N/A</v>
      </c>
      <c r="F497" s="235" t="e">
        <v>#N/A</v>
      </c>
      <c r="G497" s="235" t="e">
        <v>#N/A</v>
      </c>
    </row>
    <row r="498" spans="1:7">
      <c r="A498" t="e">
        <v>#N/A</v>
      </c>
      <c r="B498" t="e">
        <v>#N/A</v>
      </c>
      <c r="C498" t="e">
        <v>#N/A</v>
      </c>
      <c r="D498" t="e">
        <v>#N/A</v>
      </c>
      <c r="E498" s="235" t="e">
        <v>#N/A</v>
      </c>
      <c r="F498" s="235" t="e">
        <v>#N/A</v>
      </c>
      <c r="G498" s="235" t="e">
        <v>#N/A</v>
      </c>
    </row>
    <row r="499" spans="1:7">
      <c r="A499" t="e">
        <v>#N/A</v>
      </c>
      <c r="B499" t="e">
        <v>#N/A</v>
      </c>
      <c r="C499" t="e">
        <v>#N/A</v>
      </c>
      <c r="D499" t="e">
        <v>#N/A</v>
      </c>
      <c r="E499" s="235" t="e">
        <v>#N/A</v>
      </c>
      <c r="F499" s="235" t="e">
        <v>#N/A</v>
      </c>
      <c r="G499" s="235" t="e">
        <v>#N/A</v>
      </c>
    </row>
    <row r="500" spans="1:7">
      <c r="A500" t="e">
        <v>#N/A</v>
      </c>
      <c r="B500" t="e">
        <v>#N/A</v>
      </c>
      <c r="C500" t="e">
        <v>#N/A</v>
      </c>
      <c r="D500" t="e">
        <v>#N/A</v>
      </c>
      <c r="E500" s="235" t="e">
        <v>#N/A</v>
      </c>
      <c r="F500" s="235" t="e">
        <v>#N/A</v>
      </c>
      <c r="G500" s="235" t="e">
        <v>#N/A</v>
      </c>
    </row>
    <row r="501" spans="1:7">
      <c r="A501" t="e">
        <v>#N/A</v>
      </c>
      <c r="B501" t="e">
        <v>#N/A</v>
      </c>
      <c r="C501" t="e">
        <v>#N/A</v>
      </c>
      <c r="D501" t="e">
        <v>#N/A</v>
      </c>
      <c r="E501" s="235" t="e">
        <v>#N/A</v>
      </c>
      <c r="F501" s="235" t="e">
        <v>#N/A</v>
      </c>
      <c r="G501" s="235" t="e">
        <v>#N/A</v>
      </c>
    </row>
    <row r="502" spans="1:7">
      <c r="A502" t="e">
        <v>#N/A</v>
      </c>
      <c r="B502" t="e">
        <v>#N/A</v>
      </c>
      <c r="C502" t="e">
        <v>#N/A</v>
      </c>
      <c r="D502" t="e">
        <v>#N/A</v>
      </c>
      <c r="E502" s="235" t="e">
        <v>#N/A</v>
      </c>
      <c r="F502" s="235" t="e">
        <v>#N/A</v>
      </c>
      <c r="G502" s="235" t="e">
        <v>#N/A</v>
      </c>
    </row>
    <row r="503" spans="1:7">
      <c r="A503" t="e">
        <v>#N/A</v>
      </c>
      <c r="B503" t="e">
        <v>#N/A</v>
      </c>
      <c r="C503" t="e">
        <v>#N/A</v>
      </c>
      <c r="D503" t="e">
        <v>#N/A</v>
      </c>
      <c r="E503" s="235" t="e">
        <v>#N/A</v>
      </c>
      <c r="F503" s="235" t="e">
        <v>#N/A</v>
      </c>
      <c r="G503" s="235" t="e">
        <v>#N/A</v>
      </c>
    </row>
    <row r="504" spans="1:7">
      <c r="A504" t="e">
        <v>#N/A</v>
      </c>
      <c r="B504" t="e">
        <v>#N/A</v>
      </c>
      <c r="C504" t="e">
        <v>#N/A</v>
      </c>
      <c r="D504" t="e">
        <v>#N/A</v>
      </c>
      <c r="E504" s="235" t="e">
        <v>#N/A</v>
      </c>
      <c r="F504" s="235" t="e">
        <v>#N/A</v>
      </c>
      <c r="G504" s="235" t="e">
        <v>#N/A</v>
      </c>
    </row>
    <row r="505" spans="1:7">
      <c r="A505" t="e">
        <v>#N/A</v>
      </c>
      <c r="B505" t="e">
        <v>#N/A</v>
      </c>
      <c r="C505" t="e">
        <v>#N/A</v>
      </c>
      <c r="D505" t="e">
        <v>#N/A</v>
      </c>
      <c r="E505" s="235" t="e">
        <v>#N/A</v>
      </c>
      <c r="F505" s="235" t="e">
        <v>#N/A</v>
      </c>
      <c r="G505" s="235" t="e">
        <v>#N/A</v>
      </c>
    </row>
    <row r="506" spans="1:7">
      <c r="A506" t="e">
        <v>#N/A</v>
      </c>
      <c r="B506" t="e">
        <v>#N/A</v>
      </c>
      <c r="C506" t="e">
        <v>#N/A</v>
      </c>
      <c r="D506" t="e">
        <v>#N/A</v>
      </c>
      <c r="E506" s="235" t="e">
        <v>#N/A</v>
      </c>
      <c r="F506" s="235" t="e">
        <v>#N/A</v>
      </c>
      <c r="G506" s="235" t="e">
        <v>#N/A</v>
      </c>
    </row>
    <row r="507" spans="1:7">
      <c r="A507" t="e">
        <v>#N/A</v>
      </c>
      <c r="B507" t="e">
        <v>#N/A</v>
      </c>
      <c r="C507" t="e">
        <v>#N/A</v>
      </c>
      <c r="D507" t="e">
        <v>#N/A</v>
      </c>
      <c r="E507" s="235" t="e">
        <v>#N/A</v>
      </c>
      <c r="F507" s="235" t="e">
        <v>#N/A</v>
      </c>
      <c r="G507" s="235" t="e">
        <v>#N/A</v>
      </c>
    </row>
    <row r="508" spans="1:7">
      <c r="A508" t="e">
        <v>#N/A</v>
      </c>
      <c r="B508" t="e">
        <v>#N/A</v>
      </c>
      <c r="C508" t="e">
        <v>#N/A</v>
      </c>
      <c r="D508" t="e">
        <v>#N/A</v>
      </c>
      <c r="E508" s="235" t="e">
        <v>#N/A</v>
      </c>
      <c r="F508" s="235" t="e">
        <v>#N/A</v>
      </c>
      <c r="G508" s="235" t="e">
        <v>#N/A</v>
      </c>
    </row>
    <row r="509" spans="1:7">
      <c r="A509" t="e">
        <v>#N/A</v>
      </c>
      <c r="B509" t="e">
        <v>#N/A</v>
      </c>
      <c r="C509" t="e">
        <v>#N/A</v>
      </c>
      <c r="D509" t="e">
        <v>#N/A</v>
      </c>
      <c r="E509" s="235" t="e">
        <v>#N/A</v>
      </c>
      <c r="F509" s="235" t="e">
        <v>#N/A</v>
      </c>
      <c r="G509" s="235" t="e">
        <v>#N/A</v>
      </c>
    </row>
    <row r="510" spans="1:7">
      <c r="A510" t="e">
        <v>#N/A</v>
      </c>
      <c r="B510" t="e">
        <v>#N/A</v>
      </c>
      <c r="C510" t="e">
        <v>#N/A</v>
      </c>
      <c r="D510" t="e">
        <v>#N/A</v>
      </c>
      <c r="E510" s="235" t="e">
        <v>#N/A</v>
      </c>
      <c r="F510" s="235" t="e">
        <v>#N/A</v>
      </c>
      <c r="G510" s="235" t="e">
        <v>#N/A</v>
      </c>
    </row>
    <row r="511" spans="1:7">
      <c r="A511" t="e">
        <v>#N/A</v>
      </c>
      <c r="B511" t="e">
        <v>#N/A</v>
      </c>
      <c r="C511" t="e">
        <v>#N/A</v>
      </c>
      <c r="D511" t="e">
        <v>#N/A</v>
      </c>
      <c r="E511" s="235" t="e">
        <v>#N/A</v>
      </c>
      <c r="F511" s="235" t="e">
        <v>#N/A</v>
      </c>
      <c r="G511" s="235" t="e">
        <v>#N/A</v>
      </c>
    </row>
    <row r="512" spans="1:7">
      <c r="A512" t="e">
        <v>#N/A</v>
      </c>
      <c r="B512" t="e">
        <v>#N/A</v>
      </c>
      <c r="C512" t="e">
        <v>#N/A</v>
      </c>
      <c r="D512" t="e">
        <v>#N/A</v>
      </c>
      <c r="E512" s="235" t="e">
        <v>#N/A</v>
      </c>
      <c r="F512" s="235" t="e">
        <v>#N/A</v>
      </c>
      <c r="G512" s="235" t="e">
        <v>#N/A</v>
      </c>
    </row>
    <row r="513" spans="1:7">
      <c r="A513" t="e">
        <v>#N/A</v>
      </c>
      <c r="B513" t="e">
        <v>#N/A</v>
      </c>
      <c r="C513" t="e">
        <v>#N/A</v>
      </c>
      <c r="D513" t="e">
        <v>#N/A</v>
      </c>
      <c r="E513" s="235" t="e">
        <v>#N/A</v>
      </c>
      <c r="F513" s="235" t="e">
        <v>#N/A</v>
      </c>
      <c r="G513" s="235" t="e">
        <v>#N/A</v>
      </c>
    </row>
    <row r="514" spans="1:7">
      <c r="A514" t="e">
        <v>#N/A</v>
      </c>
      <c r="B514" t="e">
        <v>#N/A</v>
      </c>
      <c r="C514" t="e">
        <v>#N/A</v>
      </c>
      <c r="D514" t="e">
        <v>#N/A</v>
      </c>
      <c r="E514" s="235" t="e">
        <v>#N/A</v>
      </c>
      <c r="F514" s="235" t="e">
        <v>#N/A</v>
      </c>
      <c r="G514" s="235" t="e">
        <v>#N/A</v>
      </c>
    </row>
    <row r="515" spans="1:7">
      <c r="A515" t="e">
        <v>#N/A</v>
      </c>
      <c r="B515" t="e">
        <v>#N/A</v>
      </c>
      <c r="C515" t="e">
        <v>#N/A</v>
      </c>
      <c r="D515" t="e">
        <v>#N/A</v>
      </c>
      <c r="E515" s="235" t="e">
        <v>#N/A</v>
      </c>
      <c r="F515" s="235" t="e">
        <v>#N/A</v>
      </c>
      <c r="G515" s="235" t="e">
        <v>#N/A</v>
      </c>
    </row>
    <row r="516" spans="1:7">
      <c r="A516" t="e">
        <v>#N/A</v>
      </c>
      <c r="B516" t="e">
        <v>#N/A</v>
      </c>
      <c r="C516" t="e">
        <v>#N/A</v>
      </c>
      <c r="D516" t="e">
        <v>#N/A</v>
      </c>
      <c r="E516" s="235" t="e">
        <v>#N/A</v>
      </c>
      <c r="F516" s="235" t="e">
        <v>#N/A</v>
      </c>
      <c r="G516" s="235" t="e">
        <v>#N/A</v>
      </c>
    </row>
    <row r="517" spans="1:7">
      <c r="A517" t="e">
        <v>#N/A</v>
      </c>
      <c r="B517" t="e">
        <v>#N/A</v>
      </c>
      <c r="C517" t="e">
        <v>#N/A</v>
      </c>
      <c r="D517" t="e">
        <v>#N/A</v>
      </c>
      <c r="E517" s="235" t="e">
        <v>#N/A</v>
      </c>
      <c r="F517" s="235" t="e">
        <v>#N/A</v>
      </c>
      <c r="G517" s="235" t="e">
        <v>#N/A</v>
      </c>
    </row>
    <row r="518" spans="1:7">
      <c r="A518" t="e">
        <v>#N/A</v>
      </c>
      <c r="B518" t="e">
        <v>#N/A</v>
      </c>
      <c r="C518" t="e">
        <v>#N/A</v>
      </c>
      <c r="D518" t="e">
        <v>#N/A</v>
      </c>
      <c r="E518" s="235" t="e">
        <v>#N/A</v>
      </c>
      <c r="F518" s="235" t="e">
        <v>#N/A</v>
      </c>
      <c r="G518" s="235" t="e">
        <v>#N/A</v>
      </c>
    </row>
    <row r="519" spans="1:7">
      <c r="A519" t="e">
        <v>#N/A</v>
      </c>
      <c r="B519" t="e">
        <v>#N/A</v>
      </c>
      <c r="C519" t="e">
        <v>#N/A</v>
      </c>
      <c r="D519" t="e">
        <v>#N/A</v>
      </c>
      <c r="E519" s="235" t="e">
        <v>#N/A</v>
      </c>
      <c r="F519" s="235" t="e">
        <v>#N/A</v>
      </c>
      <c r="G519" s="235" t="e">
        <v>#N/A</v>
      </c>
    </row>
    <row r="520" spans="1:7">
      <c r="A520" t="e">
        <v>#N/A</v>
      </c>
      <c r="B520" t="e">
        <v>#N/A</v>
      </c>
      <c r="C520" t="e">
        <v>#N/A</v>
      </c>
      <c r="D520" t="e">
        <v>#N/A</v>
      </c>
      <c r="E520" s="235" t="e">
        <v>#N/A</v>
      </c>
      <c r="F520" s="235" t="e">
        <v>#N/A</v>
      </c>
      <c r="G520" s="235" t="e">
        <v>#N/A</v>
      </c>
    </row>
    <row r="521" spans="1:7">
      <c r="A521" t="e">
        <v>#N/A</v>
      </c>
      <c r="B521" t="e">
        <v>#N/A</v>
      </c>
      <c r="C521" t="e">
        <v>#N/A</v>
      </c>
      <c r="D521" t="e">
        <v>#N/A</v>
      </c>
      <c r="E521" s="235" t="e">
        <v>#N/A</v>
      </c>
      <c r="F521" s="235" t="e">
        <v>#N/A</v>
      </c>
      <c r="G521" s="235" t="e">
        <v>#N/A</v>
      </c>
    </row>
    <row r="522" spans="1:7">
      <c r="A522" t="e">
        <v>#N/A</v>
      </c>
      <c r="B522" t="e">
        <v>#N/A</v>
      </c>
      <c r="C522" t="e">
        <v>#N/A</v>
      </c>
      <c r="D522" t="e">
        <v>#N/A</v>
      </c>
      <c r="E522" s="235" t="e">
        <v>#N/A</v>
      </c>
      <c r="F522" s="235" t="e">
        <v>#N/A</v>
      </c>
      <c r="G522" s="235" t="e">
        <v>#N/A</v>
      </c>
    </row>
    <row r="523" spans="1:7">
      <c r="A523" t="e">
        <v>#N/A</v>
      </c>
      <c r="B523" t="e">
        <v>#N/A</v>
      </c>
      <c r="C523" t="e">
        <v>#N/A</v>
      </c>
      <c r="D523" t="e">
        <v>#N/A</v>
      </c>
      <c r="E523" s="235" t="e">
        <v>#N/A</v>
      </c>
      <c r="F523" s="235" t="e">
        <v>#N/A</v>
      </c>
      <c r="G523" s="235" t="e">
        <v>#N/A</v>
      </c>
    </row>
    <row r="524" spans="1:7">
      <c r="A524" t="e">
        <v>#N/A</v>
      </c>
      <c r="B524" t="e">
        <v>#N/A</v>
      </c>
      <c r="C524" t="e">
        <v>#N/A</v>
      </c>
      <c r="D524" t="e">
        <v>#N/A</v>
      </c>
      <c r="E524" s="235" t="e">
        <v>#N/A</v>
      </c>
      <c r="F524" s="235" t="e">
        <v>#N/A</v>
      </c>
      <c r="G524" s="235" t="e">
        <v>#N/A</v>
      </c>
    </row>
    <row r="525" spans="1:7">
      <c r="A525" t="e">
        <v>#N/A</v>
      </c>
      <c r="B525" t="e">
        <v>#N/A</v>
      </c>
      <c r="C525" t="e">
        <v>#N/A</v>
      </c>
      <c r="D525" t="e">
        <v>#N/A</v>
      </c>
      <c r="E525" s="235" t="e">
        <v>#N/A</v>
      </c>
      <c r="F525" s="235" t="e">
        <v>#N/A</v>
      </c>
      <c r="G525" s="235" t="e">
        <v>#N/A</v>
      </c>
    </row>
    <row r="526" spans="1:7">
      <c r="A526" t="e">
        <v>#N/A</v>
      </c>
      <c r="B526" t="e">
        <v>#N/A</v>
      </c>
      <c r="C526" t="e">
        <v>#N/A</v>
      </c>
      <c r="D526" t="e">
        <v>#N/A</v>
      </c>
      <c r="E526" s="235" t="e">
        <v>#N/A</v>
      </c>
      <c r="F526" s="235" t="e">
        <v>#N/A</v>
      </c>
      <c r="G526" s="235" t="e">
        <v>#N/A</v>
      </c>
    </row>
    <row r="527" spans="1:7">
      <c r="A527" t="e">
        <v>#N/A</v>
      </c>
      <c r="B527" t="e">
        <v>#N/A</v>
      </c>
      <c r="C527" t="e">
        <v>#N/A</v>
      </c>
      <c r="D527" t="e">
        <v>#N/A</v>
      </c>
      <c r="E527" s="235" t="e">
        <v>#N/A</v>
      </c>
      <c r="F527" s="235" t="e">
        <v>#N/A</v>
      </c>
      <c r="G527" s="235" t="e">
        <v>#N/A</v>
      </c>
    </row>
    <row r="528" spans="1:7">
      <c r="A528" t="e">
        <v>#N/A</v>
      </c>
      <c r="B528" t="e">
        <v>#N/A</v>
      </c>
      <c r="C528" t="e">
        <v>#N/A</v>
      </c>
      <c r="D528" t="e">
        <v>#N/A</v>
      </c>
      <c r="E528" s="235" t="e">
        <v>#N/A</v>
      </c>
      <c r="F528" s="235" t="e">
        <v>#N/A</v>
      </c>
      <c r="G528" s="235" t="e">
        <v>#N/A</v>
      </c>
    </row>
    <row r="529" spans="1:7">
      <c r="A529" t="e">
        <v>#N/A</v>
      </c>
      <c r="B529" t="e">
        <v>#N/A</v>
      </c>
      <c r="C529" t="e">
        <v>#N/A</v>
      </c>
      <c r="D529" t="e">
        <v>#N/A</v>
      </c>
      <c r="E529" s="235" t="e">
        <v>#N/A</v>
      </c>
      <c r="F529" s="235" t="e">
        <v>#N/A</v>
      </c>
      <c r="G529" s="235" t="e">
        <v>#N/A</v>
      </c>
    </row>
    <row r="530" spans="1:7">
      <c r="A530" t="e">
        <v>#N/A</v>
      </c>
      <c r="B530" t="e">
        <v>#N/A</v>
      </c>
      <c r="C530" t="e">
        <v>#N/A</v>
      </c>
      <c r="D530" t="e">
        <v>#N/A</v>
      </c>
      <c r="E530" s="235" t="e">
        <v>#N/A</v>
      </c>
      <c r="F530" s="235" t="e">
        <v>#N/A</v>
      </c>
      <c r="G530" s="235" t="e">
        <v>#N/A</v>
      </c>
    </row>
    <row r="531" spans="1:7">
      <c r="A531" t="e">
        <v>#N/A</v>
      </c>
      <c r="B531" t="e">
        <v>#N/A</v>
      </c>
      <c r="C531" t="e">
        <v>#N/A</v>
      </c>
      <c r="D531" t="e">
        <v>#N/A</v>
      </c>
      <c r="E531" s="235" t="e">
        <v>#N/A</v>
      </c>
      <c r="F531" s="235" t="e">
        <v>#N/A</v>
      </c>
      <c r="G531" s="235" t="e">
        <v>#N/A</v>
      </c>
    </row>
    <row r="532" spans="1:7">
      <c r="A532" t="e">
        <v>#N/A</v>
      </c>
      <c r="B532" t="e">
        <v>#N/A</v>
      </c>
      <c r="C532" t="e">
        <v>#N/A</v>
      </c>
      <c r="D532" t="e">
        <v>#N/A</v>
      </c>
      <c r="E532" s="235" t="e">
        <v>#N/A</v>
      </c>
      <c r="F532" s="235" t="e">
        <v>#N/A</v>
      </c>
      <c r="G532" s="235" t="e">
        <v>#N/A</v>
      </c>
    </row>
    <row r="533" spans="1:7">
      <c r="A533" t="e">
        <v>#N/A</v>
      </c>
      <c r="B533" t="e">
        <v>#N/A</v>
      </c>
      <c r="C533" t="e">
        <v>#N/A</v>
      </c>
      <c r="D533" t="e">
        <v>#N/A</v>
      </c>
      <c r="E533" s="235" t="e">
        <v>#N/A</v>
      </c>
      <c r="F533" s="235" t="e">
        <v>#N/A</v>
      </c>
      <c r="G533" s="235" t="e">
        <v>#N/A</v>
      </c>
    </row>
    <row r="534" spans="1:7">
      <c r="A534" t="e">
        <v>#N/A</v>
      </c>
      <c r="B534" t="e">
        <v>#N/A</v>
      </c>
      <c r="C534" t="e">
        <v>#N/A</v>
      </c>
      <c r="D534" t="e">
        <v>#N/A</v>
      </c>
      <c r="E534" s="235" t="e">
        <v>#N/A</v>
      </c>
      <c r="F534" s="235" t="e">
        <v>#N/A</v>
      </c>
      <c r="G534" s="235" t="e">
        <v>#N/A</v>
      </c>
    </row>
    <row r="535" spans="1:7">
      <c r="A535" t="e">
        <v>#N/A</v>
      </c>
      <c r="B535" t="e">
        <v>#N/A</v>
      </c>
      <c r="C535" t="e">
        <v>#N/A</v>
      </c>
      <c r="D535" t="e">
        <v>#N/A</v>
      </c>
      <c r="E535" s="235" t="e">
        <v>#N/A</v>
      </c>
      <c r="F535" s="235" t="e">
        <v>#N/A</v>
      </c>
      <c r="G535" s="235" t="e">
        <v>#N/A</v>
      </c>
    </row>
    <row r="536" spans="1:7">
      <c r="A536" t="e">
        <v>#N/A</v>
      </c>
      <c r="B536" t="e">
        <v>#N/A</v>
      </c>
      <c r="C536" t="e">
        <v>#N/A</v>
      </c>
      <c r="D536" t="e">
        <v>#N/A</v>
      </c>
      <c r="E536" s="235" t="e">
        <v>#N/A</v>
      </c>
      <c r="F536" s="235" t="e">
        <v>#N/A</v>
      </c>
      <c r="G536" s="235" t="e">
        <v>#N/A</v>
      </c>
    </row>
    <row r="537" spans="1:7">
      <c r="A537" t="e">
        <v>#N/A</v>
      </c>
      <c r="B537" t="e">
        <v>#N/A</v>
      </c>
      <c r="C537" t="e">
        <v>#N/A</v>
      </c>
      <c r="D537" t="e">
        <v>#N/A</v>
      </c>
      <c r="E537" s="235" t="e">
        <v>#N/A</v>
      </c>
      <c r="F537" s="235" t="e">
        <v>#N/A</v>
      </c>
      <c r="G537" s="235" t="e">
        <v>#N/A</v>
      </c>
    </row>
    <row r="538" spans="1:7">
      <c r="A538" t="e">
        <v>#N/A</v>
      </c>
      <c r="B538" t="e">
        <v>#N/A</v>
      </c>
      <c r="C538" t="e">
        <v>#N/A</v>
      </c>
      <c r="D538" t="e">
        <v>#N/A</v>
      </c>
      <c r="E538" s="235" t="e">
        <v>#N/A</v>
      </c>
      <c r="F538" s="235" t="e">
        <v>#N/A</v>
      </c>
      <c r="G538" s="235" t="e">
        <v>#N/A</v>
      </c>
    </row>
    <row r="539" spans="1:7">
      <c r="A539" t="e">
        <v>#N/A</v>
      </c>
      <c r="B539" t="e">
        <v>#N/A</v>
      </c>
      <c r="C539" t="e">
        <v>#N/A</v>
      </c>
      <c r="D539" t="e">
        <v>#N/A</v>
      </c>
      <c r="E539" s="235" t="e">
        <v>#N/A</v>
      </c>
      <c r="F539" s="235" t="e">
        <v>#N/A</v>
      </c>
      <c r="G539" s="235" t="e">
        <v>#N/A</v>
      </c>
    </row>
    <row r="540" spans="1:7">
      <c r="A540" t="e">
        <v>#N/A</v>
      </c>
      <c r="B540" t="e">
        <v>#N/A</v>
      </c>
      <c r="C540" t="e">
        <v>#N/A</v>
      </c>
      <c r="D540" t="e">
        <v>#N/A</v>
      </c>
      <c r="E540" s="235" t="e">
        <v>#N/A</v>
      </c>
      <c r="F540" s="235" t="e">
        <v>#N/A</v>
      </c>
      <c r="G540" s="235" t="e">
        <v>#N/A</v>
      </c>
    </row>
    <row r="541" spans="1:7">
      <c r="A541" t="e">
        <v>#N/A</v>
      </c>
      <c r="B541" t="e">
        <v>#N/A</v>
      </c>
      <c r="C541" t="e">
        <v>#N/A</v>
      </c>
      <c r="D541" t="e">
        <v>#N/A</v>
      </c>
      <c r="E541" s="235" t="e">
        <v>#N/A</v>
      </c>
      <c r="F541" s="235" t="e">
        <v>#N/A</v>
      </c>
      <c r="G541" s="235" t="e">
        <v>#N/A</v>
      </c>
    </row>
    <row r="542" spans="1:7">
      <c r="A542" t="e">
        <v>#N/A</v>
      </c>
      <c r="B542" t="e">
        <v>#N/A</v>
      </c>
      <c r="C542" t="e">
        <v>#N/A</v>
      </c>
      <c r="D542" t="e">
        <v>#N/A</v>
      </c>
      <c r="E542" s="235" t="e">
        <v>#N/A</v>
      </c>
      <c r="F542" s="235" t="e">
        <v>#N/A</v>
      </c>
      <c r="G542" s="235" t="e">
        <v>#N/A</v>
      </c>
    </row>
    <row r="543" spans="1:7">
      <c r="A543" t="e">
        <v>#N/A</v>
      </c>
      <c r="B543" t="e">
        <v>#N/A</v>
      </c>
      <c r="C543" t="e">
        <v>#N/A</v>
      </c>
      <c r="D543" t="e">
        <v>#N/A</v>
      </c>
      <c r="E543" s="235" t="e">
        <v>#N/A</v>
      </c>
      <c r="F543" s="235" t="e">
        <v>#N/A</v>
      </c>
      <c r="G543" s="235" t="e">
        <v>#N/A</v>
      </c>
    </row>
    <row r="544" spans="1:7">
      <c r="A544" t="e">
        <v>#N/A</v>
      </c>
      <c r="B544" t="e">
        <v>#N/A</v>
      </c>
      <c r="C544" t="e">
        <v>#N/A</v>
      </c>
      <c r="D544" t="e">
        <v>#N/A</v>
      </c>
      <c r="E544" s="235" t="e">
        <v>#N/A</v>
      </c>
      <c r="F544" s="235" t="e">
        <v>#N/A</v>
      </c>
      <c r="G544" s="235" t="e">
        <v>#N/A</v>
      </c>
    </row>
    <row r="545" spans="1:7">
      <c r="A545" t="e">
        <v>#N/A</v>
      </c>
      <c r="B545" t="e">
        <v>#N/A</v>
      </c>
      <c r="C545" t="e">
        <v>#N/A</v>
      </c>
      <c r="D545" t="e">
        <v>#N/A</v>
      </c>
      <c r="E545" s="235" t="e">
        <v>#N/A</v>
      </c>
      <c r="F545" s="235" t="e">
        <v>#N/A</v>
      </c>
      <c r="G545" s="235" t="e">
        <v>#N/A</v>
      </c>
    </row>
    <row r="546" spans="1:7">
      <c r="A546" t="e">
        <v>#N/A</v>
      </c>
      <c r="B546" t="e">
        <v>#N/A</v>
      </c>
      <c r="C546" t="e">
        <v>#N/A</v>
      </c>
      <c r="D546" t="e">
        <v>#N/A</v>
      </c>
      <c r="E546" s="235" t="e">
        <v>#N/A</v>
      </c>
      <c r="F546" s="235" t="e">
        <v>#N/A</v>
      </c>
      <c r="G546" s="235" t="e">
        <v>#N/A</v>
      </c>
    </row>
    <row r="547" spans="1:7">
      <c r="A547" t="e">
        <v>#N/A</v>
      </c>
      <c r="B547" t="e">
        <v>#N/A</v>
      </c>
      <c r="C547" t="e">
        <v>#N/A</v>
      </c>
      <c r="D547" t="e">
        <v>#N/A</v>
      </c>
      <c r="E547" s="235" t="e">
        <v>#N/A</v>
      </c>
      <c r="F547" s="235" t="e">
        <v>#N/A</v>
      </c>
      <c r="G547" s="235" t="e">
        <v>#N/A</v>
      </c>
    </row>
    <row r="548" spans="1:7">
      <c r="A548" t="e">
        <v>#N/A</v>
      </c>
      <c r="B548" t="e">
        <v>#N/A</v>
      </c>
      <c r="C548" t="e">
        <v>#N/A</v>
      </c>
      <c r="D548" t="e">
        <v>#N/A</v>
      </c>
      <c r="E548" s="235" t="e">
        <v>#N/A</v>
      </c>
      <c r="F548" s="235" t="e">
        <v>#N/A</v>
      </c>
      <c r="G548" s="235" t="e">
        <v>#N/A</v>
      </c>
    </row>
    <row r="549" spans="1:7">
      <c r="A549" t="e">
        <v>#N/A</v>
      </c>
      <c r="B549" t="e">
        <v>#N/A</v>
      </c>
      <c r="C549" t="e">
        <v>#N/A</v>
      </c>
      <c r="D549" t="e">
        <v>#N/A</v>
      </c>
      <c r="E549" s="235" t="e">
        <v>#N/A</v>
      </c>
      <c r="F549" s="235" t="e">
        <v>#N/A</v>
      </c>
      <c r="G549" s="235" t="e">
        <v>#N/A</v>
      </c>
    </row>
    <row r="550" spans="1:7">
      <c r="A550" t="e">
        <v>#N/A</v>
      </c>
      <c r="B550" t="e">
        <v>#N/A</v>
      </c>
      <c r="C550" t="e">
        <v>#N/A</v>
      </c>
      <c r="D550" t="e">
        <v>#N/A</v>
      </c>
      <c r="E550" s="235" t="e">
        <v>#N/A</v>
      </c>
      <c r="F550" s="235" t="e">
        <v>#N/A</v>
      </c>
      <c r="G550" s="235" t="e">
        <v>#N/A</v>
      </c>
    </row>
    <row r="551" spans="1:7">
      <c r="A551" t="e">
        <v>#N/A</v>
      </c>
      <c r="B551" t="e">
        <v>#N/A</v>
      </c>
      <c r="C551" t="e">
        <v>#N/A</v>
      </c>
      <c r="D551" t="e">
        <v>#N/A</v>
      </c>
      <c r="E551" s="235" t="e">
        <v>#N/A</v>
      </c>
      <c r="F551" s="235" t="e">
        <v>#N/A</v>
      </c>
      <c r="G551" s="235" t="e">
        <v>#N/A</v>
      </c>
    </row>
    <row r="552" spans="1:7">
      <c r="A552" t="e">
        <v>#N/A</v>
      </c>
      <c r="B552" t="e">
        <v>#N/A</v>
      </c>
      <c r="C552" t="e">
        <v>#N/A</v>
      </c>
      <c r="D552" t="e">
        <v>#N/A</v>
      </c>
      <c r="E552" s="235" t="e">
        <v>#N/A</v>
      </c>
      <c r="F552" s="235" t="e">
        <v>#N/A</v>
      </c>
      <c r="G552" s="235" t="e">
        <v>#N/A</v>
      </c>
    </row>
    <row r="553" spans="1:7">
      <c r="A553" t="e">
        <v>#N/A</v>
      </c>
      <c r="B553" t="e">
        <v>#N/A</v>
      </c>
      <c r="C553" t="e">
        <v>#N/A</v>
      </c>
      <c r="D553" t="e">
        <v>#N/A</v>
      </c>
      <c r="E553" s="235" t="e">
        <v>#N/A</v>
      </c>
      <c r="F553" s="235" t="e">
        <v>#N/A</v>
      </c>
      <c r="G553" s="235" t="e">
        <v>#N/A</v>
      </c>
    </row>
    <row r="554" spans="1:7">
      <c r="A554" t="e">
        <v>#N/A</v>
      </c>
      <c r="B554" t="e">
        <v>#N/A</v>
      </c>
      <c r="C554" t="e">
        <v>#N/A</v>
      </c>
      <c r="D554" t="e">
        <v>#N/A</v>
      </c>
      <c r="E554" s="235" t="e">
        <v>#N/A</v>
      </c>
      <c r="F554" s="235" t="e">
        <v>#N/A</v>
      </c>
      <c r="G554" s="235" t="e">
        <v>#N/A</v>
      </c>
    </row>
    <row r="555" spans="1:7">
      <c r="A555" t="e">
        <v>#N/A</v>
      </c>
      <c r="B555" t="e">
        <v>#N/A</v>
      </c>
      <c r="C555" t="e">
        <v>#N/A</v>
      </c>
      <c r="D555" t="e">
        <v>#N/A</v>
      </c>
      <c r="E555" s="235" t="e">
        <v>#N/A</v>
      </c>
      <c r="F555" s="235" t="e">
        <v>#N/A</v>
      </c>
      <c r="G555" s="235" t="e">
        <v>#N/A</v>
      </c>
    </row>
    <row r="556" spans="1:7">
      <c r="A556" t="e">
        <v>#N/A</v>
      </c>
      <c r="B556" t="e">
        <v>#N/A</v>
      </c>
      <c r="C556" t="e">
        <v>#N/A</v>
      </c>
      <c r="D556" t="e">
        <v>#N/A</v>
      </c>
      <c r="E556" s="235" t="e">
        <v>#N/A</v>
      </c>
      <c r="F556" s="235" t="e">
        <v>#N/A</v>
      </c>
      <c r="G556" s="235" t="e">
        <v>#N/A</v>
      </c>
    </row>
    <row r="557" spans="1:7">
      <c r="A557" t="e">
        <v>#N/A</v>
      </c>
      <c r="B557" t="e">
        <v>#N/A</v>
      </c>
      <c r="C557" t="e">
        <v>#N/A</v>
      </c>
      <c r="D557" t="e">
        <v>#N/A</v>
      </c>
      <c r="E557" s="235" t="e">
        <v>#N/A</v>
      </c>
      <c r="F557" s="235" t="e">
        <v>#N/A</v>
      </c>
      <c r="G557" s="235" t="e">
        <v>#N/A</v>
      </c>
    </row>
    <row r="558" spans="1:7">
      <c r="A558" t="e">
        <v>#N/A</v>
      </c>
      <c r="B558" t="e">
        <v>#N/A</v>
      </c>
      <c r="C558" t="e">
        <v>#N/A</v>
      </c>
      <c r="D558" t="e">
        <v>#N/A</v>
      </c>
      <c r="E558" s="235" t="e">
        <v>#N/A</v>
      </c>
      <c r="F558" s="235" t="e">
        <v>#N/A</v>
      </c>
      <c r="G558" s="235" t="e">
        <v>#N/A</v>
      </c>
    </row>
    <row r="559" spans="1:7">
      <c r="A559" t="e">
        <v>#N/A</v>
      </c>
      <c r="B559" t="e">
        <v>#N/A</v>
      </c>
      <c r="C559" t="e">
        <v>#N/A</v>
      </c>
      <c r="D559" t="e">
        <v>#N/A</v>
      </c>
      <c r="E559" s="235" t="e">
        <v>#N/A</v>
      </c>
      <c r="F559" s="235" t="e">
        <v>#N/A</v>
      </c>
      <c r="G559" s="235" t="e">
        <v>#N/A</v>
      </c>
    </row>
    <row r="560" spans="1:7">
      <c r="A560" t="e">
        <v>#N/A</v>
      </c>
      <c r="B560" t="e">
        <v>#N/A</v>
      </c>
      <c r="C560" t="e">
        <v>#N/A</v>
      </c>
      <c r="D560" t="e">
        <v>#N/A</v>
      </c>
      <c r="E560" s="235" t="e">
        <v>#N/A</v>
      </c>
      <c r="F560" s="235" t="e">
        <v>#N/A</v>
      </c>
      <c r="G560" s="235" t="e">
        <v>#N/A</v>
      </c>
    </row>
    <row r="561" spans="1:7">
      <c r="A561" t="e">
        <v>#N/A</v>
      </c>
      <c r="B561" t="e">
        <v>#N/A</v>
      </c>
      <c r="C561" t="e">
        <v>#N/A</v>
      </c>
      <c r="D561" t="e">
        <v>#N/A</v>
      </c>
      <c r="E561" s="235" t="e">
        <v>#N/A</v>
      </c>
      <c r="F561" s="235" t="e">
        <v>#N/A</v>
      </c>
      <c r="G561" s="235" t="e">
        <v>#N/A</v>
      </c>
    </row>
    <row r="562" spans="1:7">
      <c r="A562" t="e">
        <v>#N/A</v>
      </c>
      <c r="B562" t="e">
        <v>#N/A</v>
      </c>
      <c r="C562" t="e">
        <v>#N/A</v>
      </c>
      <c r="D562" t="e">
        <v>#N/A</v>
      </c>
      <c r="E562" s="235" t="e">
        <v>#N/A</v>
      </c>
      <c r="F562" s="235" t="e">
        <v>#N/A</v>
      </c>
      <c r="G562" s="235" t="e">
        <v>#N/A</v>
      </c>
    </row>
    <row r="563" spans="1:7">
      <c r="A563" t="e">
        <v>#N/A</v>
      </c>
      <c r="B563" t="e">
        <v>#N/A</v>
      </c>
      <c r="C563" t="e">
        <v>#N/A</v>
      </c>
      <c r="D563" t="e">
        <v>#N/A</v>
      </c>
      <c r="E563" s="235" t="e">
        <v>#N/A</v>
      </c>
      <c r="F563" s="235" t="e">
        <v>#N/A</v>
      </c>
      <c r="G563" s="235" t="e">
        <v>#N/A</v>
      </c>
    </row>
    <row r="564" spans="1:7">
      <c r="A564" t="e">
        <v>#N/A</v>
      </c>
      <c r="B564" t="e">
        <v>#N/A</v>
      </c>
      <c r="C564" t="e">
        <v>#N/A</v>
      </c>
      <c r="D564" t="e">
        <v>#N/A</v>
      </c>
      <c r="E564" s="235" t="e">
        <v>#N/A</v>
      </c>
      <c r="F564" s="235" t="e">
        <v>#N/A</v>
      </c>
      <c r="G564" s="235" t="e">
        <v>#N/A</v>
      </c>
    </row>
    <row r="565" spans="1:7">
      <c r="A565" t="e">
        <v>#N/A</v>
      </c>
      <c r="B565" t="e">
        <v>#N/A</v>
      </c>
      <c r="C565" t="e">
        <v>#N/A</v>
      </c>
      <c r="D565" t="e">
        <v>#N/A</v>
      </c>
      <c r="E565" s="235" t="e">
        <v>#N/A</v>
      </c>
      <c r="F565" s="235" t="e">
        <v>#N/A</v>
      </c>
      <c r="G565" s="235" t="e">
        <v>#N/A</v>
      </c>
    </row>
    <row r="566" spans="1:7">
      <c r="A566" t="e">
        <v>#N/A</v>
      </c>
      <c r="B566" t="e">
        <v>#N/A</v>
      </c>
      <c r="C566" t="e">
        <v>#N/A</v>
      </c>
      <c r="D566" t="e">
        <v>#N/A</v>
      </c>
      <c r="E566" s="235" t="e">
        <v>#N/A</v>
      </c>
      <c r="F566" s="235" t="e">
        <v>#N/A</v>
      </c>
      <c r="G566" s="235" t="e">
        <v>#N/A</v>
      </c>
    </row>
    <row r="567" spans="1:7">
      <c r="A567" t="e">
        <v>#N/A</v>
      </c>
      <c r="B567" t="e">
        <v>#N/A</v>
      </c>
      <c r="C567" t="e">
        <v>#N/A</v>
      </c>
      <c r="D567" t="e">
        <v>#N/A</v>
      </c>
      <c r="E567" s="235" t="e">
        <v>#N/A</v>
      </c>
      <c r="F567" s="235" t="e">
        <v>#N/A</v>
      </c>
      <c r="G567" s="235" t="e">
        <v>#N/A</v>
      </c>
    </row>
    <row r="568" spans="1:7">
      <c r="A568" t="e">
        <v>#N/A</v>
      </c>
      <c r="B568" t="e">
        <v>#N/A</v>
      </c>
      <c r="C568" t="e">
        <v>#N/A</v>
      </c>
      <c r="D568" t="e">
        <v>#N/A</v>
      </c>
      <c r="E568" s="235" t="e">
        <v>#N/A</v>
      </c>
      <c r="F568" s="235" t="e">
        <v>#N/A</v>
      </c>
      <c r="G568" s="235" t="e">
        <v>#N/A</v>
      </c>
    </row>
    <row r="569" spans="1:7">
      <c r="A569" t="e">
        <v>#N/A</v>
      </c>
      <c r="B569" t="e">
        <v>#N/A</v>
      </c>
      <c r="C569" t="e">
        <v>#N/A</v>
      </c>
      <c r="D569" t="e">
        <v>#N/A</v>
      </c>
      <c r="E569" s="235" t="e">
        <v>#N/A</v>
      </c>
      <c r="F569" s="235" t="e">
        <v>#N/A</v>
      </c>
      <c r="G569" s="235" t="e">
        <v>#N/A</v>
      </c>
    </row>
    <row r="570" spans="1:7">
      <c r="A570" t="e">
        <v>#N/A</v>
      </c>
      <c r="B570" t="e">
        <v>#N/A</v>
      </c>
      <c r="C570" t="e">
        <v>#N/A</v>
      </c>
      <c r="D570" t="e">
        <v>#N/A</v>
      </c>
      <c r="E570" s="235" t="e">
        <v>#N/A</v>
      </c>
      <c r="F570" s="235" t="e">
        <v>#N/A</v>
      </c>
      <c r="G570" s="235" t="e">
        <v>#N/A</v>
      </c>
    </row>
    <row r="571" spans="1:7">
      <c r="A571" t="e">
        <v>#N/A</v>
      </c>
      <c r="B571" t="e">
        <v>#N/A</v>
      </c>
      <c r="C571" t="e">
        <v>#N/A</v>
      </c>
      <c r="D571" t="e">
        <v>#N/A</v>
      </c>
      <c r="E571" s="235" t="e">
        <v>#N/A</v>
      </c>
      <c r="F571" s="235" t="e">
        <v>#N/A</v>
      </c>
      <c r="G571" s="235" t="e">
        <v>#N/A</v>
      </c>
    </row>
    <row r="572" spans="1:7">
      <c r="A572" t="e">
        <v>#N/A</v>
      </c>
      <c r="B572" t="e">
        <v>#N/A</v>
      </c>
      <c r="C572" t="e">
        <v>#N/A</v>
      </c>
      <c r="D572" t="e">
        <v>#N/A</v>
      </c>
      <c r="E572" s="235" t="e">
        <v>#N/A</v>
      </c>
      <c r="F572" s="235" t="e">
        <v>#N/A</v>
      </c>
      <c r="G572" s="235" t="e">
        <v>#N/A</v>
      </c>
    </row>
    <row r="573" spans="1:7">
      <c r="A573" t="e">
        <v>#N/A</v>
      </c>
      <c r="B573" t="e">
        <v>#N/A</v>
      </c>
      <c r="C573" t="e">
        <v>#N/A</v>
      </c>
      <c r="D573" t="e">
        <v>#N/A</v>
      </c>
      <c r="E573" s="235" t="e">
        <v>#N/A</v>
      </c>
      <c r="F573" s="235" t="e">
        <v>#N/A</v>
      </c>
      <c r="G573" s="235" t="e">
        <v>#N/A</v>
      </c>
    </row>
    <row r="574" spans="1:7">
      <c r="A574" t="e">
        <v>#N/A</v>
      </c>
      <c r="B574" t="e">
        <v>#N/A</v>
      </c>
      <c r="C574" t="e">
        <v>#N/A</v>
      </c>
      <c r="D574" t="e">
        <v>#N/A</v>
      </c>
      <c r="E574" s="235" t="e">
        <v>#N/A</v>
      </c>
      <c r="F574" s="235" t="e">
        <v>#N/A</v>
      </c>
      <c r="G574" s="235" t="e">
        <v>#N/A</v>
      </c>
    </row>
    <row r="575" spans="1:7">
      <c r="A575" t="e">
        <v>#N/A</v>
      </c>
      <c r="B575" t="e">
        <v>#N/A</v>
      </c>
      <c r="C575" t="e">
        <v>#N/A</v>
      </c>
      <c r="D575" t="e">
        <v>#N/A</v>
      </c>
      <c r="E575" s="235" t="e">
        <v>#N/A</v>
      </c>
      <c r="F575" s="235" t="e">
        <v>#N/A</v>
      </c>
      <c r="G575" s="235" t="e">
        <v>#N/A</v>
      </c>
    </row>
    <row r="576" spans="1:7">
      <c r="A576" t="e">
        <v>#N/A</v>
      </c>
      <c r="B576" t="e">
        <v>#N/A</v>
      </c>
      <c r="C576" t="e">
        <v>#N/A</v>
      </c>
      <c r="D576" t="e">
        <v>#N/A</v>
      </c>
      <c r="E576" s="235" t="e">
        <v>#N/A</v>
      </c>
      <c r="F576" s="235" t="e">
        <v>#N/A</v>
      </c>
      <c r="G576" s="235" t="e">
        <v>#N/A</v>
      </c>
    </row>
    <row r="577" spans="1:7">
      <c r="A577" t="e">
        <v>#N/A</v>
      </c>
      <c r="B577" t="e">
        <v>#N/A</v>
      </c>
      <c r="C577" t="e">
        <v>#N/A</v>
      </c>
      <c r="D577" t="e">
        <v>#N/A</v>
      </c>
      <c r="E577" s="235" t="e">
        <v>#N/A</v>
      </c>
      <c r="F577" s="235" t="e">
        <v>#N/A</v>
      </c>
      <c r="G577" s="235" t="e">
        <v>#N/A</v>
      </c>
    </row>
    <row r="578" spans="1:7">
      <c r="A578" t="e">
        <v>#N/A</v>
      </c>
      <c r="B578" t="e">
        <v>#N/A</v>
      </c>
      <c r="C578" t="e">
        <v>#N/A</v>
      </c>
      <c r="D578" t="e">
        <v>#N/A</v>
      </c>
      <c r="E578" s="235" t="e">
        <v>#N/A</v>
      </c>
      <c r="F578" s="235" t="e">
        <v>#N/A</v>
      </c>
      <c r="G578" s="235" t="e">
        <v>#N/A</v>
      </c>
    </row>
    <row r="579" spans="1:7">
      <c r="A579" t="e">
        <v>#N/A</v>
      </c>
      <c r="B579" t="e">
        <v>#N/A</v>
      </c>
      <c r="C579" t="e">
        <v>#N/A</v>
      </c>
      <c r="D579" t="e">
        <v>#N/A</v>
      </c>
      <c r="E579" s="235" t="e">
        <v>#N/A</v>
      </c>
      <c r="F579" s="235" t="e">
        <v>#N/A</v>
      </c>
      <c r="G579" s="235" t="e">
        <v>#N/A</v>
      </c>
    </row>
    <row r="580" spans="1:7">
      <c r="A580" t="e">
        <v>#N/A</v>
      </c>
      <c r="B580" t="e">
        <v>#N/A</v>
      </c>
      <c r="C580" t="e">
        <v>#N/A</v>
      </c>
      <c r="D580" t="e">
        <v>#N/A</v>
      </c>
      <c r="E580" s="235" t="e">
        <v>#N/A</v>
      </c>
      <c r="F580" s="235" t="e">
        <v>#N/A</v>
      </c>
      <c r="G580" s="235" t="e">
        <v>#N/A</v>
      </c>
    </row>
    <row r="581" spans="1:7">
      <c r="A581" t="e">
        <v>#N/A</v>
      </c>
      <c r="B581" t="e">
        <v>#N/A</v>
      </c>
      <c r="C581" t="e">
        <v>#N/A</v>
      </c>
      <c r="D581" t="e">
        <v>#N/A</v>
      </c>
      <c r="E581" s="235" t="e">
        <v>#N/A</v>
      </c>
      <c r="F581" s="235" t="e">
        <v>#N/A</v>
      </c>
      <c r="G581" s="235" t="e">
        <v>#N/A</v>
      </c>
    </row>
    <row r="582" spans="1:7">
      <c r="A582" t="e">
        <v>#N/A</v>
      </c>
      <c r="B582" t="e">
        <v>#N/A</v>
      </c>
      <c r="C582" t="e">
        <v>#N/A</v>
      </c>
      <c r="D582" t="e">
        <v>#N/A</v>
      </c>
      <c r="E582" s="235" t="e">
        <v>#N/A</v>
      </c>
      <c r="F582" s="235" t="e">
        <v>#N/A</v>
      </c>
      <c r="G582" s="235" t="e">
        <v>#N/A</v>
      </c>
    </row>
    <row r="583" spans="1:7">
      <c r="A583" t="e">
        <v>#N/A</v>
      </c>
      <c r="B583" t="e">
        <v>#N/A</v>
      </c>
      <c r="C583" t="e">
        <v>#N/A</v>
      </c>
      <c r="D583" t="e">
        <v>#N/A</v>
      </c>
      <c r="E583" s="235" t="e">
        <v>#N/A</v>
      </c>
      <c r="F583" s="235" t="e">
        <v>#N/A</v>
      </c>
      <c r="G583" s="235" t="e">
        <v>#N/A</v>
      </c>
    </row>
    <row r="584" spans="1:7">
      <c r="A584" t="e">
        <v>#N/A</v>
      </c>
      <c r="B584" t="e">
        <v>#N/A</v>
      </c>
      <c r="C584" t="e">
        <v>#N/A</v>
      </c>
      <c r="D584" t="e">
        <v>#N/A</v>
      </c>
      <c r="E584" s="235" t="e">
        <v>#N/A</v>
      </c>
      <c r="F584" s="235" t="e">
        <v>#N/A</v>
      </c>
      <c r="G584" s="235" t="e">
        <v>#N/A</v>
      </c>
    </row>
    <row r="585" spans="1:7">
      <c r="A585" t="e">
        <v>#N/A</v>
      </c>
      <c r="B585" t="e">
        <v>#N/A</v>
      </c>
      <c r="C585" t="e">
        <v>#N/A</v>
      </c>
      <c r="D585" t="e">
        <v>#N/A</v>
      </c>
      <c r="E585" s="235" t="e">
        <v>#N/A</v>
      </c>
      <c r="F585" s="235" t="e">
        <v>#N/A</v>
      </c>
      <c r="G585" s="235" t="e">
        <v>#N/A</v>
      </c>
    </row>
    <row r="586" spans="1:7">
      <c r="A586" t="e">
        <v>#N/A</v>
      </c>
      <c r="B586" t="e">
        <v>#N/A</v>
      </c>
      <c r="C586" t="e">
        <v>#N/A</v>
      </c>
      <c r="D586" t="e">
        <v>#N/A</v>
      </c>
      <c r="E586" s="235" t="e">
        <v>#N/A</v>
      </c>
      <c r="F586" s="235" t="e">
        <v>#N/A</v>
      </c>
      <c r="G586" s="235" t="e">
        <v>#N/A</v>
      </c>
    </row>
    <row r="587" spans="1:7">
      <c r="A587" t="e">
        <v>#N/A</v>
      </c>
      <c r="B587" t="e">
        <v>#N/A</v>
      </c>
      <c r="C587" t="e">
        <v>#N/A</v>
      </c>
      <c r="D587" t="e">
        <v>#N/A</v>
      </c>
      <c r="E587" s="235" t="e">
        <v>#N/A</v>
      </c>
      <c r="F587" s="235" t="e">
        <v>#N/A</v>
      </c>
      <c r="G587" s="235" t="e">
        <v>#N/A</v>
      </c>
    </row>
    <row r="588" spans="1:7">
      <c r="A588" t="e">
        <v>#N/A</v>
      </c>
      <c r="B588" t="e">
        <v>#N/A</v>
      </c>
      <c r="C588" t="e">
        <v>#N/A</v>
      </c>
      <c r="D588" t="e">
        <v>#N/A</v>
      </c>
      <c r="E588" s="235" t="e">
        <v>#N/A</v>
      </c>
      <c r="F588" s="235" t="e">
        <v>#N/A</v>
      </c>
      <c r="G588" s="235" t="e">
        <v>#N/A</v>
      </c>
    </row>
    <row r="589" spans="1:7">
      <c r="A589" t="e">
        <v>#N/A</v>
      </c>
      <c r="B589" t="e">
        <v>#N/A</v>
      </c>
      <c r="C589" t="e">
        <v>#N/A</v>
      </c>
      <c r="D589" t="e">
        <v>#N/A</v>
      </c>
      <c r="E589" s="235" t="e">
        <v>#N/A</v>
      </c>
      <c r="F589" s="235" t="e">
        <v>#N/A</v>
      </c>
      <c r="G589" s="235" t="e">
        <v>#N/A</v>
      </c>
    </row>
    <row r="590" spans="1:7">
      <c r="A590" t="e">
        <v>#N/A</v>
      </c>
      <c r="B590" t="e">
        <v>#N/A</v>
      </c>
      <c r="C590" t="e">
        <v>#N/A</v>
      </c>
      <c r="D590" t="e">
        <v>#N/A</v>
      </c>
      <c r="E590" s="235" t="e">
        <v>#N/A</v>
      </c>
      <c r="F590" s="235" t="e">
        <v>#N/A</v>
      </c>
      <c r="G590" s="235" t="e">
        <v>#N/A</v>
      </c>
    </row>
    <row r="591" spans="1:7">
      <c r="A591" t="e">
        <v>#N/A</v>
      </c>
      <c r="B591" t="e">
        <v>#N/A</v>
      </c>
      <c r="C591" t="e">
        <v>#N/A</v>
      </c>
      <c r="D591" t="e">
        <v>#N/A</v>
      </c>
      <c r="E591" s="235" t="e">
        <v>#N/A</v>
      </c>
      <c r="F591" s="235" t="e">
        <v>#N/A</v>
      </c>
      <c r="G591" s="235" t="e">
        <v>#N/A</v>
      </c>
    </row>
    <row r="592" spans="1:7">
      <c r="A592" t="e">
        <v>#N/A</v>
      </c>
      <c r="B592" t="e">
        <v>#N/A</v>
      </c>
      <c r="C592" t="e">
        <v>#N/A</v>
      </c>
      <c r="D592" t="e">
        <v>#N/A</v>
      </c>
      <c r="E592" s="235" t="e">
        <v>#N/A</v>
      </c>
      <c r="F592" s="235" t="e">
        <v>#N/A</v>
      </c>
      <c r="G592" s="235" t="e">
        <v>#N/A</v>
      </c>
    </row>
    <row r="593" spans="1:7">
      <c r="A593" t="e">
        <v>#N/A</v>
      </c>
      <c r="B593" t="e">
        <v>#N/A</v>
      </c>
      <c r="C593" t="e">
        <v>#N/A</v>
      </c>
      <c r="D593" t="e">
        <v>#N/A</v>
      </c>
      <c r="E593" s="235" t="e">
        <v>#N/A</v>
      </c>
      <c r="F593" s="235" t="e">
        <v>#N/A</v>
      </c>
      <c r="G593" s="235" t="e">
        <v>#N/A</v>
      </c>
    </row>
    <row r="594" spans="1:7">
      <c r="A594" t="e">
        <v>#N/A</v>
      </c>
      <c r="B594" t="e">
        <v>#N/A</v>
      </c>
      <c r="C594" t="e">
        <v>#N/A</v>
      </c>
      <c r="D594" t="e">
        <v>#N/A</v>
      </c>
      <c r="E594" s="235" t="e">
        <v>#N/A</v>
      </c>
      <c r="F594" s="235" t="e">
        <v>#N/A</v>
      </c>
      <c r="G594" s="235" t="e">
        <v>#N/A</v>
      </c>
    </row>
    <row r="595" spans="1:7">
      <c r="A595" t="e">
        <v>#N/A</v>
      </c>
      <c r="B595" t="e">
        <v>#N/A</v>
      </c>
      <c r="C595" t="e">
        <v>#N/A</v>
      </c>
      <c r="D595" t="e">
        <v>#N/A</v>
      </c>
      <c r="E595" s="235" t="e">
        <v>#N/A</v>
      </c>
      <c r="F595" s="235" t="e">
        <v>#N/A</v>
      </c>
      <c r="G595" s="235" t="e">
        <v>#N/A</v>
      </c>
    </row>
    <row r="596" spans="1:7">
      <c r="A596" t="e">
        <v>#N/A</v>
      </c>
      <c r="B596" t="e">
        <v>#N/A</v>
      </c>
      <c r="C596" t="e">
        <v>#N/A</v>
      </c>
      <c r="D596" t="e">
        <v>#N/A</v>
      </c>
      <c r="E596" s="235" t="e">
        <v>#N/A</v>
      </c>
      <c r="F596" s="235" t="e">
        <v>#N/A</v>
      </c>
      <c r="G596" s="235" t="e">
        <v>#N/A</v>
      </c>
    </row>
    <row r="597" spans="1:7">
      <c r="A597" t="e">
        <v>#N/A</v>
      </c>
      <c r="B597" t="e">
        <v>#N/A</v>
      </c>
      <c r="C597" t="e">
        <v>#N/A</v>
      </c>
      <c r="D597" t="e">
        <v>#N/A</v>
      </c>
      <c r="E597" s="235" t="e">
        <v>#N/A</v>
      </c>
      <c r="F597" s="235" t="e">
        <v>#N/A</v>
      </c>
      <c r="G597" s="235" t="e">
        <v>#N/A</v>
      </c>
    </row>
    <row r="598" spans="1:7">
      <c r="A598" t="e">
        <v>#N/A</v>
      </c>
      <c r="B598" t="e">
        <v>#N/A</v>
      </c>
      <c r="C598" t="e">
        <v>#N/A</v>
      </c>
      <c r="D598" t="e">
        <v>#N/A</v>
      </c>
      <c r="E598" s="235" t="e">
        <v>#N/A</v>
      </c>
      <c r="F598" s="235" t="e">
        <v>#N/A</v>
      </c>
      <c r="G598" s="235" t="e">
        <v>#N/A</v>
      </c>
    </row>
    <row r="599" spans="1:7">
      <c r="A599" t="e">
        <v>#N/A</v>
      </c>
      <c r="B599" t="e">
        <v>#N/A</v>
      </c>
      <c r="C599" t="e">
        <v>#N/A</v>
      </c>
      <c r="D599" t="e">
        <v>#N/A</v>
      </c>
      <c r="E599" s="235" t="e">
        <v>#N/A</v>
      </c>
      <c r="F599" s="235" t="e">
        <v>#N/A</v>
      </c>
      <c r="G599" s="235" t="e">
        <v>#N/A</v>
      </c>
    </row>
    <row r="600" spans="1:7">
      <c r="A600" t="e">
        <v>#N/A</v>
      </c>
      <c r="B600" t="e">
        <v>#N/A</v>
      </c>
      <c r="C600" t="e">
        <v>#N/A</v>
      </c>
      <c r="D600" t="e">
        <v>#N/A</v>
      </c>
      <c r="E600" s="235" t="e">
        <v>#N/A</v>
      </c>
      <c r="F600" s="235" t="e">
        <v>#N/A</v>
      </c>
      <c r="G600" s="235" t="e">
        <v>#N/A</v>
      </c>
    </row>
    <row r="601" spans="1:7">
      <c r="A601" t="e">
        <v>#N/A</v>
      </c>
      <c r="B601" t="e">
        <v>#N/A</v>
      </c>
      <c r="C601" t="e">
        <v>#N/A</v>
      </c>
      <c r="D601" t="e">
        <v>#N/A</v>
      </c>
      <c r="E601" s="235" t="e">
        <v>#N/A</v>
      </c>
      <c r="F601" s="235" t="e">
        <v>#N/A</v>
      </c>
      <c r="G601" s="235" t="e">
        <v>#N/A</v>
      </c>
    </row>
    <row r="602" spans="1:7">
      <c r="A602" t="e">
        <v>#N/A</v>
      </c>
      <c r="B602" t="e">
        <v>#N/A</v>
      </c>
      <c r="C602" t="e">
        <v>#N/A</v>
      </c>
      <c r="D602" t="e">
        <v>#N/A</v>
      </c>
      <c r="E602" s="235" t="e">
        <v>#N/A</v>
      </c>
      <c r="F602" s="235" t="e">
        <v>#N/A</v>
      </c>
      <c r="G602" s="235" t="e">
        <v>#N/A</v>
      </c>
    </row>
    <row r="603" spans="1:7">
      <c r="A603" t="e">
        <v>#N/A</v>
      </c>
      <c r="B603" t="e">
        <v>#N/A</v>
      </c>
      <c r="C603" t="e">
        <v>#N/A</v>
      </c>
      <c r="D603" t="e">
        <v>#N/A</v>
      </c>
      <c r="E603" s="235" t="e">
        <v>#N/A</v>
      </c>
      <c r="F603" s="235" t="e">
        <v>#N/A</v>
      </c>
      <c r="G603" s="235" t="e">
        <v>#N/A</v>
      </c>
    </row>
    <row r="604" spans="1:7">
      <c r="A604" t="e">
        <v>#N/A</v>
      </c>
      <c r="B604" t="e">
        <v>#N/A</v>
      </c>
      <c r="C604" t="e">
        <v>#N/A</v>
      </c>
      <c r="D604" t="e">
        <v>#N/A</v>
      </c>
      <c r="E604" s="235" t="e">
        <v>#N/A</v>
      </c>
      <c r="F604" s="235" t="e">
        <v>#N/A</v>
      </c>
      <c r="G604" s="235" t="e">
        <v>#N/A</v>
      </c>
    </row>
    <row r="605" spans="1:7">
      <c r="A605" t="e">
        <v>#N/A</v>
      </c>
      <c r="B605" t="e">
        <v>#N/A</v>
      </c>
      <c r="C605" t="e">
        <v>#N/A</v>
      </c>
      <c r="D605" t="e">
        <v>#N/A</v>
      </c>
      <c r="E605" s="235" t="e">
        <v>#N/A</v>
      </c>
      <c r="F605" s="235" t="e">
        <v>#N/A</v>
      </c>
      <c r="G605" s="235" t="e">
        <v>#N/A</v>
      </c>
    </row>
    <row r="606" spans="1:7">
      <c r="A606" t="e">
        <v>#N/A</v>
      </c>
      <c r="B606" t="e">
        <v>#N/A</v>
      </c>
      <c r="C606" t="e">
        <v>#N/A</v>
      </c>
      <c r="D606" t="e">
        <v>#N/A</v>
      </c>
      <c r="E606" s="235" t="e">
        <v>#N/A</v>
      </c>
      <c r="F606" s="235" t="e">
        <v>#N/A</v>
      </c>
      <c r="G606" s="235" t="e">
        <v>#N/A</v>
      </c>
    </row>
    <row r="607" spans="1:7">
      <c r="A607" t="e">
        <v>#N/A</v>
      </c>
      <c r="B607" t="e">
        <v>#N/A</v>
      </c>
      <c r="C607" t="e">
        <v>#N/A</v>
      </c>
      <c r="D607" t="e">
        <v>#N/A</v>
      </c>
      <c r="E607" s="235" t="e">
        <v>#N/A</v>
      </c>
      <c r="F607" s="235" t="e">
        <v>#N/A</v>
      </c>
      <c r="G607" s="235" t="e">
        <v>#N/A</v>
      </c>
    </row>
    <row r="608" spans="1:7">
      <c r="A608" t="e">
        <v>#N/A</v>
      </c>
      <c r="B608" t="e">
        <v>#N/A</v>
      </c>
      <c r="C608" t="e">
        <v>#N/A</v>
      </c>
      <c r="D608" t="e">
        <v>#N/A</v>
      </c>
      <c r="E608" s="235" t="e">
        <v>#N/A</v>
      </c>
      <c r="F608" s="235" t="e">
        <v>#N/A</v>
      </c>
      <c r="G608" s="235" t="e">
        <v>#N/A</v>
      </c>
    </row>
    <row r="609" spans="1:7">
      <c r="A609" t="e">
        <v>#N/A</v>
      </c>
      <c r="B609" t="e">
        <v>#N/A</v>
      </c>
      <c r="C609" t="e">
        <v>#N/A</v>
      </c>
      <c r="D609" t="e">
        <v>#N/A</v>
      </c>
      <c r="E609" s="235" t="e">
        <v>#N/A</v>
      </c>
      <c r="F609" s="235" t="e">
        <v>#N/A</v>
      </c>
      <c r="G609" s="235" t="e">
        <v>#N/A</v>
      </c>
    </row>
    <row r="610" spans="1:7">
      <c r="A610" t="e">
        <v>#N/A</v>
      </c>
      <c r="B610" t="e">
        <v>#N/A</v>
      </c>
      <c r="C610" t="e">
        <v>#N/A</v>
      </c>
      <c r="D610" t="e">
        <v>#N/A</v>
      </c>
      <c r="E610" s="235" t="e">
        <v>#N/A</v>
      </c>
      <c r="F610" s="235" t="e">
        <v>#N/A</v>
      </c>
      <c r="G610" s="235" t="e">
        <v>#N/A</v>
      </c>
    </row>
    <row r="611" spans="1:7">
      <c r="A611" t="e">
        <v>#N/A</v>
      </c>
      <c r="B611" t="e">
        <v>#N/A</v>
      </c>
      <c r="C611" t="e">
        <v>#N/A</v>
      </c>
      <c r="D611" t="e">
        <v>#N/A</v>
      </c>
      <c r="E611" s="235" t="e">
        <v>#N/A</v>
      </c>
      <c r="F611" s="235" t="e">
        <v>#N/A</v>
      </c>
      <c r="G611" s="235" t="e">
        <v>#N/A</v>
      </c>
    </row>
    <row r="612" spans="1:7">
      <c r="A612" t="e">
        <v>#N/A</v>
      </c>
      <c r="B612" t="e">
        <v>#N/A</v>
      </c>
      <c r="C612" t="e">
        <v>#N/A</v>
      </c>
      <c r="D612" t="e">
        <v>#N/A</v>
      </c>
      <c r="E612" s="235" t="e">
        <v>#N/A</v>
      </c>
      <c r="F612" s="235" t="e">
        <v>#N/A</v>
      </c>
      <c r="G612" s="235" t="e">
        <v>#N/A</v>
      </c>
    </row>
    <row r="613" spans="1:7">
      <c r="A613" t="e">
        <v>#N/A</v>
      </c>
      <c r="B613" t="e">
        <v>#N/A</v>
      </c>
      <c r="C613" t="e">
        <v>#N/A</v>
      </c>
      <c r="D613" t="e">
        <v>#N/A</v>
      </c>
      <c r="E613" s="235" t="e">
        <v>#N/A</v>
      </c>
      <c r="F613" s="235" t="e">
        <v>#N/A</v>
      </c>
      <c r="G613" s="235" t="e">
        <v>#N/A</v>
      </c>
    </row>
    <row r="614" spans="1:7">
      <c r="A614" t="e">
        <v>#N/A</v>
      </c>
      <c r="B614" t="e">
        <v>#N/A</v>
      </c>
      <c r="C614" t="e">
        <v>#N/A</v>
      </c>
      <c r="D614" t="e">
        <v>#N/A</v>
      </c>
      <c r="E614" s="235" t="e">
        <v>#N/A</v>
      </c>
      <c r="F614" s="235" t="e">
        <v>#N/A</v>
      </c>
      <c r="G614" s="235" t="e">
        <v>#N/A</v>
      </c>
    </row>
    <row r="615" spans="1:7">
      <c r="A615" t="e">
        <v>#N/A</v>
      </c>
      <c r="B615" t="e">
        <v>#N/A</v>
      </c>
      <c r="C615" t="e">
        <v>#N/A</v>
      </c>
      <c r="D615" t="e">
        <v>#N/A</v>
      </c>
      <c r="E615" s="235" t="e">
        <v>#N/A</v>
      </c>
      <c r="F615" s="235" t="e">
        <v>#N/A</v>
      </c>
      <c r="G615" s="235" t="e">
        <v>#N/A</v>
      </c>
    </row>
    <row r="616" spans="1:7">
      <c r="A616" t="e">
        <v>#N/A</v>
      </c>
      <c r="B616" t="e">
        <v>#N/A</v>
      </c>
      <c r="C616" t="e">
        <v>#N/A</v>
      </c>
      <c r="D616" t="e">
        <v>#N/A</v>
      </c>
      <c r="E616" s="235" t="e">
        <v>#N/A</v>
      </c>
      <c r="F616" s="235" t="e">
        <v>#N/A</v>
      </c>
      <c r="G616" s="235" t="e">
        <v>#N/A</v>
      </c>
    </row>
    <row r="617" spans="1:7">
      <c r="A617" t="e">
        <v>#N/A</v>
      </c>
      <c r="B617" t="e">
        <v>#N/A</v>
      </c>
      <c r="C617" t="e">
        <v>#N/A</v>
      </c>
      <c r="D617" t="e">
        <v>#N/A</v>
      </c>
      <c r="E617" s="235" t="e">
        <v>#N/A</v>
      </c>
      <c r="F617" s="235" t="e">
        <v>#N/A</v>
      </c>
      <c r="G617" s="235" t="e">
        <v>#N/A</v>
      </c>
    </row>
    <row r="618" spans="1:7">
      <c r="A618" t="e">
        <v>#N/A</v>
      </c>
      <c r="B618" t="e">
        <v>#N/A</v>
      </c>
      <c r="C618" t="e">
        <v>#N/A</v>
      </c>
      <c r="D618" t="e">
        <v>#N/A</v>
      </c>
      <c r="E618" s="235" t="e">
        <v>#N/A</v>
      </c>
      <c r="F618" s="235" t="e">
        <v>#N/A</v>
      </c>
      <c r="G618" s="235" t="e">
        <v>#N/A</v>
      </c>
    </row>
    <row r="619" spans="1:7">
      <c r="A619" t="e">
        <v>#N/A</v>
      </c>
      <c r="B619" t="e">
        <v>#N/A</v>
      </c>
      <c r="C619" t="e">
        <v>#N/A</v>
      </c>
      <c r="D619" t="e">
        <v>#N/A</v>
      </c>
      <c r="E619" s="235" t="e">
        <v>#N/A</v>
      </c>
      <c r="F619" s="235" t="e">
        <v>#N/A</v>
      </c>
      <c r="G619" s="235" t="e">
        <v>#N/A</v>
      </c>
    </row>
    <row r="620" spans="1:7">
      <c r="A620" t="e">
        <v>#N/A</v>
      </c>
      <c r="B620" t="e">
        <v>#N/A</v>
      </c>
      <c r="C620" t="e">
        <v>#N/A</v>
      </c>
      <c r="D620" t="e">
        <v>#N/A</v>
      </c>
      <c r="E620" s="235" t="e">
        <v>#N/A</v>
      </c>
      <c r="F620" s="235" t="e">
        <v>#N/A</v>
      </c>
      <c r="G620" s="235" t="e">
        <v>#N/A</v>
      </c>
    </row>
    <row r="621" spans="1:7">
      <c r="A621" t="e">
        <v>#N/A</v>
      </c>
      <c r="B621" t="e">
        <v>#N/A</v>
      </c>
      <c r="C621" t="e">
        <v>#N/A</v>
      </c>
      <c r="D621" t="e">
        <v>#N/A</v>
      </c>
      <c r="E621" s="235" t="e">
        <v>#N/A</v>
      </c>
      <c r="F621" s="235" t="e">
        <v>#N/A</v>
      </c>
      <c r="G621" s="235" t="e">
        <v>#N/A</v>
      </c>
    </row>
    <row r="622" spans="1:7">
      <c r="A622" t="e">
        <v>#N/A</v>
      </c>
      <c r="B622" t="e">
        <v>#N/A</v>
      </c>
      <c r="C622" t="e">
        <v>#N/A</v>
      </c>
      <c r="D622" t="e">
        <v>#N/A</v>
      </c>
      <c r="E622" s="235" t="e">
        <v>#N/A</v>
      </c>
      <c r="F622" s="235" t="e">
        <v>#N/A</v>
      </c>
      <c r="G622" s="235" t="e">
        <v>#N/A</v>
      </c>
    </row>
    <row r="623" spans="1:7">
      <c r="A623" t="e">
        <v>#N/A</v>
      </c>
      <c r="B623" t="e">
        <v>#N/A</v>
      </c>
      <c r="C623" t="e">
        <v>#N/A</v>
      </c>
      <c r="D623" t="e">
        <v>#N/A</v>
      </c>
      <c r="E623" s="235" t="e">
        <v>#N/A</v>
      </c>
      <c r="F623" s="235" t="e">
        <v>#N/A</v>
      </c>
      <c r="G623" s="235" t="e">
        <v>#N/A</v>
      </c>
    </row>
    <row r="624" spans="1:7">
      <c r="A624" t="e">
        <v>#N/A</v>
      </c>
      <c r="B624" t="e">
        <v>#N/A</v>
      </c>
      <c r="C624" t="e">
        <v>#N/A</v>
      </c>
      <c r="D624" t="e">
        <v>#N/A</v>
      </c>
      <c r="E624" s="235" t="e">
        <v>#N/A</v>
      </c>
      <c r="F624" s="235" t="e">
        <v>#N/A</v>
      </c>
      <c r="G624" s="235" t="e">
        <v>#N/A</v>
      </c>
    </row>
    <row r="625" spans="1:7">
      <c r="A625" t="e">
        <v>#N/A</v>
      </c>
      <c r="B625" t="e">
        <v>#N/A</v>
      </c>
      <c r="C625" t="e">
        <v>#N/A</v>
      </c>
      <c r="D625" t="e">
        <v>#N/A</v>
      </c>
      <c r="E625" s="235" t="e">
        <v>#N/A</v>
      </c>
      <c r="F625" s="235" t="e">
        <v>#N/A</v>
      </c>
      <c r="G625" s="235" t="e">
        <v>#N/A</v>
      </c>
    </row>
    <row r="626" spans="1:7">
      <c r="A626" t="e">
        <v>#N/A</v>
      </c>
      <c r="B626" t="e">
        <v>#N/A</v>
      </c>
      <c r="C626" t="e">
        <v>#N/A</v>
      </c>
      <c r="D626" t="e">
        <v>#N/A</v>
      </c>
      <c r="E626" s="235" t="e">
        <v>#N/A</v>
      </c>
      <c r="F626" s="235" t="e">
        <v>#N/A</v>
      </c>
      <c r="G626" s="235" t="e">
        <v>#N/A</v>
      </c>
    </row>
    <row r="627" spans="1:7">
      <c r="A627" t="e">
        <v>#N/A</v>
      </c>
      <c r="B627" t="e">
        <v>#N/A</v>
      </c>
      <c r="C627" t="e">
        <v>#N/A</v>
      </c>
      <c r="D627" t="e">
        <v>#N/A</v>
      </c>
      <c r="E627" s="235" t="e">
        <v>#N/A</v>
      </c>
      <c r="F627" s="235" t="e">
        <v>#N/A</v>
      </c>
      <c r="G627" s="235" t="e">
        <v>#N/A</v>
      </c>
    </row>
    <row r="628" spans="1:7">
      <c r="A628" t="e">
        <v>#N/A</v>
      </c>
      <c r="B628" t="e">
        <v>#N/A</v>
      </c>
      <c r="C628" t="e">
        <v>#N/A</v>
      </c>
      <c r="D628" t="e">
        <v>#N/A</v>
      </c>
      <c r="E628" s="235" t="e">
        <v>#N/A</v>
      </c>
      <c r="F628" s="235" t="e">
        <v>#N/A</v>
      </c>
      <c r="G628" s="235" t="e">
        <v>#N/A</v>
      </c>
    </row>
    <row r="629" spans="1:7">
      <c r="A629" t="e">
        <v>#N/A</v>
      </c>
      <c r="B629" t="e">
        <v>#N/A</v>
      </c>
      <c r="C629" t="e">
        <v>#N/A</v>
      </c>
      <c r="D629" t="e">
        <v>#N/A</v>
      </c>
      <c r="E629" s="235" t="e">
        <v>#N/A</v>
      </c>
      <c r="F629" s="235" t="e">
        <v>#N/A</v>
      </c>
      <c r="G629" s="235" t="e">
        <v>#N/A</v>
      </c>
    </row>
    <row r="630" spans="1:7">
      <c r="A630" t="e">
        <v>#N/A</v>
      </c>
      <c r="B630" t="e">
        <v>#N/A</v>
      </c>
      <c r="C630" t="e">
        <v>#N/A</v>
      </c>
      <c r="D630" t="e">
        <v>#N/A</v>
      </c>
      <c r="E630" s="235" t="e">
        <v>#N/A</v>
      </c>
      <c r="F630" s="235" t="e">
        <v>#N/A</v>
      </c>
      <c r="G630" s="235" t="e">
        <v>#N/A</v>
      </c>
    </row>
    <row r="631" spans="1:7">
      <c r="A631" t="e">
        <v>#N/A</v>
      </c>
      <c r="B631" t="e">
        <v>#N/A</v>
      </c>
      <c r="C631" t="e">
        <v>#N/A</v>
      </c>
      <c r="D631" t="e">
        <v>#N/A</v>
      </c>
      <c r="E631" s="235" t="e">
        <v>#N/A</v>
      </c>
      <c r="F631" s="235" t="e">
        <v>#N/A</v>
      </c>
      <c r="G631" s="235" t="e">
        <v>#N/A</v>
      </c>
    </row>
    <row r="632" spans="1:7">
      <c r="A632" t="e">
        <v>#N/A</v>
      </c>
      <c r="B632" t="e">
        <v>#N/A</v>
      </c>
      <c r="C632" t="e">
        <v>#N/A</v>
      </c>
      <c r="D632" t="e">
        <v>#N/A</v>
      </c>
      <c r="E632" s="235" t="e">
        <v>#N/A</v>
      </c>
      <c r="F632" s="235" t="e">
        <v>#N/A</v>
      </c>
      <c r="G632" s="235" t="e">
        <v>#N/A</v>
      </c>
    </row>
    <row r="633" spans="1:7">
      <c r="A633" t="e">
        <v>#N/A</v>
      </c>
      <c r="B633" t="e">
        <v>#N/A</v>
      </c>
      <c r="C633" t="e">
        <v>#N/A</v>
      </c>
      <c r="D633" t="e">
        <v>#N/A</v>
      </c>
      <c r="E633" s="235" t="e">
        <v>#N/A</v>
      </c>
      <c r="F633" s="235" t="e">
        <v>#N/A</v>
      </c>
      <c r="G633" s="235" t="e">
        <v>#N/A</v>
      </c>
    </row>
    <row r="634" spans="1:7">
      <c r="A634" t="e">
        <v>#N/A</v>
      </c>
      <c r="B634" t="e">
        <v>#N/A</v>
      </c>
      <c r="C634" t="e">
        <v>#N/A</v>
      </c>
      <c r="D634" t="e">
        <v>#N/A</v>
      </c>
      <c r="E634" s="235" t="e">
        <v>#N/A</v>
      </c>
      <c r="F634" s="235" t="e">
        <v>#N/A</v>
      </c>
      <c r="G634" s="235" t="e">
        <v>#N/A</v>
      </c>
    </row>
    <row r="635" spans="1:7">
      <c r="A635" t="e">
        <v>#N/A</v>
      </c>
      <c r="B635" t="e">
        <v>#N/A</v>
      </c>
      <c r="C635" t="e">
        <v>#N/A</v>
      </c>
      <c r="D635" t="e">
        <v>#N/A</v>
      </c>
      <c r="E635" s="235" t="e">
        <v>#N/A</v>
      </c>
      <c r="F635" s="235" t="e">
        <v>#N/A</v>
      </c>
      <c r="G635" s="235" t="e">
        <v>#N/A</v>
      </c>
    </row>
    <row r="636" spans="1:7">
      <c r="A636" t="e">
        <v>#N/A</v>
      </c>
      <c r="B636" t="e">
        <v>#N/A</v>
      </c>
      <c r="C636" t="e">
        <v>#N/A</v>
      </c>
      <c r="D636" t="e">
        <v>#N/A</v>
      </c>
      <c r="E636" s="235" t="e">
        <v>#N/A</v>
      </c>
      <c r="F636" s="235" t="e">
        <v>#N/A</v>
      </c>
      <c r="G636" s="235" t="e">
        <v>#N/A</v>
      </c>
    </row>
    <row r="637" spans="1:7">
      <c r="A637" t="e">
        <v>#N/A</v>
      </c>
      <c r="B637" t="e">
        <v>#N/A</v>
      </c>
      <c r="C637" t="e">
        <v>#N/A</v>
      </c>
      <c r="D637" t="e">
        <v>#N/A</v>
      </c>
      <c r="E637" s="235" t="e">
        <v>#N/A</v>
      </c>
      <c r="F637" s="235" t="e">
        <v>#N/A</v>
      </c>
      <c r="G637" s="235" t="e">
        <v>#N/A</v>
      </c>
    </row>
    <row r="638" spans="1:7">
      <c r="A638" t="e">
        <v>#N/A</v>
      </c>
      <c r="B638" t="e">
        <v>#N/A</v>
      </c>
      <c r="C638" t="e">
        <v>#N/A</v>
      </c>
      <c r="D638" t="e">
        <v>#N/A</v>
      </c>
      <c r="E638" s="235" t="e">
        <v>#N/A</v>
      </c>
      <c r="F638" s="235" t="e">
        <v>#N/A</v>
      </c>
      <c r="G638" s="235" t="e">
        <v>#N/A</v>
      </c>
    </row>
    <row r="639" spans="1:7">
      <c r="A639" t="e">
        <v>#N/A</v>
      </c>
      <c r="B639" t="e">
        <v>#N/A</v>
      </c>
      <c r="C639" t="e">
        <v>#N/A</v>
      </c>
      <c r="D639" t="e">
        <v>#N/A</v>
      </c>
      <c r="E639" s="235" t="e">
        <v>#N/A</v>
      </c>
      <c r="F639" s="235" t="e">
        <v>#N/A</v>
      </c>
      <c r="G639" s="235" t="e">
        <v>#N/A</v>
      </c>
    </row>
    <row r="640" spans="1:7">
      <c r="A640" t="e">
        <v>#N/A</v>
      </c>
      <c r="B640" t="e">
        <v>#N/A</v>
      </c>
      <c r="C640" t="e">
        <v>#N/A</v>
      </c>
      <c r="D640" t="e">
        <v>#N/A</v>
      </c>
      <c r="E640" s="235" t="e">
        <v>#N/A</v>
      </c>
      <c r="F640" s="235" t="e">
        <v>#N/A</v>
      </c>
      <c r="G640" s="235" t="e">
        <v>#N/A</v>
      </c>
    </row>
    <row r="641" spans="1:7">
      <c r="A641" t="e">
        <v>#N/A</v>
      </c>
      <c r="B641" t="e">
        <v>#N/A</v>
      </c>
      <c r="C641" t="e">
        <v>#N/A</v>
      </c>
      <c r="D641" t="e">
        <v>#N/A</v>
      </c>
      <c r="E641" s="235" t="e">
        <v>#N/A</v>
      </c>
      <c r="F641" s="235" t="e">
        <v>#N/A</v>
      </c>
      <c r="G641" s="235" t="e">
        <v>#N/A</v>
      </c>
    </row>
    <row r="642" spans="1:7">
      <c r="A642" t="e">
        <v>#N/A</v>
      </c>
      <c r="B642" t="e">
        <v>#N/A</v>
      </c>
      <c r="C642" t="e">
        <v>#N/A</v>
      </c>
      <c r="D642" t="e">
        <v>#N/A</v>
      </c>
      <c r="E642" s="235" t="e">
        <v>#N/A</v>
      </c>
      <c r="F642" s="235" t="e">
        <v>#N/A</v>
      </c>
      <c r="G642" s="235" t="e">
        <v>#N/A</v>
      </c>
    </row>
    <row r="643" spans="1:7">
      <c r="A643" t="e">
        <v>#N/A</v>
      </c>
      <c r="B643" t="e">
        <v>#N/A</v>
      </c>
      <c r="C643" t="e">
        <v>#N/A</v>
      </c>
      <c r="D643" t="e">
        <v>#N/A</v>
      </c>
      <c r="E643" s="235" t="e">
        <v>#N/A</v>
      </c>
      <c r="F643" s="235" t="e">
        <v>#N/A</v>
      </c>
      <c r="G643" s="235" t="e">
        <v>#N/A</v>
      </c>
    </row>
    <row r="644" spans="1:7">
      <c r="A644" t="e">
        <v>#N/A</v>
      </c>
      <c r="B644" t="e">
        <v>#N/A</v>
      </c>
      <c r="C644" t="e">
        <v>#N/A</v>
      </c>
      <c r="D644" t="e">
        <v>#N/A</v>
      </c>
      <c r="E644" s="235" t="e">
        <v>#N/A</v>
      </c>
      <c r="F644" s="235" t="e">
        <v>#N/A</v>
      </c>
      <c r="G644" s="235" t="e">
        <v>#N/A</v>
      </c>
    </row>
    <row r="645" spans="1:7">
      <c r="A645" t="e">
        <v>#N/A</v>
      </c>
      <c r="B645" t="e">
        <v>#N/A</v>
      </c>
      <c r="C645" t="e">
        <v>#N/A</v>
      </c>
      <c r="D645" t="e">
        <v>#N/A</v>
      </c>
      <c r="E645" s="235" t="e">
        <v>#N/A</v>
      </c>
      <c r="F645" s="235" t="e">
        <v>#N/A</v>
      </c>
      <c r="G645" s="235" t="e">
        <v>#N/A</v>
      </c>
    </row>
    <row r="646" spans="1:7">
      <c r="A646" t="e">
        <v>#N/A</v>
      </c>
      <c r="B646" t="e">
        <v>#N/A</v>
      </c>
      <c r="C646" t="e">
        <v>#N/A</v>
      </c>
      <c r="D646" t="e">
        <v>#N/A</v>
      </c>
      <c r="E646" s="235" t="e">
        <v>#N/A</v>
      </c>
      <c r="F646" s="235" t="e">
        <v>#N/A</v>
      </c>
      <c r="G646" s="235" t="e">
        <v>#N/A</v>
      </c>
    </row>
    <row r="647" spans="1:7">
      <c r="A647" t="e">
        <v>#N/A</v>
      </c>
      <c r="B647" t="e">
        <v>#N/A</v>
      </c>
      <c r="C647" t="e">
        <v>#N/A</v>
      </c>
      <c r="D647" t="e">
        <v>#N/A</v>
      </c>
      <c r="E647" s="235" t="e">
        <v>#N/A</v>
      </c>
      <c r="F647" s="235" t="e">
        <v>#N/A</v>
      </c>
      <c r="G647" s="235" t="e">
        <v>#N/A</v>
      </c>
    </row>
    <row r="648" spans="1:7">
      <c r="A648" t="e">
        <v>#N/A</v>
      </c>
      <c r="B648" t="e">
        <v>#N/A</v>
      </c>
      <c r="C648" t="e">
        <v>#N/A</v>
      </c>
      <c r="D648" t="e">
        <v>#N/A</v>
      </c>
      <c r="E648" s="235" t="e">
        <v>#N/A</v>
      </c>
      <c r="F648" s="235" t="e">
        <v>#N/A</v>
      </c>
      <c r="G648" s="235" t="e">
        <v>#N/A</v>
      </c>
    </row>
    <row r="649" spans="1:7">
      <c r="A649" t="e">
        <v>#N/A</v>
      </c>
      <c r="B649" t="e">
        <v>#N/A</v>
      </c>
      <c r="C649" t="e">
        <v>#N/A</v>
      </c>
      <c r="D649" t="e">
        <v>#N/A</v>
      </c>
      <c r="E649" s="235" t="e">
        <v>#N/A</v>
      </c>
      <c r="F649" s="235" t="e">
        <v>#N/A</v>
      </c>
      <c r="G649" s="235" t="e">
        <v>#N/A</v>
      </c>
    </row>
    <row r="650" spans="1:7">
      <c r="A650" t="e">
        <v>#N/A</v>
      </c>
      <c r="B650" t="e">
        <v>#N/A</v>
      </c>
      <c r="C650" t="e">
        <v>#N/A</v>
      </c>
      <c r="D650" t="e">
        <v>#N/A</v>
      </c>
      <c r="E650" s="235" t="e">
        <v>#N/A</v>
      </c>
      <c r="F650" s="235" t="e">
        <v>#N/A</v>
      </c>
      <c r="G650" s="235" t="e">
        <v>#N/A</v>
      </c>
    </row>
    <row r="651" spans="1:7">
      <c r="A651" t="e">
        <v>#N/A</v>
      </c>
      <c r="B651" t="e">
        <v>#N/A</v>
      </c>
      <c r="C651" t="e">
        <v>#N/A</v>
      </c>
      <c r="D651" t="e">
        <v>#N/A</v>
      </c>
      <c r="E651" s="235" t="e">
        <v>#N/A</v>
      </c>
      <c r="F651" s="235" t="e">
        <v>#N/A</v>
      </c>
      <c r="G651" s="235" t="e">
        <v>#N/A</v>
      </c>
    </row>
    <row r="652" spans="1:7">
      <c r="A652" t="e">
        <v>#N/A</v>
      </c>
      <c r="B652" t="e">
        <v>#N/A</v>
      </c>
      <c r="C652" t="e">
        <v>#N/A</v>
      </c>
      <c r="D652" t="e">
        <v>#N/A</v>
      </c>
      <c r="E652" s="235" t="e">
        <v>#N/A</v>
      </c>
      <c r="F652" s="235" t="e">
        <v>#N/A</v>
      </c>
      <c r="G652" s="235" t="e">
        <v>#N/A</v>
      </c>
    </row>
    <row r="653" spans="1:7">
      <c r="A653" t="e">
        <v>#N/A</v>
      </c>
      <c r="B653" t="e">
        <v>#N/A</v>
      </c>
      <c r="C653" t="e">
        <v>#N/A</v>
      </c>
      <c r="D653" t="e">
        <v>#N/A</v>
      </c>
      <c r="E653" s="235" t="e">
        <v>#N/A</v>
      </c>
      <c r="F653" s="235" t="e">
        <v>#N/A</v>
      </c>
      <c r="G653" s="235" t="e">
        <v>#N/A</v>
      </c>
    </row>
    <row r="654" spans="1:7">
      <c r="A654" t="e">
        <v>#N/A</v>
      </c>
      <c r="B654" t="e">
        <v>#N/A</v>
      </c>
      <c r="C654" t="e">
        <v>#N/A</v>
      </c>
      <c r="D654" t="e">
        <v>#N/A</v>
      </c>
      <c r="E654" s="235" t="e">
        <v>#N/A</v>
      </c>
      <c r="F654" s="235" t="e">
        <v>#N/A</v>
      </c>
      <c r="G654" s="235" t="e">
        <v>#N/A</v>
      </c>
    </row>
    <row r="655" spans="1:7">
      <c r="A655" t="e">
        <v>#N/A</v>
      </c>
      <c r="B655" t="e">
        <v>#N/A</v>
      </c>
      <c r="C655" t="e">
        <v>#N/A</v>
      </c>
      <c r="D655" t="e">
        <v>#N/A</v>
      </c>
      <c r="E655" s="235" t="e">
        <v>#N/A</v>
      </c>
      <c r="F655" s="235" t="e">
        <v>#N/A</v>
      </c>
      <c r="G655" s="235" t="e">
        <v>#N/A</v>
      </c>
    </row>
    <row r="656" spans="1:7">
      <c r="A656" t="e">
        <v>#N/A</v>
      </c>
      <c r="B656" t="e">
        <v>#N/A</v>
      </c>
      <c r="C656" t="e">
        <v>#N/A</v>
      </c>
      <c r="D656" t="e">
        <v>#N/A</v>
      </c>
      <c r="E656" s="235" t="e">
        <v>#N/A</v>
      </c>
      <c r="F656" s="235" t="e">
        <v>#N/A</v>
      </c>
      <c r="G656" s="235" t="e">
        <v>#N/A</v>
      </c>
    </row>
    <row r="657" spans="1:7">
      <c r="A657" t="e">
        <v>#N/A</v>
      </c>
      <c r="B657" t="e">
        <v>#N/A</v>
      </c>
      <c r="C657" t="e">
        <v>#N/A</v>
      </c>
      <c r="D657" t="e">
        <v>#N/A</v>
      </c>
      <c r="E657" s="235" t="e">
        <v>#N/A</v>
      </c>
      <c r="F657" s="235" t="e">
        <v>#N/A</v>
      </c>
      <c r="G657" s="235" t="e">
        <v>#N/A</v>
      </c>
    </row>
    <row r="658" spans="1:7">
      <c r="A658" t="e">
        <v>#N/A</v>
      </c>
      <c r="B658" t="e">
        <v>#N/A</v>
      </c>
      <c r="C658" t="e">
        <v>#N/A</v>
      </c>
      <c r="D658" t="e">
        <v>#N/A</v>
      </c>
      <c r="E658" s="235" t="e">
        <v>#N/A</v>
      </c>
      <c r="F658" s="235" t="e">
        <v>#N/A</v>
      </c>
      <c r="G658" s="235" t="e">
        <v>#N/A</v>
      </c>
    </row>
    <row r="659" spans="1:7">
      <c r="A659" t="e">
        <v>#N/A</v>
      </c>
      <c r="B659" t="e">
        <v>#N/A</v>
      </c>
      <c r="C659" t="e">
        <v>#N/A</v>
      </c>
      <c r="D659" t="e">
        <v>#N/A</v>
      </c>
      <c r="E659" s="235" t="e">
        <v>#N/A</v>
      </c>
      <c r="F659" s="235" t="e">
        <v>#N/A</v>
      </c>
      <c r="G659" s="235" t="e">
        <v>#N/A</v>
      </c>
    </row>
    <row r="660" spans="1:7">
      <c r="A660" t="e">
        <v>#N/A</v>
      </c>
      <c r="B660" t="e">
        <v>#N/A</v>
      </c>
      <c r="C660" t="e">
        <v>#N/A</v>
      </c>
      <c r="D660" t="e">
        <v>#N/A</v>
      </c>
      <c r="E660" s="235" t="e">
        <v>#N/A</v>
      </c>
      <c r="F660" s="235" t="e">
        <v>#N/A</v>
      </c>
      <c r="G660" s="235" t="e">
        <v>#N/A</v>
      </c>
    </row>
    <row r="661" spans="1:7">
      <c r="A661" t="e">
        <v>#N/A</v>
      </c>
      <c r="B661" t="e">
        <v>#N/A</v>
      </c>
      <c r="C661" t="e">
        <v>#N/A</v>
      </c>
      <c r="D661" t="e">
        <v>#N/A</v>
      </c>
      <c r="E661" s="235" t="e">
        <v>#N/A</v>
      </c>
      <c r="F661" s="235" t="e">
        <v>#N/A</v>
      </c>
      <c r="G661" s="235" t="e">
        <v>#N/A</v>
      </c>
    </row>
    <row r="662" spans="1:7">
      <c r="A662" t="e">
        <v>#N/A</v>
      </c>
      <c r="B662" t="e">
        <v>#N/A</v>
      </c>
      <c r="C662" t="e">
        <v>#N/A</v>
      </c>
      <c r="D662" t="e">
        <v>#N/A</v>
      </c>
      <c r="E662" s="235" t="e">
        <v>#N/A</v>
      </c>
      <c r="F662" s="235" t="e">
        <v>#N/A</v>
      </c>
      <c r="G662" s="235" t="e">
        <v>#N/A</v>
      </c>
    </row>
    <row r="663" spans="1:7">
      <c r="A663" t="e">
        <v>#N/A</v>
      </c>
      <c r="B663" t="e">
        <v>#N/A</v>
      </c>
      <c r="C663" t="e">
        <v>#N/A</v>
      </c>
      <c r="D663" t="e">
        <v>#N/A</v>
      </c>
      <c r="E663" s="235" t="e">
        <v>#N/A</v>
      </c>
      <c r="F663" s="235" t="e">
        <v>#N/A</v>
      </c>
      <c r="G663" s="235" t="e">
        <v>#N/A</v>
      </c>
    </row>
    <row r="664" spans="1:7">
      <c r="A664" t="e">
        <v>#N/A</v>
      </c>
      <c r="B664" t="e">
        <v>#N/A</v>
      </c>
      <c r="C664" t="e">
        <v>#N/A</v>
      </c>
      <c r="D664" t="e">
        <v>#N/A</v>
      </c>
      <c r="E664" s="235" t="e">
        <v>#N/A</v>
      </c>
      <c r="F664" s="235" t="e">
        <v>#N/A</v>
      </c>
      <c r="G664" s="235" t="e">
        <v>#N/A</v>
      </c>
    </row>
    <row r="665" spans="1:7">
      <c r="A665" t="e">
        <v>#N/A</v>
      </c>
      <c r="B665" t="e">
        <v>#N/A</v>
      </c>
      <c r="C665" t="e">
        <v>#N/A</v>
      </c>
      <c r="D665" t="e">
        <v>#N/A</v>
      </c>
      <c r="E665" s="235" t="e">
        <v>#N/A</v>
      </c>
      <c r="F665" s="235" t="e">
        <v>#N/A</v>
      </c>
      <c r="G665" s="235" t="e">
        <v>#N/A</v>
      </c>
    </row>
    <row r="666" spans="1:7">
      <c r="A666" t="e">
        <v>#N/A</v>
      </c>
      <c r="B666" t="e">
        <v>#N/A</v>
      </c>
      <c r="C666" t="e">
        <v>#N/A</v>
      </c>
      <c r="D666" t="e">
        <v>#N/A</v>
      </c>
      <c r="E666" s="235" t="e">
        <v>#N/A</v>
      </c>
      <c r="F666" s="235" t="e">
        <v>#N/A</v>
      </c>
      <c r="G666" s="235" t="e">
        <v>#N/A</v>
      </c>
    </row>
    <row r="667" spans="1:7">
      <c r="A667" t="e">
        <v>#N/A</v>
      </c>
      <c r="B667" t="e">
        <v>#N/A</v>
      </c>
      <c r="C667" t="e">
        <v>#N/A</v>
      </c>
      <c r="D667" t="e">
        <v>#N/A</v>
      </c>
      <c r="E667" s="235" t="e">
        <v>#N/A</v>
      </c>
      <c r="F667" s="235" t="e">
        <v>#N/A</v>
      </c>
      <c r="G667" s="235" t="e">
        <v>#N/A</v>
      </c>
    </row>
    <row r="668" spans="1:7">
      <c r="A668" t="e">
        <v>#N/A</v>
      </c>
      <c r="B668" t="e">
        <v>#N/A</v>
      </c>
      <c r="C668" t="e">
        <v>#N/A</v>
      </c>
      <c r="D668" t="e">
        <v>#N/A</v>
      </c>
      <c r="E668" s="235" t="e">
        <v>#N/A</v>
      </c>
      <c r="F668" s="235" t="e">
        <v>#N/A</v>
      </c>
      <c r="G668" s="235" t="e">
        <v>#N/A</v>
      </c>
    </row>
    <row r="669" spans="1:7">
      <c r="A669" t="e">
        <v>#N/A</v>
      </c>
      <c r="B669" t="e">
        <v>#N/A</v>
      </c>
      <c r="C669" t="e">
        <v>#N/A</v>
      </c>
      <c r="D669" t="e">
        <v>#N/A</v>
      </c>
      <c r="E669" s="235" t="e">
        <v>#N/A</v>
      </c>
      <c r="F669" s="235" t="e">
        <v>#N/A</v>
      </c>
      <c r="G669" s="235" t="e">
        <v>#N/A</v>
      </c>
    </row>
    <row r="670" spans="1:7">
      <c r="A670" t="e">
        <v>#N/A</v>
      </c>
      <c r="B670" t="e">
        <v>#N/A</v>
      </c>
      <c r="C670" t="e">
        <v>#N/A</v>
      </c>
      <c r="D670" t="e">
        <v>#N/A</v>
      </c>
      <c r="E670" s="235" t="e">
        <v>#N/A</v>
      </c>
      <c r="F670" s="235" t="e">
        <v>#N/A</v>
      </c>
      <c r="G670" s="235" t="e">
        <v>#N/A</v>
      </c>
    </row>
    <row r="671" spans="1:7">
      <c r="A671" t="e">
        <v>#N/A</v>
      </c>
      <c r="B671" t="e">
        <v>#N/A</v>
      </c>
      <c r="C671" t="e">
        <v>#N/A</v>
      </c>
      <c r="D671" t="e">
        <v>#N/A</v>
      </c>
      <c r="E671" s="235" t="e">
        <v>#N/A</v>
      </c>
      <c r="F671" s="235" t="e">
        <v>#N/A</v>
      </c>
      <c r="G671" s="235" t="e">
        <v>#N/A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8"/>
  <sheetData>
    <row r="1" spans="1:1">
      <c r="A1" t="s">
        <v>100</v>
      </c>
    </row>
    <row r="2" spans="1:1">
      <c r="A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HowTo</vt:lpstr>
      <vt:lpstr>I_ValuationDate</vt:lpstr>
      <vt:lpstr>II_VolSurface_GasWinter</vt:lpstr>
      <vt:lpstr>II_VolSurface_GasSummer</vt:lpstr>
      <vt:lpstr>II_VolSurface_Calender</vt:lpstr>
      <vt:lpstr>II_Vanillas</vt:lpstr>
      <vt:lpstr>III_VanillasCross</vt:lpstr>
      <vt:lpstr>III_VisualizationLocalCorr</vt:lpstr>
      <vt:lpstr>III_Simulation</vt:lpstr>
      <vt:lpstr>Sheet1</vt:lpstr>
    </vt:vector>
  </TitlesOfParts>
  <Company>d-fine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Harms, Cord</cp:lastModifiedBy>
  <dcterms:created xsi:type="dcterms:W3CDTF">2017-09-11T13:25:52Z</dcterms:created>
  <dcterms:modified xsi:type="dcterms:W3CDTF">2019-05-13T15:31:53Z</dcterms:modified>
</cp:coreProperties>
</file>