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38290" yWindow="7550" windowWidth="17910" windowHeight="10790" tabRatio="861" activeTab="4"/>
  </bookViews>
  <sheets>
    <sheet name="параметры для расчета" sheetId="10" r:id="rId1"/>
    <sheet name="баланс тритий" sheetId="13" r:id="rId2"/>
    <sheet name="баланс дейтерий" sheetId="17" r:id="rId3"/>
    <sheet name="баланс протий" sheetId="18" r:id="rId4"/>
    <sheet name="результаты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">#REF!</definedName>
    <definedName name="b">#REF!</definedName>
    <definedName name="bb">#REF!</definedName>
    <definedName name="cc">#REF!</definedName>
    <definedName name="d">#REF!</definedName>
    <definedName name="e">#REF!</definedName>
    <definedName name="f">#REF!</definedName>
    <definedName name="I0">#REF!</definedName>
    <definedName name="L">#REF!</definedName>
    <definedName name="Lm">#REF!</definedName>
    <definedName name="N">#REF!</definedName>
    <definedName name="T_1">#REF!</definedName>
    <definedName name="T_2">#REF!</definedName>
    <definedName name="_xlnm.Print_Area" localSheetId="2">'баланс дейтерий'!$A$1:$Q$344</definedName>
    <definedName name="_xlnm.Print_Area" localSheetId="3">'баланс протий'!$A$1:$Q$358</definedName>
    <definedName name="_xlnm.Print_Area" localSheetId="1">'баланс тритий'!$A$1:$AB$343</definedName>
    <definedName name="_xlnm.Print_Area" localSheetId="0">'параметры для расчета'!$A$1:$U$76</definedName>
    <definedName name="_xlnm.Print_Area" localSheetId="4">результаты!$A$1:$CI$110</definedName>
  </definedNames>
  <calcPr calcId="145621"/>
  <fileRecoveryPr repairLoad="1"/>
</workbook>
</file>

<file path=xl/calcChain.xml><?xml version="1.0" encoding="utf-8"?>
<calcChain xmlns="http://schemas.openxmlformats.org/spreadsheetml/2006/main">
  <c r="BS29" i="1" l="1"/>
  <c r="BS28" i="1"/>
  <c r="L271" i="13" l="1"/>
  <c r="AJ43" i="1" l="1"/>
  <c r="E6" i="13" l="1"/>
  <c r="O327" i="13" l="1"/>
  <c r="E14" i="13" l="1"/>
  <c r="E14" i="17" l="1"/>
  <c r="N31" i="10" l="1"/>
  <c r="N30" i="10"/>
  <c r="N29" i="10"/>
  <c r="M31" i="10"/>
  <c r="M30" i="10"/>
  <c r="M29" i="10"/>
  <c r="L31" i="10"/>
  <c r="L30" i="10"/>
  <c r="L29" i="10"/>
  <c r="K31" i="10"/>
  <c r="AL71" i="1" l="1"/>
  <c r="AL69" i="1"/>
  <c r="AL76" i="1"/>
  <c r="AL67" i="1"/>
  <c r="C30" i="10" l="1"/>
  <c r="AG161" i="1" l="1"/>
  <c r="AG160" i="1"/>
  <c r="BL2" i="1" l="1"/>
  <c r="M26" i="10" l="1"/>
  <c r="AH10" i="1" l="1"/>
  <c r="AG10" i="1"/>
  <c r="BM12" i="1" l="1"/>
  <c r="BL12" i="1"/>
  <c r="BK12" i="1"/>
  <c r="AZ31" i="1"/>
  <c r="BA31" i="1" s="1"/>
  <c r="BR23" i="1" l="1"/>
  <c r="BS23" i="1"/>
  <c r="H217" i="17"/>
  <c r="E217" i="17"/>
  <c r="H216" i="17"/>
  <c r="E216" i="17"/>
  <c r="H215" i="17"/>
  <c r="E215" i="17"/>
  <c r="H217" i="13"/>
  <c r="E217" i="13"/>
  <c r="H216" i="13"/>
  <c r="E216" i="13"/>
  <c r="H215" i="13"/>
  <c r="E215" i="13"/>
  <c r="C61" i="10" l="1"/>
  <c r="BP41" i="1"/>
  <c r="AP49" i="1" l="1"/>
  <c r="B146" i="18"/>
  <c r="C1" i="10"/>
  <c r="BE5" i="1" s="1"/>
  <c r="K68" i="10"/>
  <c r="K67" i="10"/>
  <c r="C78" i="10"/>
  <c r="C77" i="10"/>
  <c r="C75" i="10"/>
  <c r="C74" i="10"/>
  <c r="C73" i="10"/>
  <c r="C71" i="10"/>
  <c r="C70" i="10"/>
  <c r="C68" i="10"/>
  <c r="C67" i="10"/>
  <c r="C66" i="10"/>
  <c r="C64" i="10"/>
  <c r="C63" i="10"/>
  <c r="C62" i="10"/>
  <c r="C56" i="10"/>
  <c r="C55" i="10"/>
  <c r="C54" i="10"/>
  <c r="C44" i="10"/>
  <c r="B86" i="17" s="1"/>
  <c r="C43" i="10"/>
  <c r="C41" i="10"/>
  <c r="C40" i="10"/>
  <c r="C39" i="10"/>
  <c r="C38" i="10"/>
  <c r="C37" i="10"/>
  <c r="C36" i="10"/>
  <c r="C35" i="10"/>
  <c r="C34" i="10"/>
  <c r="C33" i="10"/>
  <c r="C32" i="10"/>
  <c r="C31" i="10"/>
  <c r="C27" i="10"/>
  <c r="C26" i="10"/>
  <c r="C23" i="10"/>
  <c r="C22" i="10"/>
  <c r="C21" i="10"/>
  <c r="C29" i="10"/>
  <c r="K3" i="10"/>
  <c r="C6" i="10"/>
  <c r="C5" i="10"/>
  <c r="C4" i="10"/>
  <c r="C3" i="10"/>
  <c r="B80" i="13" l="1"/>
  <c r="B90" i="13"/>
  <c r="H90" i="13"/>
  <c r="E90" i="13"/>
  <c r="E87" i="17"/>
  <c r="H87" i="17"/>
  <c r="B87" i="17"/>
  <c r="B86" i="13"/>
  <c r="E86" i="13"/>
  <c r="E87" i="13"/>
  <c r="B87" i="13"/>
  <c r="H87" i="13"/>
  <c r="H86" i="17"/>
  <c r="E86" i="17"/>
  <c r="H86" i="13"/>
  <c r="P16" i="1" l="1"/>
  <c r="Q16" i="1"/>
  <c r="AV73" i="1" l="1"/>
  <c r="AV66" i="1"/>
  <c r="AZ66" i="1" s="1"/>
  <c r="AV65" i="1"/>
  <c r="AZ65" i="1" s="1"/>
  <c r="AX73" i="1"/>
  <c r="AZ76" i="1"/>
  <c r="CE47" i="1"/>
  <c r="E318" i="18"/>
  <c r="E317" i="18"/>
  <c r="E316" i="18"/>
  <c r="E234" i="18"/>
  <c r="E230" i="18"/>
  <c r="E229" i="18"/>
  <c r="E115" i="17"/>
  <c r="E114" i="17"/>
  <c r="E113" i="17"/>
  <c r="E237" i="13"/>
  <c r="E115" i="13"/>
  <c r="E114" i="13"/>
  <c r="E113" i="13"/>
  <c r="E52" i="13"/>
  <c r="E49" i="13"/>
  <c r="E45" i="13"/>
  <c r="AZ75" i="1"/>
  <c r="AX65" i="1" l="1"/>
  <c r="AX66" i="1"/>
  <c r="AZ73" i="1"/>
  <c r="H115" i="17" l="1"/>
  <c r="H114" i="17"/>
  <c r="H113" i="17"/>
  <c r="F75" i="10"/>
  <c r="F74" i="10"/>
  <c r="F73" i="10"/>
  <c r="C180" i="17"/>
  <c r="K87" i="17"/>
  <c r="B80" i="17"/>
  <c r="N50" i="17"/>
  <c r="N47" i="17"/>
  <c r="K4" i="10"/>
  <c r="AL80" i="1"/>
  <c r="AL78" i="1"/>
  <c r="N51" i="17" l="1"/>
  <c r="K6" i="10"/>
  <c r="K5" i="10"/>
  <c r="K7" i="10"/>
  <c r="B27" i="17"/>
  <c r="B32" i="17" s="1"/>
  <c r="B26" i="17"/>
  <c r="B29" i="17"/>
  <c r="B34" i="17" s="1"/>
  <c r="B28" i="17"/>
  <c r="B33" i="17" s="1"/>
  <c r="K86" i="17"/>
  <c r="B198" i="17"/>
  <c r="B197" i="17"/>
  <c r="B45" i="17" l="1"/>
  <c r="B38" i="17"/>
  <c r="J221" i="17"/>
  <c r="B36" i="17"/>
  <c r="B43" i="17"/>
  <c r="E43" i="17" s="1"/>
  <c r="J219" i="17"/>
  <c r="B37" i="17"/>
  <c r="B44" i="17"/>
  <c r="E44" i="17" s="1"/>
  <c r="J220" i="17"/>
  <c r="E32" i="17"/>
  <c r="E34" i="17"/>
  <c r="E33" i="17"/>
  <c r="H33" i="17"/>
  <c r="H34" i="17"/>
  <c r="H32" i="17"/>
  <c r="B39" i="17" l="1"/>
  <c r="B131" i="17"/>
  <c r="E131" i="17" s="1"/>
  <c r="L221" i="17"/>
  <c r="L220" i="17"/>
  <c r="L219" i="17"/>
  <c r="B258" i="17"/>
  <c r="E37" i="17"/>
  <c r="E38" i="17"/>
  <c r="E36" i="17"/>
  <c r="E45" i="17"/>
  <c r="B133" i="17"/>
  <c r="B132" i="17"/>
  <c r="E266" i="17"/>
  <c r="H37" i="17"/>
  <c r="B259" i="17"/>
  <c r="B260" i="17"/>
  <c r="H38" i="17"/>
  <c r="H36" i="17"/>
  <c r="K260" i="17" l="1"/>
  <c r="H260" i="17"/>
  <c r="E260" i="17"/>
  <c r="H259" i="17"/>
  <c r="E259" i="17"/>
  <c r="H258" i="17"/>
  <c r="K258" i="17"/>
  <c r="E258" i="17"/>
  <c r="B267" i="17"/>
  <c r="K259" i="17"/>
  <c r="H133" i="17"/>
  <c r="E133" i="17"/>
  <c r="H132" i="17"/>
  <c r="E132" i="17"/>
  <c r="H131" i="17"/>
  <c r="P220" i="17" l="1"/>
  <c r="E267" i="17"/>
  <c r="BE98" i="1" l="1"/>
  <c r="BE99" i="1"/>
  <c r="BE76" i="1"/>
  <c r="BM76" i="1"/>
  <c r="BE77" i="1"/>
  <c r="BM77" i="1"/>
  <c r="BM84" i="1"/>
  <c r="BM85" i="1"/>
  <c r="BM97" i="1" l="1"/>
  <c r="BM100" i="1" s="1"/>
  <c r="AZ138" i="1" l="1"/>
  <c r="AZ137" i="1"/>
  <c r="AZ136" i="1"/>
  <c r="AZ135" i="1"/>
  <c r="AZ134" i="1"/>
  <c r="AZ133" i="1"/>
  <c r="AZ132" i="1"/>
  <c r="AZ122" i="1"/>
  <c r="AZ121" i="1"/>
  <c r="AZ120" i="1"/>
  <c r="AZ119" i="1"/>
  <c r="AZ118" i="1"/>
  <c r="AZ117" i="1"/>
  <c r="AZ116" i="1"/>
  <c r="AZ124" i="1"/>
  <c r="AZ130" i="1"/>
  <c r="AZ129" i="1"/>
  <c r="AZ128" i="1"/>
  <c r="AZ127" i="1"/>
  <c r="AZ126" i="1"/>
  <c r="AZ125" i="1"/>
  <c r="M4" i="1"/>
  <c r="AJ160" i="1" l="1"/>
  <c r="AQ161" i="1" l="1"/>
  <c r="AP161" i="1"/>
  <c r="AF155" i="1" l="1"/>
  <c r="AF162" i="1"/>
  <c r="AF161" i="1"/>
  <c r="AF160" i="1"/>
  <c r="AM139" i="1" l="1"/>
  <c r="AM140" i="1"/>
  <c r="AM141" i="1"/>
  <c r="AM142" i="1"/>
  <c r="AM143" i="1"/>
  <c r="AM144" i="1"/>
  <c r="AM145" i="1"/>
  <c r="AM146" i="1"/>
  <c r="AM147" i="1"/>
  <c r="AI114" i="1"/>
  <c r="AI115" i="1"/>
  <c r="AG116" i="1"/>
  <c r="AH116" i="1"/>
  <c r="AI116" i="1" s="1"/>
  <c r="AJ116" i="1"/>
  <c r="AK155" i="1" s="1"/>
  <c r="AI117" i="1"/>
  <c r="AI118" i="1"/>
  <c r="AI119" i="1"/>
  <c r="AI120" i="1"/>
  <c r="AF151" i="1"/>
  <c r="AI121" i="1"/>
  <c r="AF152" i="1"/>
  <c r="AG122" i="1"/>
  <c r="AH122" i="1"/>
  <c r="AI122" i="1" s="1"/>
  <c r="AJ122" i="1"/>
  <c r="AK156" i="1" s="1"/>
  <c r="AI123" i="1"/>
  <c r="AI124" i="1"/>
  <c r="AI125" i="1"/>
  <c r="AI126" i="1"/>
  <c r="AI127" i="1"/>
  <c r="AE155" i="1"/>
  <c r="AG155" i="1"/>
  <c r="AG128" i="1"/>
  <c r="AH128" i="1"/>
  <c r="AI128" i="1" s="1"/>
  <c r="AJ128" i="1"/>
  <c r="AK157" i="1" s="1"/>
  <c r="AE156" i="1"/>
  <c r="AF156" i="1"/>
  <c r="AG156" i="1"/>
  <c r="AI129" i="1"/>
  <c r="AE157" i="1"/>
  <c r="AF157" i="1"/>
  <c r="AG157" i="1"/>
  <c r="AI130" i="1"/>
  <c r="AI131" i="1"/>
  <c r="AE160" i="1"/>
  <c r="AI160" i="1"/>
  <c r="AK160" i="1"/>
  <c r="AE161" i="1"/>
  <c r="AI161" i="1"/>
  <c r="AJ161" i="1"/>
  <c r="AK161" i="1"/>
  <c r="AE162" i="1"/>
  <c r="AG162" i="1"/>
  <c r="AI162" i="1"/>
  <c r="AJ162" i="1"/>
  <c r="AK162" i="1"/>
  <c r="AN156" i="1"/>
  <c r="AQ162" i="1"/>
  <c r="AJ157" i="1" l="1"/>
  <c r="AI156" i="1"/>
  <c r="AF122" i="1"/>
  <c r="AI157" i="1"/>
  <c r="AF128" i="1"/>
  <c r="AI155" i="1"/>
  <c r="AF116" i="1"/>
  <c r="AJ156" i="1"/>
  <c r="AJ155" i="1"/>
  <c r="K26" i="13"/>
  <c r="K27" i="13"/>
  <c r="AU138" i="1" l="1"/>
  <c r="AU129" i="1"/>
  <c r="AU122" i="1"/>
  <c r="AU119" i="1"/>
  <c r="AU116" i="1"/>
  <c r="AU117" i="1"/>
  <c r="AU126" i="1"/>
  <c r="AU135" i="1"/>
  <c r="AU132" i="1"/>
  <c r="AU120" i="1"/>
  <c r="AU121" i="1"/>
  <c r="AU130" i="1"/>
  <c r="AU127" i="1"/>
  <c r="AU136" i="1"/>
  <c r="AU133" i="1"/>
  <c r="AU125" i="1"/>
  <c r="AU134" i="1"/>
  <c r="AU118" i="1"/>
  <c r="AU124" i="1"/>
  <c r="AU128" i="1"/>
  <c r="AU137" i="1"/>
  <c r="B29" i="13" l="1"/>
  <c r="B28" i="13"/>
  <c r="B33" i="13" s="1"/>
  <c r="B27" i="13"/>
  <c r="B32" i="13" s="1"/>
  <c r="K32" i="13" l="1"/>
  <c r="B44" i="13"/>
  <c r="E44" i="13" s="1"/>
  <c r="H33" i="13"/>
  <c r="E33" i="13"/>
  <c r="B37" i="13"/>
  <c r="B36" i="13"/>
  <c r="E27" i="13"/>
  <c r="H27" i="13" s="1"/>
  <c r="B236" i="13" l="1"/>
  <c r="H236" i="13" s="1"/>
  <c r="E37" i="13"/>
  <c r="H37" i="13"/>
  <c r="E32" i="13"/>
  <c r="E236" i="13" l="1"/>
  <c r="Q64" i="1" s="1"/>
  <c r="E36" i="13"/>
  <c r="K36" i="13"/>
  <c r="B131" i="13"/>
  <c r="E131" i="13" l="1"/>
  <c r="N165" i="17"/>
  <c r="B198" i="13" l="1"/>
  <c r="B257" i="13" l="1"/>
  <c r="B197" i="13" l="1"/>
  <c r="H318" i="18" l="1"/>
  <c r="H317" i="18"/>
  <c r="H316" i="18"/>
  <c r="K87" i="13" l="1"/>
  <c r="K86" i="13"/>
  <c r="H234" i="18" l="1"/>
  <c r="H230" i="18"/>
  <c r="H229" i="18"/>
  <c r="C179" i="18"/>
  <c r="H237" i="13"/>
  <c r="C180" i="13"/>
  <c r="N50" i="13"/>
  <c r="N47" i="13"/>
  <c r="B132" i="13"/>
  <c r="B26" i="13"/>
  <c r="CG36" i="1"/>
  <c r="CE36" i="1"/>
  <c r="CE12" i="1"/>
  <c r="BL5" i="1"/>
  <c r="E132" i="13" l="1"/>
  <c r="Q65" i="1"/>
  <c r="K23" i="1"/>
  <c r="K37" i="13"/>
  <c r="CI47" i="1"/>
  <c r="H132" i="13"/>
  <c r="H36" i="13"/>
  <c r="B86" i="18"/>
  <c r="E86" i="18" s="1"/>
  <c r="H131" i="13" l="1"/>
  <c r="B43" i="13"/>
  <c r="E43" i="13" s="1"/>
  <c r="H32" i="13"/>
  <c r="I25" i="1"/>
  <c r="J26" i="1" l="1"/>
  <c r="B85" i="18"/>
  <c r="E85" i="18" s="1"/>
  <c r="J25" i="1"/>
  <c r="H86" i="18"/>
  <c r="H85" i="18" l="1"/>
  <c r="H113" i="13" l="1"/>
  <c r="H114" i="13"/>
  <c r="H115" i="13"/>
  <c r="E109" i="13" l="1"/>
  <c r="E110" i="13" l="1"/>
  <c r="H110" i="13"/>
  <c r="H109" i="13"/>
  <c r="E110" i="17"/>
  <c r="H110" i="17"/>
  <c r="H34" i="13" l="1"/>
  <c r="E34" i="13"/>
  <c r="B38" i="13"/>
  <c r="B133" i="13" l="1"/>
  <c r="E38" i="13"/>
  <c r="H38" i="13"/>
  <c r="K38" i="13"/>
  <c r="H133" i="13" l="1"/>
  <c r="E133" i="13"/>
  <c r="B87" i="18"/>
  <c r="H87" i="18" s="1"/>
  <c r="E87" i="18" l="1"/>
  <c r="E111" i="17" l="1"/>
  <c r="H111" i="17"/>
  <c r="H111" i="13" l="1"/>
  <c r="E111" i="13"/>
  <c r="N245" i="18" l="1"/>
  <c r="K198" i="18"/>
  <c r="K331" i="18" l="1"/>
  <c r="K330" i="18"/>
  <c r="K332" i="18"/>
  <c r="AO67" i="1" l="1"/>
  <c r="AM76" i="1" l="1"/>
  <c r="AG146" i="1"/>
  <c r="AO152" i="1"/>
  <c r="AH146" i="1"/>
  <c r="AI146" i="1" s="1"/>
  <c r="AO156" i="1" l="1"/>
  <c r="AG145" i="1" l="1"/>
  <c r="AP152" i="1"/>
  <c r="AP156" i="1" l="1"/>
  <c r="AP160" i="1"/>
  <c r="AP162" i="1" s="1"/>
  <c r="AH145" i="1" l="1"/>
  <c r="AI145" i="1" s="1"/>
  <c r="AO68" i="1" l="1"/>
  <c r="AM77" i="1" l="1"/>
  <c r="BK10" i="1" l="1"/>
  <c r="BL10" i="1" l="1"/>
  <c r="BR10" i="1" s="1"/>
  <c r="BM10" i="1"/>
  <c r="BS10" i="1" s="1"/>
  <c r="C57" i="10" l="1"/>
  <c r="E90" i="17" l="1"/>
  <c r="H90" i="17"/>
  <c r="B90" i="17"/>
  <c r="C18" i="10" l="1"/>
  <c r="BK33" i="1" l="1"/>
  <c r="BL33" i="1" l="1"/>
  <c r="BR22" i="1" l="1"/>
  <c r="BM33" i="1"/>
  <c r="BS22" i="1" l="1"/>
  <c r="C9" i="10" l="1"/>
  <c r="C24" i="10"/>
  <c r="AV75" i="1" l="1"/>
  <c r="K9" i="10"/>
  <c r="N9" i="10" s="1"/>
  <c r="F41" i="1" l="1"/>
  <c r="E41" i="1"/>
  <c r="E171" i="13"/>
  <c r="E172" i="13"/>
  <c r="E170" i="13"/>
  <c r="E40" i="1"/>
  <c r="F40" i="1"/>
  <c r="E170" i="17"/>
  <c r="E171" i="17"/>
  <c r="E172" i="17"/>
  <c r="BM17" i="1" l="1"/>
  <c r="BL17" i="1"/>
  <c r="BK17" i="1"/>
  <c r="B171" i="13"/>
  <c r="BB17" i="1"/>
  <c r="BC17" i="1" s="1"/>
  <c r="AZ17" i="1"/>
  <c r="BA17" i="1" s="1"/>
  <c r="B170" i="17"/>
  <c r="H170" i="17" s="1"/>
  <c r="B172" i="13"/>
  <c r="BF17" i="1"/>
  <c r="BG17" i="1" s="1"/>
  <c r="BH17" i="1"/>
  <c r="BI17" i="1" s="1"/>
  <c r="B172" i="17"/>
  <c r="H172" i="17" s="1"/>
  <c r="BD17" i="1"/>
  <c r="BE17" i="1" s="1"/>
  <c r="B171" i="17"/>
  <c r="H171" i="17" s="1"/>
  <c r="AX17" i="1"/>
  <c r="AY17" i="1" s="1"/>
  <c r="B170" i="13"/>
  <c r="B168" i="18" l="1"/>
  <c r="H172" i="13"/>
  <c r="B166" i="18"/>
  <c r="H170" i="13"/>
  <c r="O170" i="17"/>
  <c r="BJ17" i="1"/>
  <c r="H171" i="13"/>
  <c r="B167" i="18"/>
  <c r="E166" i="18" l="1"/>
  <c r="H166" i="18"/>
  <c r="H168" i="18"/>
  <c r="E168" i="18"/>
  <c r="H167" i="18"/>
  <c r="E167" i="18"/>
  <c r="C58" i="10" l="1"/>
  <c r="F58" i="10" l="1"/>
  <c r="C59" i="10" l="1"/>
  <c r="B93" i="13"/>
  <c r="E93" i="13"/>
  <c r="H93" i="13"/>
  <c r="F59" i="10" l="1"/>
  <c r="P102" i="13"/>
  <c r="M94" i="17"/>
  <c r="P98" i="13"/>
  <c r="M96" i="13"/>
  <c r="P104" i="13"/>
  <c r="P100" i="13"/>
  <c r="P99" i="13"/>
  <c r="P103" i="13"/>
  <c r="H93" i="17" l="1"/>
  <c r="B93" i="17"/>
  <c r="E93" i="17"/>
  <c r="P99" i="17" l="1"/>
  <c r="P103" i="17"/>
  <c r="P100" i="17"/>
  <c r="P104" i="17"/>
  <c r="M96" i="17"/>
  <c r="O96" i="17" s="1"/>
  <c r="N169" i="17"/>
  <c r="P102" i="17"/>
  <c r="P98" i="17"/>
  <c r="C7" i="10" l="1"/>
  <c r="J118" i="13" l="1"/>
  <c r="J117" i="13"/>
  <c r="J115" i="13"/>
  <c r="J114" i="13" s="1"/>
  <c r="J119" i="13" l="1"/>
  <c r="C20" i="10"/>
  <c r="K108" i="13" l="1"/>
  <c r="L155" i="13"/>
  <c r="K29" i="10" l="1"/>
  <c r="K30" i="10" l="1"/>
  <c r="F31" i="10" l="1"/>
  <c r="B41" i="13" s="1"/>
  <c r="B56" i="13" l="1"/>
  <c r="B41" i="17"/>
  <c r="B147" i="18"/>
  <c r="E66" i="13"/>
  <c r="B52" i="17" l="1"/>
  <c r="E52" i="17" s="1"/>
  <c r="B49" i="17"/>
  <c r="H56" i="13"/>
  <c r="E56" i="13"/>
  <c r="B56" i="17" l="1"/>
  <c r="E49" i="17"/>
  <c r="K66" i="17" l="1"/>
  <c r="E56" i="17"/>
  <c r="B126" i="18"/>
  <c r="H56" i="17"/>
  <c r="N56" i="17"/>
  <c r="H126" i="18" l="1"/>
  <c r="E126" i="18"/>
  <c r="B8" i="18" l="1"/>
  <c r="N186" i="18"/>
  <c r="E8" i="18" l="1"/>
  <c r="H8" i="18"/>
  <c r="K8" i="18" s="1"/>
  <c r="B58" i="13" l="1"/>
  <c r="B237" i="17"/>
  <c r="B236" i="17"/>
  <c r="B58" i="17"/>
  <c r="H237" i="17" l="1"/>
  <c r="E237" i="17"/>
  <c r="E58" i="13"/>
  <c r="B63" i="13"/>
  <c r="E65" i="13"/>
  <c r="B128" i="18"/>
  <c r="B59" i="13"/>
  <c r="AD50" i="1" s="1"/>
  <c r="H58" i="13"/>
  <c r="H236" i="17"/>
  <c r="E236" i="17"/>
  <c r="B67" i="17"/>
  <c r="E58" i="17"/>
  <c r="B59" i="17"/>
  <c r="AD51" i="1" s="1"/>
  <c r="H58" i="17"/>
  <c r="N67" i="17"/>
  <c r="K22" i="1" l="1"/>
  <c r="P65" i="1"/>
  <c r="N71" i="1"/>
  <c r="A133" i="18"/>
  <c r="H128" i="18"/>
  <c r="B139" i="18"/>
  <c r="B140" i="18" s="1"/>
  <c r="B141" i="18" s="1"/>
  <c r="E128" i="18"/>
  <c r="P64" i="1"/>
  <c r="N70" i="1"/>
  <c r="AI32" i="1"/>
  <c r="AI31" i="1"/>
  <c r="B166" i="13"/>
  <c r="H63" i="13"/>
  <c r="B290" i="13"/>
  <c r="E63" i="13"/>
  <c r="N23" i="1" s="1"/>
  <c r="B64" i="13"/>
  <c r="E166" i="13" l="1"/>
  <c r="L31" i="1" s="1"/>
  <c r="H166" i="13"/>
  <c r="H290" i="13"/>
  <c r="K290" i="13" s="1"/>
  <c r="E290" i="13"/>
  <c r="BF8" i="1" s="1"/>
  <c r="BG8" i="1" s="1"/>
  <c r="AM49" i="1" l="1"/>
  <c r="AN49" i="1" s="1"/>
  <c r="AM52" i="1" l="1"/>
  <c r="AM54" i="1" l="1"/>
  <c r="AN52" i="1"/>
  <c r="AM53" i="1"/>
  <c r="AO52" i="1"/>
  <c r="AO54" i="1" l="1"/>
  <c r="AN54" i="1"/>
  <c r="AO53" i="1"/>
  <c r="AN53" i="1"/>
  <c r="E256" i="17" l="1"/>
  <c r="N259" i="17"/>
  <c r="E64" i="17"/>
  <c r="B269" i="17"/>
  <c r="B63" i="17"/>
  <c r="B290" i="17" l="1"/>
  <c r="B292" i="18"/>
  <c r="E66" i="17"/>
  <c r="E67" i="17" s="1"/>
  <c r="N68" i="17" s="1"/>
  <c r="B133" i="18"/>
  <c r="B166" i="17"/>
  <c r="H63" i="17"/>
  <c r="E63" i="17"/>
  <c r="N22" i="1" s="1"/>
  <c r="B270" i="17"/>
  <c r="E269" i="17"/>
  <c r="H133" i="18" l="1"/>
  <c r="E133" i="18"/>
  <c r="B137" i="18"/>
  <c r="H292" i="18"/>
  <c r="E292" i="18"/>
  <c r="P221" i="17"/>
  <c r="E270" i="17"/>
  <c r="E166" i="17"/>
  <c r="L30" i="1" s="1"/>
  <c r="H166" i="17"/>
  <c r="B161" i="18"/>
  <c r="H290" i="17"/>
  <c r="K290" i="17" s="1"/>
  <c r="E290" i="17"/>
  <c r="BH8" i="1" s="1"/>
  <c r="BI8" i="1" s="1"/>
  <c r="BJ8" i="1" s="1"/>
  <c r="E161" i="18" l="1"/>
  <c r="H161" i="18"/>
  <c r="J146" i="18" l="1"/>
  <c r="O148" i="18" s="1"/>
  <c r="H152" i="18" l="1"/>
  <c r="K152" i="18" l="1"/>
  <c r="BL31" i="1" l="1"/>
  <c r="K36" i="10" l="1"/>
  <c r="E122" i="13" l="1"/>
  <c r="E121" i="13"/>
  <c r="E123" i="13"/>
  <c r="C10" i="10" l="1"/>
  <c r="K17" i="10" l="1"/>
  <c r="C17" i="10"/>
  <c r="K16" i="10"/>
  <c r="K15" i="10"/>
  <c r="K14" i="10"/>
  <c r="C15" i="10"/>
  <c r="C16" i="10"/>
  <c r="K38" i="10" s="1"/>
  <c r="B8" i="13" l="1"/>
  <c r="B9" i="13"/>
  <c r="B9" i="17"/>
  <c r="B10" i="13"/>
  <c r="B10" i="17"/>
  <c r="BA40" i="1" l="1"/>
  <c r="BC40" i="1" s="1"/>
  <c r="B275" i="17"/>
  <c r="BH30" i="1" s="1"/>
  <c r="BI30" i="1" s="1"/>
  <c r="M251" i="17"/>
  <c r="P118" i="13"/>
  <c r="H9" i="17"/>
  <c r="M249" i="17"/>
  <c r="M247" i="17"/>
  <c r="B327" i="17"/>
  <c r="E9" i="17"/>
  <c r="BD30" i="1"/>
  <c r="BE30" i="1" s="1"/>
  <c r="C13" i="10"/>
  <c r="E10" i="17"/>
  <c r="H10" i="17"/>
  <c r="N118" i="13"/>
  <c r="E10" i="13"/>
  <c r="N163" i="17"/>
  <c r="N117" i="13"/>
  <c r="H10" i="13"/>
  <c r="K10" i="13" s="1"/>
  <c r="E9" i="13"/>
  <c r="M251" i="13"/>
  <c r="M249" i="13"/>
  <c r="B275" i="13"/>
  <c r="B326" i="13"/>
  <c r="B327" i="13"/>
  <c r="P117" i="13"/>
  <c r="N159" i="17"/>
  <c r="H9" i="13"/>
  <c r="M247" i="13"/>
  <c r="BM31" i="1" l="1"/>
  <c r="BK31" i="1"/>
  <c r="AZ30" i="1"/>
  <c r="BA30" i="1" s="1"/>
  <c r="L12" i="1"/>
  <c r="P119" i="13"/>
  <c r="E327" i="17"/>
  <c r="H327" i="17"/>
  <c r="K327" i="17" s="1"/>
  <c r="B274" i="17"/>
  <c r="H275" i="17"/>
  <c r="K275" i="17" s="1"/>
  <c r="E275" i="17"/>
  <c r="B333" i="17"/>
  <c r="B335" i="17" s="1"/>
  <c r="N257" i="13"/>
  <c r="K9" i="13"/>
  <c r="E327" i="13"/>
  <c r="H327" i="13"/>
  <c r="K327" i="13" s="1"/>
  <c r="N257" i="17"/>
  <c r="K9" i="17"/>
  <c r="B274" i="13"/>
  <c r="E275" i="13"/>
  <c r="B277" i="18"/>
  <c r="H275" i="13"/>
  <c r="N119" i="13"/>
  <c r="K12" i="1"/>
  <c r="H335" i="17" l="1"/>
  <c r="K335" i="17" s="1"/>
  <c r="E335" i="17"/>
  <c r="E274" i="13"/>
  <c r="H274" i="13"/>
  <c r="B333" i="13"/>
  <c r="H274" i="17"/>
  <c r="K274" i="17" s="1"/>
  <c r="N254" i="17" s="1"/>
  <c r="E274" i="17"/>
  <c r="H277" i="18"/>
  <c r="E277" i="18"/>
  <c r="B335" i="18"/>
  <c r="H333" i="17"/>
  <c r="K333" i="17" s="1"/>
  <c r="E333" i="17"/>
  <c r="E333" i="13" l="1"/>
  <c r="H333" i="13"/>
  <c r="K333" i="13" s="1"/>
  <c r="H335" i="18"/>
  <c r="E335" i="18"/>
  <c r="N253" i="17"/>
  <c r="K274" i="13"/>
  <c r="K275" i="13"/>
  <c r="M271" i="13" s="1"/>
  <c r="N255" i="17"/>
  <c r="K10" i="10" l="1"/>
  <c r="N10" i="10" s="1"/>
  <c r="N12" i="10" l="1"/>
  <c r="B5" i="13" l="1"/>
  <c r="B5" i="17"/>
  <c r="H5" i="17" l="1"/>
  <c r="E5" i="17"/>
  <c r="H5" i="13"/>
  <c r="E5" i="13"/>
  <c r="C11" i="10" l="1"/>
  <c r="K12" i="10"/>
  <c r="C12" i="10" l="1"/>
  <c r="B4" i="13" l="1"/>
  <c r="B78" i="17"/>
  <c r="B4" i="17"/>
  <c r="B78" i="13"/>
  <c r="H78" i="17" l="1"/>
  <c r="B81" i="17" s="1"/>
  <c r="E81" i="17" s="1"/>
  <c r="L78" i="17"/>
  <c r="E78" i="17"/>
  <c r="B11" i="13"/>
  <c r="B73" i="13"/>
  <c r="B75" i="13"/>
  <c r="B74" i="13"/>
  <c r="H4" i="13"/>
  <c r="B5" i="18"/>
  <c r="B6" i="13"/>
  <c r="B7" i="13"/>
  <c r="E4" i="13"/>
  <c r="O4" i="13"/>
  <c r="E78" i="13"/>
  <c r="H78" i="13"/>
  <c r="B81" i="13" s="1"/>
  <c r="E81" i="13" s="1"/>
  <c r="L78" i="13"/>
  <c r="H4" i="17"/>
  <c r="B6" i="17"/>
  <c r="E4" i="17"/>
  <c r="B7" i="17"/>
  <c r="B74" i="17"/>
  <c r="B73" i="17"/>
  <c r="B75" i="17"/>
  <c r="B20" i="17" l="1"/>
  <c r="E74" i="17"/>
  <c r="H74" i="17"/>
  <c r="E15" i="17"/>
  <c r="K4" i="17"/>
  <c r="B20" i="13"/>
  <c r="H74" i="13"/>
  <c r="E74" i="13"/>
  <c r="E15" i="13"/>
  <c r="B21" i="13"/>
  <c r="H75" i="13"/>
  <c r="E75" i="13"/>
  <c r="H15" i="13"/>
  <c r="E75" i="17"/>
  <c r="H75" i="17"/>
  <c r="H15" i="17"/>
  <c r="B21" i="17"/>
  <c r="B12" i="18"/>
  <c r="B302" i="18"/>
  <c r="E5" i="18"/>
  <c r="H5" i="18"/>
  <c r="K5" i="18" s="1"/>
  <c r="H73" i="13"/>
  <c r="B19" i="13"/>
  <c r="E73" i="13"/>
  <c r="B15" i="13"/>
  <c r="E73" i="17"/>
  <c r="B15" i="17"/>
  <c r="H73" i="17"/>
  <c r="B19" i="17"/>
  <c r="K4" i="13"/>
  <c r="N131" i="13" l="1"/>
  <c r="J29" i="1" s="1"/>
  <c r="N32" i="13"/>
  <c r="N132" i="13"/>
  <c r="E19" i="13"/>
  <c r="B145" i="13"/>
  <c r="H19" i="13"/>
  <c r="K19" i="13" s="1"/>
  <c r="N133" i="13"/>
  <c r="E302" i="18"/>
  <c r="H302" i="18"/>
  <c r="B356" i="18"/>
  <c r="E12" i="18"/>
  <c r="H12" i="18"/>
  <c r="K12" i="18" s="1"/>
  <c r="E21" i="17"/>
  <c r="N34" i="17"/>
  <c r="H21" i="17"/>
  <c r="K21" i="17" s="1"/>
  <c r="N33" i="13"/>
  <c r="E20" i="13"/>
  <c r="H20" i="13"/>
  <c r="K20" i="13" s="1"/>
  <c r="H19" i="17"/>
  <c r="K19" i="17" s="1"/>
  <c r="N133" i="17"/>
  <c r="I28" i="1" s="1"/>
  <c r="N32" i="17"/>
  <c r="B145" i="17"/>
  <c r="N132" i="17"/>
  <c r="E19" i="17"/>
  <c r="N131" i="17"/>
  <c r="J28" i="1" s="1"/>
  <c r="BM13" i="1"/>
  <c r="BL13" i="1"/>
  <c r="BK13" i="1"/>
  <c r="H21" i="13"/>
  <c r="K21" i="13" s="1"/>
  <c r="N34" i="13"/>
  <c r="E21" i="13"/>
  <c r="N33" i="17"/>
  <c r="H20" i="17"/>
  <c r="K20" i="17" s="1"/>
  <c r="E20" i="17"/>
  <c r="B125" i="17" l="1"/>
  <c r="E356" i="18"/>
  <c r="H356" i="18"/>
  <c r="K356" i="18" s="1"/>
  <c r="E47" i="13"/>
  <c r="B47" i="13" s="1"/>
  <c r="E50" i="13"/>
  <c r="B50" i="13" s="1"/>
  <c r="B123" i="13"/>
  <c r="B124" i="17"/>
  <c r="E51" i="17"/>
  <c r="B51" i="17" s="1"/>
  <c r="E48" i="17"/>
  <c r="B48" i="17" s="1"/>
  <c r="B123" i="17"/>
  <c r="E50" i="17" s="1"/>
  <c r="B50" i="17" s="1"/>
  <c r="E47" i="17"/>
  <c r="B47" i="17" s="1"/>
  <c r="H145" i="13"/>
  <c r="E145" i="13"/>
  <c r="B125" i="13"/>
  <c r="E145" i="17"/>
  <c r="H145" i="17"/>
  <c r="E51" i="13"/>
  <c r="B51" i="13" s="1"/>
  <c r="B124" i="13"/>
  <c r="E48" i="13"/>
  <c r="B48" i="13" s="1"/>
  <c r="B55" i="17" l="1"/>
  <c r="B66" i="17"/>
  <c r="B65" i="17"/>
  <c r="B54" i="17"/>
  <c r="B54" i="13"/>
  <c r="B65" i="13"/>
  <c r="B55" i="13"/>
  <c r="B66" i="13"/>
  <c r="H54" i="17" l="1"/>
  <c r="B235" i="17"/>
  <c r="B61" i="17"/>
  <c r="E54" i="17"/>
  <c r="N54" i="17"/>
  <c r="H55" i="17"/>
  <c r="B125" i="18"/>
  <c r="N55" i="17"/>
  <c r="E55" i="17"/>
  <c r="B62" i="17"/>
  <c r="E55" i="13"/>
  <c r="H55" i="13"/>
  <c r="B62" i="13"/>
  <c r="H54" i="13"/>
  <c r="B61" i="13"/>
  <c r="E54" i="13"/>
  <c r="B235" i="13"/>
  <c r="N54" i="13"/>
  <c r="H125" i="18" l="1"/>
  <c r="E125" i="18"/>
  <c r="B164" i="17"/>
  <c r="B288" i="17"/>
  <c r="B64" i="17"/>
  <c r="H61" i="17"/>
  <c r="E61" i="17"/>
  <c r="B289" i="17"/>
  <c r="H62" i="17"/>
  <c r="E62" i="17"/>
  <c r="B165" i="17"/>
  <c r="H235" i="17"/>
  <c r="E235" i="17"/>
  <c r="H61" i="13"/>
  <c r="B131" i="18"/>
  <c r="B164" i="13"/>
  <c r="B290" i="18"/>
  <c r="E61" i="13"/>
  <c r="B288" i="13"/>
  <c r="E235" i="13"/>
  <c r="H235" i="13"/>
  <c r="B228" i="18"/>
  <c r="E62" i="13"/>
  <c r="B132" i="18"/>
  <c r="B165" i="13"/>
  <c r="B289" i="13"/>
  <c r="B291" i="18"/>
  <c r="H62" i="13"/>
  <c r="E289" i="13" l="1"/>
  <c r="BB8" i="1" s="1"/>
  <c r="BC8" i="1" s="1"/>
  <c r="H289" i="13"/>
  <c r="K289" i="13" s="1"/>
  <c r="E228" i="18"/>
  <c r="H228" i="18"/>
  <c r="E164" i="17"/>
  <c r="M30" i="1" s="1"/>
  <c r="H164" i="17"/>
  <c r="H165" i="13"/>
  <c r="B160" i="18"/>
  <c r="E165" i="13"/>
  <c r="E132" i="18"/>
  <c r="B136" i="18"/>
  <c r="H132" i="18"/>
  <c r="Q63" i="1"/>
  <c r="N69" i="1"/>
  <c r="L23" i="1"/>
  <c r="B159" i="18"/>
  <c r="E164" i="13"/>
  <c r="M31" i="1" s="1"/>
  <c r="O164" i="17"/>
  <c r="H164" i="13"/>
  <c r="H289" i="17"/>
  <c r="K289" i="17" s="1"/>
  <c r="E289" i="17"/>
  <c r="BD8" i="1" s="1"/>
  <c r="BE8" i="1" s="1"/>
  <c r="H290" i="18"/>
  <c r="E290" i="18"/>
  <c r="P63" i="1"/>
  <c r="L22" i="1"/>
  <c r="H291" i="18"/>
  <c r="E291" i="18"/>
  <c r="E288" i="13"/>
  <c r="AX8" i="1" s="1"/>
  <c r="AY8" i="1" s="1"/>
  <c r="H288" i="13"/>
  <c r="K288" i="13" s="1"/>
  <c r="B135" i="18"/>
  <c r="H131" i="18"/>
  <c r="E131" i="18"/>
  <c r="H165" i="17"/>
  <c r="E165" i="17"/>
  <c r="E288" i="17"/>
  <c r="AZ8" i="1" s="1"/>
  <c r="BA8" i="1" s="1"/>
  <c r="H288" i="17"/>
  <c r="K288" i="17" s="1"/>
  <c r="H159" i="18" l="1"/>
  <c r="E159" i="18"/>
  <c r="E160" i="18"/>
  <c r="H160" i="18"/>
  <c r="BM9" i="1" l="1"/>
  <c r="BS9" i="1" s="1"/>
  <c r="BK9" i="1"/>
  <c r="BL9" i="1" l="1"/>
  <c r="BR9" i="1" s="1"/>
  <c r="E168" i="17" l="1"/>
  <c r="B168" i="17" s="1"/>
  <c r="E167" i="17"/>
  <c r="BD16" i="1" l="1"/>
  <c r="BE16" i="1" s="1"/>
  <c r="B167" i="17"/>
  <c r="AZ16" i="1"/>
  <c r="BA16" i="1" s="1"/>
  <c r="G36" i="1"/>
  <c r="I40" i="1" s="1"/>
  <c r="B305" i="17"/>
  <c r="H168" i="17"/>
  <c r="E167" i="13"/>
  <c r="BK16" i="1" l="1"/>
  <c r="BL16" i="1"/>
  <c r="AX16" i="1"/>
  <c r="AY16" i="1" s="1"/>
  <c r="G37" i="1"/>
  <c r="I41" i="1" s="1"/>
  <c r="B167" i="13"/>
  <c r="H167" i="17"/>
  <c r="B304" i="17"/>
  <c r="H305" i="17"/>
  <c r="E305" i="17"/>
  <c r="H167" i="13" l="1"/>
  <c r="B304" i="13"/>
  <c r="B163" i="18"/>
  <c r="O167" i="17"/>
  <c r="E304" i="17"/>
  <c r="H304" i="17"/>
  <c r="BL19" i="1" l="1"/>
  <c r="H163" i="18"/>
  <c r="E163" i="18"/>
  <c r="E304" i="13"/>
  <c r="H304" i="13"/>
  <c r="K304" i="13" s="1"/>
  <c r="BK18" i="1" l="1"/>
  <c r="BK19" i="1"/>
  <c r="BK23" i="1" l="1"/>
  <c r="AF10" i="1" l="1"/>
  <c r="AH11" i="1"/>
  <c r="AF11" i="1"/>
  <c r="AE10" i="1"/>
  <c r="AC10" i="1"/>
  <c r="AE11" i="1"/>
  <c r="AA2" i="1" l="1"/>
  <c r="Z2" i="1"/>
  <c r="AG11" i="1" l="1"/>
  <c r="AC11" i="1"/>
  <c r="E169" i="17" l="1"/>
  <c r="BH16" i="1" s="1"/>
  <c r="BI16" i="1" s="1"/>
  <c r="E169" i="13"/>
  <c r="G40" i="1"/>
  <c r="H40" i="1" s="1"/>
  <c r="B169" i="17" l="1"/>
  <c r="E168" i="13"/>
  <c r="BB16" i="1" s="1"/>
  <c r="BC16" i="1" s="1"/>
  <c r="G41" i="1"/>
  <c r="H41" i="1" s="1"/>
  <c r="BF16" i="1"/>
  <c r="BG16" i="1" s="1"/>
  <c r="BJ16" i="1" s="1"/>
  <c r="B169" i="13"/>
  <c r="B306" i="17" l="1"/>
  <c r="E306" i="17" s="1"/>
  <c r="H169" i="17"/>
  <c r="B168" i="13"/>
  <c r="B305" i="13" s="1"/>
  <c r="BM16" i="1"/>
  <c r="B306" i="13"/>
  <c r="H169" i="13"/>
  <c r="B165" i="18"/>
  <c r="H306" i="17"/>
  <c r="B164" i="18" l="1"/>
  <c r="H164" i="18" s="1"/>
  <c r="H168" i="13"/>
  <c r="BM19" i="1"/>
  <c r="E305" i="13"/>
  <c r="H305" i="13"/>
  <c r="K305" i="13" s="1"/>
  <c r="E165" i="18"/>
  <c r="H165" i="18"/>
  <c r="E164" i="18"/>
  <c r="H306" i="13"/>
  <c r="K306" i="13" s="1"/>
  <c r="E306" i="13"/>
  <c r="BL18" i="1" l="1"/>
  <c r="BM18" i="1"/>
  <c r="BR11" i="1" l="1"/>
  <c r="BS11" i="1"/>
  <c r="BL23" i="1" l="1"/>
  <c r="BM23" i="1"/>
  <c r="BR16" i="1" l="1"/>
  <c r="BS16" i="1"/>
  <c r="AE8" i="1" l="1"/>
  <c r="AC9" i="1"/>
  <c r="AE9" i="1"/>
  <c r="AG9" i="1"/>
  <c r="AG8" i="1"/>
  <c r="AC8" i="1"/>
  <c r="AG17" i="1" l="1"/>
  <c r="AC16" i="1"/>
  <c r="AG16" i="1"/>
  <c r="AE16" i="1"/>
  <c r="AE17" i="1"/>
  <c r="AC17" i="1"/>
  <c r="AC34" i="1" l="1"/>
  <c r="AG34" i="1"/>
  <c r="AE34" i="1"/>
  <c r="AM62" i="1" l="1"/>
  <c r="AN62" i="1"/>
  <c r="AO62" i="1"/>
  <c r="AN95" i="1" l="1"/>
  <c r="AM95" i="1"/>
  <c r="AO95" i="1"/>
  <c r="AP11" i="1" l="1"/>
  <c r="AL11" i="1"/>
  <c r="AN11" i="1"/>
  <c r="AN13" i="1"/>
  <c r="AP13" i="1"/>
  <c r="AL13" i="1"/>
  <c r="AP21" i="1"/>
  <c r="AN19" i="1"/>
  <c r="AL19" i="1"/>
  <c r="AP19" i="1"/>
  <c r="AN21" i="1"/>
  <c r="AL21" i="1"/>
  <c r="AP6" i="1"/>
  <c r="AN6" i="1"/>
  <c r="AL6" i="1"/>
  <c r="AO94" i="1"/>
  <c r="AM94" i="1"/>
  <c r="AN94" i="1"/>
  <c r="AN20" i="1" l="1"/>
  <c r="AP20" i="1"/>
  <c r="AP18" i="1"/>
  <c r="AN18" i="1"/>
  <c r="AL20" i="1"/>
  <c r="AN12" i="1"/>
  <c r="AN10" i="1"/>
  <c r="AL12" i="1"/>
  <c r="AL10" i="1"/>
  <c r="AL18" i="1"/>
  <c r="AP12" i="1"/>
  <c r="AP10" i="1"/>
  <c r="AO78" i="1"/>
  <c r="AN78" i="1"/>
  <c r="AM78" i="1"/>
  <c r="AO69" i="1"/>
  <c r="AM69" i="1"/>
  <c r="AN69" i="1"/>
  <c r="AD12" i="1" l="1"/>
  <c r="AC12" i="1" l="1"/>
  <c r="AH12" i="1"/>
  <c r="AF12" i="1"/>
  <c r="AG12" i="1" l="1"/>
  <c r="AM71" i="1"/>
  <c r="AN71" i="1"/>
  <c r="AL15" i="1"/>
  <c r="AL14" i="1" s="1"/>
  <c r="AL8" i="1" s="1"/>
  <c r="AC22" i="1"/>
  <c r="AD37" i="1"/>
  <c r="AE12" i="1"/>
  <c r="AC20" i="1"/>
  <c r="AE20" i="1"/>
  <c r="AN73" i="1"/>
  <c r="AC14" i="1"/>
  <c r="AO71" i="1"/>
  <c r="AG20" i="1"/>
  <c r="AM73" i="1"/>
  <c r="K45" i="10" l="1"/>
  <c r="K46" i="10"/>
  <c r="AN15" i="1"/>
  <c r="AN14" i="1" s="1"/>
  <c r="AN8" i="1" s="1"/>
  <c r="AE22" i="1"/>
  <c r="AF37" i="1"/>
  <c r="AC24" i="1"/>
  <c r="AG22" i="1"/>
  <c r="AP15" i="1"/>
  <c r="AP14" i="1" s="1"/>
  <c r="AP8" i="1" s="1"/>
  <c r="AG14" i="1"/>
  <c r="AO73" i="1"/>
  <c r="AE14" i="1"/>
  <c r="AE24" i="1" l="1"/>
  <c r="AG24" i="1"/>
  <c r="K47" i="10"/>
  <c r="AC18" i="1"/>
  <c r="AC27" i="1"/>
  <c r="AD13" i="1"/>
  <c r="AC13" i="1" l="1"/>
  <c r="W90" i="1"/>
  <c r="AE27" i="1"/>
  <c r="AE18" i="1"/>
  <c r="AG18" i="1"/>
  <c r="AG27" i="1"/>
  <c r="AD2" i="1"/>
  <c r="AC29" i="1"/>
  <c r="BK53" i="1"/>
  <c r="AC37" i="1"/>
  <c r="AM80" i="1"/>
  <c r="AH13" i="1"/>
  <c r="AG13" i="1" l="1"/>
  <c r="W92" i="1"/>
  <c r="AC21" i="1"/>
  <c r="K24" i="10"/>
  <c r="K26" i="10" s="1"/>
  <c r="AC15" i="1"/>
  <c r="AH2" i="1"/>
  <c r="AH3" i="1" s="1"/>
  <c r="AA3" i="1"/>
  <c r="AC31" i="1"/>
  <c r="AG29" i="1"/>
  <c r="BM53" i="1"/>
  <c r="AE29" i="1"/>
  <c r="AE37" i="1"/>
  <c r="BL53" i="1"/>
  <c r="AL17" i="1"/>
  <c r="AL16" i="1" s="1"/>
  <c r="AL9" i="1" s="1"/>
  <c r="AC23" i="1"/>
  <c r="AC2" i="1"/>
  <c r="AC3" i="1" s="1"/>
  <c r="Y3" i="1"/>
  <c r="AM91" i="1"/>
  <c r="AM82" i="1"/>
  <c r="AO80" i="1"/>
  <c r="AF13" i="1"/>
  <c r="AC40" i="1" l="1"/>
  <c r="AC44" i="1" s="1"/>
  <c r="AC35" i="1"/>
  <c r="AE13" i="1"/>
  <c r="W91" i="1"/>
  <c r="AE31" i="1"/>
  <c r="K48" i="10"/>
  <c r="AC25" i="1"/>
  <c r="Y5" i="1"/>
  <c r="AG21" i="1"/>
  <c r="Z3" i="1"/>
  <c r="AF2" i="1"/>
  <c r="AF3" i="1" s="1"/>
  <c r="AG31" i="1"/>
  <c r="AP17" i="1"/>
  <c r="AP16" i="1" s="1"/>
  <c r="AP9" i="1" s="1"/>
  <c r="AG23" i="1"/>
  <c r="AG2" i="1"/>
  <c r="AG3" i="1" s="1"/>
  <c r="AO91" i="1"/>
  <c r="AO82" i="1"/>
  <c r="AN80" i="1"/>
  <c r="AG15" i="1"/>
  <c r="AF40" i="1" l="1"/>
  <c r="AO49" i="1"/>
  <c r="AG35" i="1"/>
  <c r="AE15" i="1"/>
  <c r="AE21" i="1"/>
  <c r="AC19" i="1"/>
  <c r="AC28" i="1"/>
  <c r="AG25" i="1"/>
  <c r="AN17" i="1"/>
  <c r="AN16" i="1" s="1"/>
  <c r="AN9" i="1" s="1"/>
  <c r="AE23" i="1"/>
  <c r="AE2" i="1"/>
  <c r="AE3" i="1" s="1"/>
  <c r="K50" i="10"/>
  <c r="AN91" i="1"/>
  <c r="AO76" i="1"/>
  <c r="AN82" i="1"/>
  <c r="AC42" i="1"/>
  <c r="AC41" i="1" l="1"/>
  <c r="AC45" i="1" s="1"/>
  <c r="AG144" i="1"/>
  <c r="AE35" i="1"/>
  <c r="AG19" i="1"/>
  <c r="AG28" i="1"/>
  <c r="K49" i="10"/>
  <c r="AE25" i="1"/>
  <c r="AF42" i="1"/>
  <c r="AC46" i="1"/>
  <c r="AC30" i="1"/>
  <c r="AC48" i="1"/>
  <c r="AN76" i="1"/>
  <c r="AF41" i="1" l="1"/>
  <c r="AH144" i="1" s="1"/>
  <c r="AI144" i="1" s="1"/>
  <c r="AE28" i="1"/>
  <c r="AE19" i="1"/>
  <c r="AG30" i="1"/>
  <c r="AF46" i="1" s="1"/>
  <c r="AF48" i="1"/>
  <c r="AC50" i="1"/>
  <c r="AC32" i="1"/>
  <c r="AF44" i="1"/>
  <c r="AG32" i="1" l="1"/>
  <c r="AC49" i="1"/>
  <c r="AC51" i="1" s="1"/>
  <c r="AE30" i="1"/>
  <c r="AE32" i="1" s="1"/>
  <c r="AM67" i="1" l="1"/>
  <c r="AF45" i="1"/>
  <c r="AF49" i="1"/>
  <c r="BM15" i="1" l="1"/>
  <c r="BL15" i="1"/>
  <c r="BK15" i="1"/>
  <c r="AN63" i="1"/>
  <c r="AO63" i="1"/>
  <c r="AO72" i="1" l="1"/>
  <c r="AH9" i="1"/>
  <c r="AF8" i="1"/>
  <c r="AH16" i="1"/>
  <c r="AF17" i="1"/>
  <c r="AN81" i="1"/>
  <c r="AH8" i="1"/>
  <c r="AF9" i="1"/>
  <c r="AH17" i="1"/>
  <c r="AF16" i="1"/>
  <c r="AO70" i="1" l="1"/>
  <c r="Z4" i="1"/>
  <c r="Z6" i="1" s="1"/>
  <c r="AF22" i="1"/>
  <c r="AF34" i="1"/>
  <c r="AH21" i="1"/>
  <c r="AF23" i="1"/>
  <c r="AF20" i="1"/>
  <c r="AF21" i="1"/>
  <c r="AN83" i="1"/>
  <c r="AN79" i="1"/>
  <c r="AH22" i="1"/>
  <c r="AH34" i="1"/>
  <c r="AA4" i="1"/>
  <c r="AA6" i="1" s="1"/>
  <c r="AO81" i="1"/>
  <c r="AO74" i="1"/>
  <c r="AH23" i="1"/>
  <c r="AH20" i="1"/>
  <c r="AN74" i="1" l="1"/>
  <c r="AN70" i="1"/>
  <c r="AA5" i="1"/>
  <c r="AH24" i="1"/>
  <c r="AH35" i="1"/>
  <c r="AF25" i="1"/>
  <c r="AH15" i="1"/>
  <c r="AH14" i="1"/>
  <c r="AO79" i="1"/>
  <c r="AF15" i="1"/>
  <c r="AF24" i="1"/>
  <c r="Z5" i="1"/>
  <c r="AH25" i="1"/>
  <c r="AF35" i="1"/>
  <c r="AF14" i="1"/>
  <c r="BL7" i="1" l="1"/>
  <c r="BM7" i="1"/>
  <c r="AF28" i="1"/>
  <c r="AF19" i="1"/>
  <c r="AH53" i="1"/>
  <c r="AF27" i="1"/>
  <c r="AF18" i="1"/>
  <c r="AH19" i="1"/>
  <c r="AH28" i="1"/>
  <c r="AD41" i="1"/>
  <c r="AH27" i="1"/>
  <c r="AH18" i="1"/>
  <c r="AD42" i="1"/>
  <c r="BL8" i="1" l="1"/>
  <c r="BM26" i="1"/>
  <c r="BS18" i="1" s="1"/>
  <c r="AH37" i="1"/>
  <c r="AH29" i="1"/>
  <c r="AG41" i="1"/>
  <c r="AD45" i="1"/>
  <c r="AH30" i="1"/>
  <c r="AH38" i="1"/>
  <c r="AD46" i="1"/>
  <c r="AG42" i="1"/>
  <c r="AF29" i="1"/>
  <c r="AD49" i="1"/>
  <c r="AG49" i="1" s="1"/>
  <c r="AF30" i="1"/>
  <c r="BR8" i="1" l="1"/>
  <c r="BM8" i="1"/>
  <c r="AF32" i="1"/>
  <c r="AH32" i="1"/>
  <c r="AG45" i="1"/>
  <c r="AF31" i="1"/>
  <c r="AG46" i="1"/>
  <c r="AH31" i="1"/>
  <c r="BS8" i="1" l="1"/>
  <c r="B148" i="18" l="1"/>
  <c r="AO77" i="1" l="1"/>
  <c r="AN77" i="1"/>
  <c r="B145" i="18" l="1"/>
  <c r="AM68" i="1"/>
  <c r="P28" i="1" l="1"/>
  <c r="S73" i="1"/>
  <c r="K139" i="18"/>
  <c r="K140" i="18" s="1"/>
  <c r="K141" i="18" s="1"/>
  <c r="AN67" i="1" l="1"/>
  <c r="BH26" i="1"/>
  <c r="BI26" i="1" s="1"/>
  <c r="BF26" i="1"/>
  <c r="AN68" i="1"/>
  <c r="BG26" i="1" l="1"/>
  <c r="BJ26" i="1" l="1"/>
  <c r="BK28" i="1" l="1"/>
  <c r="BK27" i="1"/>
  <c r="BL27" i="1" l="1"/>
  <c r="BR17" i="1" l="1"/>
  <c r="BL28" i="1"/>
  <c r="BM27" i="1" l="1"/>
  <c r="BM28" i="1" l="1"/>
  <c r="BS17" i="1"/>
  <c r="AM63" i="1" l="1"/>
  <c r="AN92" i="1" l="1"/>
  <c r="AO92" i="1"/>
  <c r="AM92" i="1"/>
  <c r="AD17" i="1" l="1"/>
  <c r="AQ11" i="1" l="1"/>
  <c r="AO11" i="1"/>
  <c r="AQ13" i="1"/>
  <c r="AO13" i="1"/>
  <c r="AO15" i="1"/>
  <c r="AO17" i="1"/>
  <c r="AM15" i="1"/>
  <c r="AQ17" i="1"/>
  <c r="AQ15" i="1"/>
  <c r="AM17" i="1"/>
  <c r="AM21" i="1"/>
  <c r="AO21" i="1"/>
  <c r="AQ19" i="1"/>
  <c r="AQ21" i="1"/>
  <c r="AO19" i="1"/>
  <c r="AD16" i="1"/>
  <c r="AQ6" i="1"/>
  <c r="AO6" i="1"/>
  <c r="AO20" i="1" l="1"/>
  <c r="AO12" i="1"/>
  <c r="AO18" i="1"/>
  <c r="AQ12" i="1"/>
  <c r="AD8" i="1"/>
  <c r="AQ20" i="1"/>
  <c r="AO16" i="1"/>
  <c r="AO10" i="1"/>
  <c r="AQ16" i="1"/>
  <c r="AD9" i="1"/>
  <c r="Y4" i="1"/>
  <c r="AD34" i="1"/>
  <c r="AM19" i="1"/>
  <c r="AQ18" i="1"/>
  <c r="AQ14" i="1"/>
  <c r="AO14" i="1"/>
  <c r="AQ10" i="1"/>
  <c r="AO9" i="1" l="1"/>
  <c r="AQ8" i="1"/>
  <c r="AO8" i="1"/>
  <c r="AQ9" i="1"/>
  <c r="AM6" i="1"/>
  <c r="AM18" i="1" s="1"/>
  <c r="AM20" i="1" l="1"/>
  <c r="AM5" i="1"/>
  <c r="AM14" i="1"/>
  <c r="AM16" i="1"/>
  <c r="AD10" i="1" l="1"/>
  <c r="AD11" i="1"/>
  <c r="AM81" i="1" l="1"/>
  <c r="AD20" i="1"/>
  <c r="AM13" i="1"/>
  <c r="AM12" i="1" s="1"/>
  <c r="AM9" i="1" s="1"/>
  <c r="AD23" i="1"/>
  <c r="AD21" i="1"/>
  <c r="AM11" i="1"/>
  <c r="AM10" i="1" s="1"/>
  <c r="AM8" i="1" s="1"/>
  <c r="AD22" i="1"/>
  <c r="Y2" i="1"/>
  <c r="Y6" i="1" s="1"/>
  <c r="AD3" i="1"/>
  <c r="AD24" i="1" l="1"/>
  <c r="AD15" i="1"/>
  <c r="AD25" i="1"/>
  <c r="AD35" i="1"/>
  <c r="AM79" i="1"/>
  <c r="AD14" i="1"/>
  <c r="AM74" i="1"/>
  <c r="AM70" i="1"/>
  <c r="AM72" i="1"/>
  <c r="AN72" i="1"/>
  <c r="AD28" i="1" l="1"/>
  <c r="AD19" i="1"/>
  <c r="AD27" i="1"/>
  <c r="AD18" i="1"/>
  <c r="AO83" i="1"/>
  <c r="AM83" i="1"/>
  <c r="AD40" i="1"/>
  <c r="AG40" i="1" l="1"/>
  <c r="AD44" i="1"/>
  <c r="AD48" i="1"/>
  <c r="AG48" i="1" s="1"/>
  <c r="AD29" i="1"/>
  <c r="AD30" i="1"/>
  <c r="BK8" i="1" l="1"/>
  <c r="BK7" i="1"/>
  <c r="AD31" i="1"/>
  <c r="AG44" i="1"/>
  <c r="AD32" i="1"/>
  <c r="BK21" i="1" l="1"/>
  <c r="BA103" i="1"/>
  <c r="B340" i="13" l="1"/>
  <c r="BK43" i="1"/>
  <c r="B340" i="17"/>
  <c r="BM21" i="1"/>
  <c r="BA105" i="1"/>
  <c r="B341" i="17"/>
  <c r="BL43" i="1"/>
  <c r="BL21" i="1"/>
  <c r="BA104" i="1"/>
  <c r="H341" i="17" l="1"/>
  <c r="K341" i="17" s="1"/>
  <c r="B348" i="18"/>
  <c r="E341" i="17"/>
  <c r="BR15" i="1"/>
  <c r="B342" i="17"/>
  <c r="BM43" i="1"/>
  <c r="BS15" i="1"/>
  <c r="E340" i="13"/>
  <c r="B351" i="18"/>
  <c r="B277" i="13"/>
  <c r="H340" i="13"/>
  <c r="B342" i="18"/>
  <c r="B342" i="13"/>
  <c r="H340" i="17"/>
  <c r="K340" i="17" s="1"/>
  <c r="E340" i="17"/>
  <c r="B347" i="18"/>
  <c r="B341" i="13"/>
  <c r="E347" i="18" l="1"/>
  <c r="H347" i="18"/>
  <c r="E277" i="13"/>
  <c r="B281" i="13"/>
  <c r="H277" i="13"/>
  <c r="K277" i="13" s="1"/>
  <c r="B349" i="18"/>
  <c r="E342" i="17"/>
  <c r="H342" i="17"/>
  <c r="K342" i="17" s="1"/>
  <c r="B353" i="18"/>
  <c r="H342" i="13"/>
  <c r="E342" i="13"/>
  <c r="B344" i="18"/>
  <c r="B279" i="13"/>
  <c r="E351" i="18"/>
  <c r="H351" i="18"/>
  <c r="E348" i="18"/>
  <c r="H348" i="18"/>
  <c r="K340" i="13"/>
  <c r="H341" i="13"/>
  <c r="B343" i="18"/>
  <c r="B278" i="13"/>
  <c r="E341" i="13"/>
  <c r="B352" i="18"/>
  <c r="E342" i="18"/>
  <c r="H342" i="18"/>
  <c r="E352" i="18" l="1"/>
  <c r="H352" i="18"/>
  <c r="K341" i="13"/>
  <c r="H279" i="13"/>
  <c r="K279" i="13" s="1"/>
  <c r="B283" i="13"/>
  <c r="E279" i="13"/>
  <c r="H353" i="18"/>
  <c r="E353" i="18"/>
  <c r="H349" i="18"/>
  <c r="E349" i="18"/>
  <c r="K342" i="13"/>
  <c r="E344" i="18"/>
  <c r="H344" i="18"/>
  <c r="H343" i="18"/>
  <c r="E343" i="18"/>
  <c r="B282" i="13"/>
  <c r="H278" i="13"/>
  <c r="K278" i="13" s="1"/>
  <c r="E278" i="13"/>
  <c r="H281" i="13"/>
  <c r="K281" i="13" s="1"/>
  <c r="BK47" i="1" s="1"/>
  <c r="B329" i="13"/>
  <c r="B267" i="13"/>
  <c r="E281" i="13"/>
  <c r="E283" i="13" l="1"/>
  <c r="H283" i="13"/>
  <c r="K283" i="13" s="1"/>
  <c r="BM47" i="1" s="1"/>
  <c r="B331" i="13"/>
  <c r="B269" i="13"/>
  <c r="AX30" i="1"/>
  <c r="AY30" i="1" s="1"/>
  <c r="L13" i="1"/>
  <c r="E267" i="13"/>
  <c r="H267" i="13"/>
  <c r="K267" i="13" s="1"/>
  <c r="H329" i="13"/>
  <c r="K329" i="13" s="1"/>
  <c r="E329" i="13"/>
  <c r="B335" i="13"/>
  <c r="H282" i="13"/>
  <c r="K282" i="13" s="1"/>
  <c r="BL47" i="1" s="1"/>
  <c r="E282" i="13"/>
  <c r="B330" i="13"/>
  <c r="B268" i="13"/>
  <c r="E268" i="13" l="1"/>
  <c r="BB30" i="1"/>
  <c r="BC30" i="1" s="1"/>
  <c r="H268" i="13"/>
  <c r="K268" i="13" s="1"/>
  <c r="H335" i="13"/>
  <c r="E335" i="13"/>
  <c r="H331" i="13"/>
  <c r="K331" i="13" s="1"/>
  <c r="B337" i="13"/>
  <c r="E331" i="13"/>
  <c r="B336" i="13"/>
  <c r="H330" i="13"/>
  <c r="K330" i="13" s="1"/>
  <c r="E330" i="13"/>
  <c r="N253" i="13"/>
  <c r="K13" i="1"/>
  <c r="H269" i="13"/>
  <c r="K269" i="13" s="1"/>
  <c r="BF30" i="1"/>
  <c r="BG30" i="1" s="1"/>
  <c r="BJ30" i="1" s="1"/>
  <c r="E269" i="13"/>
  <c r="N254" i="13" l="1"/>
  <c r="H337" i="13"/>
  <c r="E337" i="13"/>
  <c r="H336" i="13"/>
  <c r="E336" i="13"/>
  <c r="N255" i="13"/>
  <c r="K335" i="13"/>
  <c r="BK48" i="1"/>
  <c r="K336" i="13" l="1"/>
  <c r="BL48" i="1"/>
  <c r="BM48" i="1"/>
  <c r="K337" i="13"/>
  <c r="B345" i="13"/>
  <c r="BK30" i="1"/>
  <c r="B346" i="13" l="1"/>
  <c r="BK41" i="1"/>
  <c r="BL30" i="1"/>
  <c r="BM30" i="1"/>
  <c r="E345" i="13"/>
  <c r="H345" i="13"/>
  <c r="K345" i="13" s="1"/>
  <c r="BK42" i="1"/>
  <c r="BK36" i="1"/>
  <c r="B347" i="13"/>
  <c r="BM41" i="1" l="1"/>
  <c r="BL41" i="1"/>
  <c r="BM42" i="1"/>
  <c r="BS20" i="1"/>
  <c r="BM36" i="1"/>
  <c r="BM37" i="1" s="1"/>
  <c r="H347" i="13"/>
  <c r="K347" i="13" s="1"/>
  <c r="E347" i="13"/>
  <c r="BL42" i="1"/>
  <c r="BR20" i="1"/>
  <c r="BL36" i="1"/>
  <c r="BL37" i="1" s="1"/>
  <c r="AG141" i="1"/>
  <c r="E346" i="13"/>
  <c r="H346" i="13"/>
  <c r="K346" i="13" s="1"/>
  <c r="AI141" i="1" l="1"/>
  <c r="AH141" i="1"/>
  <c r="B239" i="13" l="1"/>
  <c r="B241" i="13"/>
  <c r="B240" i="13"/>
  <c r="B170" i="18" l="1"/>
  <c r="E240" i="13"/>
  <c r="BB15" i="1" s="1"/>
  <c r="BC15" i="1" s="1"/>
  <c r="B259" i="13"/>
  <c r="H240" i="13"/>
  <c r="H239" i="13"/>
  <c r="K239" i="13" s="1"/>
  <c r="B169" i="18"/>
  <c r="B258" i="13"/>
  <c r="E239" i="13"/>
  <c r="B260" i="13"/>
  <c r="H241" i="13"/>
  <c r="B171" i="18"/>
  <c r="E241" i="13"/>
  <c r="D27" i="1" l="1"/>
  <c r="D17" i="1" s="1"/>
  <c r="AX15" i="1"/>
  <c r="AY15" i="1" s="1"/>
  <c r="E169" i="18"/>
  <c r="H169" i="18"/>
  <c r="M246" i="18"/>
  <c r="H260" i="13"/>
  <c r="E260" i="13"/>
  <c r="H258" i="13"/>
  <c r="K258" i="13" s="1"/>
  <c r="E258" i="13"/>
  <c r="E259" i="13"/>
  <c r="H259" i="13"/>
  <c r="C27" i="1"/>
  <c r="C17" i="1" s="1"/>
  <c r="BF15" i="1"/>
  <c r="BG15" i="1" s="1"/>
  <c r="BJ15" i="1" s="1"/>
  <c r="M250" i="18"/>
  <c r="M248" i="18"/>
  <c r="E171" i="18"/>
  <c r="H171" i="18"/>
  <c r="E170" i="18"/>
  <c r="H170" i="18"/>
  <c r="N262" i="13" l="1"/>
  <c r="BK32" i="1" s="1"/>
  <c r="N263" i="13"/>
  <c r="BL32" i="1" s="1"/>
  <c r="N264" i="13"/>
  <c r="BM32" i="1" s="1"/>
  <c r="AG143" i="1" l="1"/>
  <c r="BK45" i="1"/>
  <c r="BK39" i="1"/>
  <c r="BS21" i="1"/>
  <c r="BS26" i="1" s="1"/>
  <c r="BS25" i="1" s="1"/>
  <c r="AI143" i="1"/>
  <c r="BM39" i="1"/>
  <c r="BM45" i="1"/>
  <c r="AH143" i="1"/>
  <c r="BR21" i="1"/>
  <c r="BR26" i="1" s="1"/>
  <c r="BR25" i="1" s="1"/>
  <c r="BL45" i="1"/>
  <c r="BL39" i="1"/>
  <c r="AH142" i="1" l="1"/>
  <c r="BL55" i="1"/>
  <c r="BK55" i="1"/>
  <c r="AG142" i="1"/>
  <c r="AI142" i="1"/>
  <c r="BM55" i="1"/>
  <c r="BP15" i="1" l="1"/>
  <c r="BP32" i="1" l="1"/>
  <c r="BP39" i="1" l="1"/>
  <c r="BP36" i="1"/>
  <c r="C52" i="10" l="1"/>
  <c r="C51" i="10"/>
  <c r="F52" i="10" l="1"/>
  <c r="F51" i="10"/>
  <c r="B92" i="13" l="1"/>
  <c r="B82" i="13"/>
  <c r="H92" i="13"/>
  <c r="E92" i="13"/>
  <c r="B92" i="17"/>
  <c r="E92" i="17"/>
  <c r="B82" i="17"/>
  <c r="H92" i="17"/>
  <c r="E95" i="13" l="1"/>
  <c r="B83" i="13"/>
  <c r="E83" i="13" s="1"/>
  <c r="H82" i="13"/>
  <c r="B83" i="17"/>
  <c r="E83" i="17" s="1"/>
  <c r="H82" i="17"/>
  <c r="H95" i="13"/>
  <c r="B94" i="13"/>
  <c r="B95" i="13"/>
  <c r="C45" i="10" l="1"/>
  <c r="C46" i="10" l="1"/>
  <c r="L91" i="13"/>
  <c r="B89" i="13"/>
  <c r="K91" i="13"/>
  <c r="C47" i="10"/>
  <c r="L93" i="13" l="1"/>
  <c r="H89" i="13"/>
  <c r="K93" i="13"/>
  <c r="M95" i="13"/>
  <c r="B98" i="13"/>
  <c r="B95" i="17"/>
  <c r="B102" i="13"/>
  <c r="E89" i="13"/>
  <c r="L92" i="13"/>
  <c r="K92" i="13"/>
  <c r="C48" i="10" l="1"/>
  <c r="H102" i="13"/>
  <c r="N98" i="13"/>
  <c r="E102" i="13"/>
  <c r="B141" i="13"/>
  <c r="B126" i="13"/>
  <c r="E126" i="13" s="1"/>
  <c r="N102" i="13"/>
  <c r="B12" i="13"/>
  <c r="H95" i="17"/>
  <c r="B100" i="13"/>
  <c r="B104" i="13"/>
  <c r="B99" i="13"/>
  <c r="B103" i="13"/>
  <c r="E95" i="17"/>
  <c r="B211" i="13"/>
  <c r="B291" i="13"/>
  <c r="K117" i="13"/>
  <c r="B134" i="13"/>
  <c r="H98" i="13"/>
  <c r="E98" i="13"/>
  <c r="N78" i="1" s="1"/>
  <c r="L117" i="13"/>
  <c r="F121" i="13"/>
  <c r="H121" i="13" s="1"/>
  <c r="B117" i="13"/>
  <c r="B147" i="13" l="1"/>
  <c r="K114" i="13"/>
  <c r="E291" i="13"/>
  <c r="AX9" i="1" s="1"/>
  <c r="AY9" i="1" s="1"/>
  <c r="H291" i="13"/>
  <c r="B88" i="18"/>
  <c r="E134" i="13"/>
  <c r="H134" i="13"/>
  <c r="N134" i="13"/>
  <c r="F18" i="1" s="1"/>
  <c r="E117" i="13"/>
  <c r="B229" i="13"/>
  <c r="H117" i="13"/>
  <c r="B294" i="13"/>
  <c r="J225" i="13"/>
  <c r="B137" i="13"/>
  <c r="H211" i="13"/>
  <c r="B232" i="13"/>
  <c r="E211" i="13"/>
  <c r="M6" i="13"/>
  <c r="E12" i="13"/>
  <c r="B142" i="13"/>
  <c r="N99" i="13"/>
  <c r="H103" i="13"/>
  <c r="N6" i="13"/>
  <c r="B127" i="13"/>
  <c r="E127" i="13" s="1"/>
  <c r="E103" i="13"/>
  <c r="N103" i="13"/>
  <c r="N141" i="13"/>
  <c r="O117" i="13"/>
  <c r="H141" i="13"/>
  <c r="H12" i="13"/>
  <c r="N100" i="13"/>
  <c r="N104" i="13"/>
  <c r="B128" i="13"/>
  <c r="E128" i="13" s="1"/>
  <c r="H104" i="13"/>
  <c r="B143" i="13"/>
  <c r="E104" i="13"/>
  <c r="B13" i="13"/>
  <c r="M117" i="13"/>
  <c r="B89" i="17"/>
  <c r="K81" i="17"/>
  <c r="M81" i="17"/>
  <c r="B205" i="13"/>
  <c r="H99" i="13"/>
  <c r="B212" i="13"/>
  <c r="B135" i="13"/>
  <c r="E99" i="13"/>
  <c r="B101" i="13"/>
  <c r="B292" i="13"/>
  <c r="B136" i="13"/>
  <c r="E100" i="13"/>
  <c r="B213" i="13"/>
  <c r="B293" i="13"/>
  <c r="H100" i="13"/>
  <c r="B119" i="13"/>
  <c r="B149" i="13" l="1"/>
  <c r="F123" i="13"/>
  <c r="H123" i="13" s="1"/>
  <c r="BA38" i="1"/>
  <c r="F122" i="13"/>
  <c r="H122" i="13" s="1"/>
  <c r="H147" i="13"/>
  <c r="B118" i="13"/>
  <c r="C50" i="10"/>
  <c r="H136" i="13"/>
  <c r="N136" i="13"/>
  <c r="E18" i="1" s="1"/>
  <c r="E136" i="13"/>
  <c r="E118" i="13"/>
  <c r="J226" i="13"/>
  <c r="B230" i="13"/>
  <c r="B295" i="13"/>
  <c r="H135" i="13"/>
  <c r="N135" i="13"/>
  <c r="E135" i="13"/>
  <c r="N142" i="13"/>
  <c r="H142" i="13"/>
  <c r="E232" i="13"/>
  <c r="F14" i="1" s="1"/>
  <c r="H232" i="13"/>
  <c r="K291" i="13"/>
  <c r="H143" i="13"/>
  <c r="N143" i="13"/>
  <c r="M113" i="13"/>
  <c r="E294" i="13"/>
  <c r="AX10" i="1" s="1"/>
  <c r="AY10" i="1" s="1"/>
  <c r="H294" i="13"/>
  <c r="K294" i="13" s="1"/>
  <c r="B296" i="13"/>
  <c r="H119" i="13"/>
  <c r="B231" i="13"/>
  <c r="P119" i="17"/>
  <c r="E119" i="13"/>
  <c r="B139" i="13"/>
  <c r="B156" i="13" s="1"/>
  <c r="K119" i="17"/>
  <c r="J227" i="13"/>
  <c r="E293" i="13"/>
  <c r="BF9" i="1" s="1"/>
  <c r="BG9" i="1" s="1"/>
  <c r="H293" i="13"/>
  <c r="K293" i="13" s="1"/>
  <c r="H292" i="13"/>
  <c r="E292" i="13"/>
  <c r="BB9" i="1" s="1"/>
  <c r="BC9" i="1" s="1"/>
  <c r="BB38" i="1" s="1"/>
  <c r="B233" i="13"/>
  <c r="E212" i="13"/>
  <c r="H212" i="13"/>
  <c r="P143" i="13"/>
  <c r="L141" i="13"/>
  <c r="L143" i="13"/>
  <c r="P141" i="13"/>
  <c r="P142" i="13"/>
  <c r="L142" i="13"/>
  <c r="N137" i="13"/>
  <c r="I18" i="1" s="1"/>
  <c r="H137" i="13"/>
  <c r="E137" i="13"/>
  <c r="E141" i="13" s="1"/>
  <c r="B245" i="13"/>
  <c r="E229" i="13"/>
  <c r="H229" i="13"/>
  <c r="B154" i="13"/>
  <c r="B293" i="18"/>
  <c r="H88" i="18"/>
  <c r="E88" i="18"/>
  <c r="B95" i="18"/>
  <c r="H95" i="18" s="1"/>
  <c r="M95" i="17"/>
  <c r="O95" i="17" s="1"/>
  <c r="O97" i="17" s="1"/>
  <c r="B98" i="17"/>
  <c r="B102" i="17"/>
  <c r="E213" i="13"/>
  <c r="H213" i="13"/>
  <c r="B234" i="13"/>
  <c r="B148" i="13"/>
  <c r="H148" i="13" l="1"/>
  <c r="H118" i="13"/>
  <c r="BC38" i="1"/>
  <c r="H149" i="13"/>
  <c r="B138" i="13"/>
  <c r="K118" i="17"/>
  <c r="P118" i="17"/>
  <c r="B299" i="13"/>
  <c r="H156" i="13"/>
  <c r="E156" i="13"/>
  <c r="B163" i="13"/>
  <c r="C49" i="10"/>
  <c r="E230" i="13"/>
  <c r="H230" i="13"/>
  <c r="B134" i="17"/>
  <c r="H98" i="17"/>
  <c r="E98" i="17"/>
  <c r="N76" i="1" s="1"/>
  <c r="B211" i="17"/>
  <c r="B202" i="13"/>
  <c r="O142" i="17"/>
  <c r="O141" i="17"/>
  <c r="K292" i="13"/>
  <c r="H296" i="13"/>
  <c r="E296" i="13"/>
  <c r="BF10" i="1" s="1"/>
  <c r="BG10" i="1" s="1"/>
  <c r="H154" i="13"/>
  <c r="E154" i="13"/>
  <c r="B297" i="13"/>
  <c r="B161" i="13"/>
  <c r="H293" i="18"/>
  <c r="E293" i="18"/>
  <c r="E228" i="13"/>
  <c r="I14" i="1"/>
  <c r="AU94" i="1"/>
  <c r="AV94" i="1" s="1"/>
  <c r="H231" i="13"/>
  <c r="E231" i="13"/>
  <c r="H295" i="13"/>
  <c r="K295" i="13" s="1"/>
  <c r="E295" i="13"/>
  <c r="BB10" i="1" s="1"/>
  <c r="BC10" i="1" s="1"/>
  <c r="H89" i="17"/>
  <c r="M83" i="17"/>
  <c r="K83" i="17"/>
  <c r="BK50" i="1"/>
  <c r="E245" i="13"/>
  <c r="BK51" i="1"/>
  <c r="H245" i="13"/>
  <c r="H233" i="13"/>
  <c r="E233" i="13"/>
  <c r="B246" i="13"/>
  <c r="H139" i="13"/>
  <c r="E139" i="13"/>
  <c r="E143" i="13" s="1"/>
  <c r="E149" i="13" s="1"/>
  <c r="N139" i="13"/>
  <c r="H18" i="1" s="1"/>
  <c r="H234" i="13"/>
  <c r="E234" i="13"/>
  <c r="E14" i="1" s="1"/>
  <c r="B247" i="13"/>
  <c r="N102" i="17"/>
  <c r="H102" i="17"/>
  <c r="B12" i="17"/>
  <c r="N98" i="17"/>
  <c r="E102" i="17"/>
  <c r="B141" i="17"/>
  <c r="B126" i="17"/>
  <c r="E126" i="17" s="1"/>
  <c r="M103" i="17"/>
  <c r="O143" i="17"/>
  <c r="B155" i="13"/>
  <c r="H138" i="13"/>
  <c r="N138" i="13"/>
  <c r="E138" i="13"/>
  <c r="E142" i="13" s="1"/>
  <c r="E148" i="13" s="1"/>
  <c r="E147" i="13" l="1"/>
  <c r="M118" i="13"/>
  <c r="M119" i="13" s="1"/>
  <c r="L115" i="13" s="1"/>
  <c r="L114" i="13" s="1"/>
  <c r="N162" i="17"/>
  <c r="E247" i="13"/>
  <c r="H247" i="13"/>
  <c r="BM50" i="1"/>
  <c r="AU95" i="1"/>
  <c r="AV95" i="1" s="1"/>
  <c r="BL50" i="1"/>
  <c r="E246" i="13"/>
  <c r="H246" i="13"/>
  <c r="B104" i="17"/>
  <c r="B100" i="17"/>
  <c r="H297" i="13"/>
  <c r="E297" i="13"/>
  <c r="AX12" i="1" s="1"/>
  <c r="AY12" i="1" s="1"/>
  <c r="K296" i="13"/>
  <c r="B202" i="17"/>
  <c r="B207" i="13"/>
  <c r="B313" i="13"/>
  <c r="B187" i="13"/>
  <c r="E202" i="13"/>
  <c r="H202" i="13"/>
  <c r="N134" i="17"/>
  <c r="F17" i="1" s="1"/>
  <c r="E134" i="17"/>
  <c r="H134" i="17"/>
  <c r="N166" i="17"/>
  <c r="E89" i="17"/>
  <c r="K82" i="17"/>
  <c r="M82" i="17"/>
  <c r="H211" i="17"/>
  <c r="B232" i="17"/>
  <c r="E211" i="17"/>
  <c r="H155" i="13"/>
  <c r="B298" i="13"/>
  <c r="E155" i="13"/>
  <c r="B162" i="13"/>
  <c r="O118" i="13"/>
  <c r="N141" i="17"/>
  <c r="P141" i="17"/>
  <c r="H141" i="17"/>
  <c r="L141" i="17"/>
  <c r="L145" i="17" s="1"/>
  <c r="AU96" i="1"/>
  <c r="AV96" i="1" s="1"/>
  <c r="H14" i="1"/>
  <c r="AY103" i="1"/>
  <c r="AX103" i="1" s="1"/>
  <c r="AV103" i="1"/>
  <c r="AU103" i="1" s="1"/>
  <c r="B174" i="13"/>
  <c r="H161" i="13"/>
  <c r="M174" i="13"/>
  <c r="E161" i="13"/>
  <c r="B301" i="13"/>
  <c r="H163" i="13"/>
  <c r="B303" i="13"/>
  <c r="M176" i="13"/>
  <c r="E163" i="13"/>
  <c r="H37" i="1" s="1"/>
  <c r="B176" i="13"/>
  <c r="H299" i="13"/>
  <c r="E299" i="13"/>
  <c r="BF12" i="1" s="1"/>
  <c r="BG12" i="1" s="1"/>
  <c r="K299" i="13" l="1"/>
  <c r="I37" i="1"/>
  <c r="B309" i="13"/>
  <c r="H176" i="13"/>
  <c r="B183" i="13"/>
  <c r="E176" i="13"/>
  <c r="N176" i="13"/>
  <c r="B251" i="13"/>
  <c r="H303" i="13"/>
  <c r="K303" i="13" s="1"/>
  <c r="E303" i="13"/>
  <c r="BF18" i="1" s="1"/>
  <c r="M114" i="13"/>
  <c r="O119" i="13"/>
  <c r="M115" i="13" s="1"/>
  <c r="E298" i="13"/>
  <c r="BB12" i="1" s="1"/>
  <c r="BC12" i="1" s="1"/>
  <c r="H298" i="13"/>
  <c r="B103" i="17"/>
  <c r="B99" i="17"/>
  <c r="E207" i="13"/>
  <c r="Q17" i="1" s="1"/>
  <c r="B219" i="13"/>
  <c r="H207" i="13"/>
  <c r="AY104" i="1"/>
  <c r="AX104" i="1" s="1"/>
  <c r="AV104" i="1"/>
  <c r="AU104" i="1" s="1"/>
  <c r="H313" i="13"/>
  <c r="K313" i="13" s="1"/>
  <c r="E313" i="13"/>
  <c r="AX27" i="1" s="1"/>
  <c r="AY27" i="1" s="1"/>
  <c r="E174" i="13"/>
  <c r="B307" i="13"/>
  <c r="N174" i="13"/>
  <c r="B249" i="13"/>
  <c r="B190" i="13"/>
  <c r="H174" i="13"/>
  <c r="B181" i="13"/>
  <c r="AY105" i="1"/>
  <c r="AX105" i="1" s="1"/>
  <c r="AV105" i="1"/>
  <c r="AU105" i="1" s="1"/>
  <c r="B175" i="13"/>
  <c r="B302" i="13"/>
  <c r="E162" i="13"/>
  <c r="M175" i="13"/>
  <c r="H162" i="13"/>
  <c r="H232" i="17"/>
  <c r="E232" i="17"/>
  <c r="F13" i="1" s="1"/>
  <c r="B237" i="18"/>
  <c r="BH105" i="1"/>
  <c r="B313" i="17"/>
  <c r="E202" i="17"/>
  <c r="R75" i="1" s="1"/>
  <c r="B219" i="17"/>
  <c r="B187" i="17"/>
  <c r="H202" i="17"/>
  <c r="H100" i="17"/>
  <c r="B213" i="17"/>
  <c r="B120" i="17"/>
  <c r="E100" i="17"/>
  <c r="B136" i="17"/>
  <c r="B204" i="13"/>
  <c r="E301" i="13"/>
  <c r="AX18" i="1" s="1"/>
  <c r="H301" i="13"/>
  <c r="K301" i="13" s="1"/>
  <c r="K141" i="17"/>
  <c r="K141" i="13"/>
  <c r="J141" i="13" s="1"/>
  <c r="H187" i="13"/>
  <c r="E187" i="13"/>
  <c r="K187" i="13"/>
  <c r="K297" i="13"/>
  <c r="N100" i="17"/>
  <c r="H104" i="17"/>
  <c r="B128" i="17"/>
  <c r="E128" i="17" s="1"/>
  <c r="B143" i="17"/>
  <c r="E104" i="17"/>
  <c r="H12" i="17"/>
  <c r="N104" i="17"/>
  <c r="L119" i="17"/>
  <c r="M119" i="17"/>
  <c r="B291" i="17" l="1"/>
  <c r="H291" i="17" s="1"/>
  <c r="K291" i="17" s="1"/>
  <c r="B225" i="13"/>
  <c r="E291" i="17"/>
  <c r="AZ9" i="1" s="1"/>
  <c r="BA9" i="1" s="1"/>
  <c r="M225" i="13"/>
  <c r="E225" i="13"/>
  <c r="N225" i="13"/>
  <c r="N228" i="13" s="1"/>
  <c r="H225" i="13"/>
  <c r="B316" i="13"/>
  <c r="B322" i="13" s="1"/>
  <c r="H181" i="13"/>
  <c r="E181" i="13"/>
  <c r="B310" i="13"/>
  <c r="L38" i="1"/>
  <c r="H204" i="13"/>
  <c r="B204" i="17"/>
  <c r="B189" i="13"/>
  <c r="E204" i="13"/>
  <c r="B315" i="13"/>
  <c r="B209" i="13"/>
  <c r="K298" i="13"/>
  <c r="K38" i="1"/>
  <c r="E309" i="13"/>
  <c r="BF21" i="1" s="1"/>
  <c r="BG21" i="1" s="1"/>
  <c r="H309" i="13"/>
  <c r="E187" i="17"/>
  <c r="H187" i="17"/>
  <c r="L246" i="13"/>
  <c r="L247" i="13" s="1"/>
  <c r="H249" i="13"/>
  <c r="E249" i="13"/>
  <c r="B253" i="13"/>
  <c r="N99" i="17"/>
  <c r="B127" i="17"/>
  <c r="E127" i="17" s="1"/>
  <c r="H103" i="17"/>
  <c r="E103" i="17"/>
  <c r="N103" i="17"/>
  <c r="E12" i="17"/>
  <c r="B142" i="17"/>
  <c r="L118" i="17"/>
  <c r="M118" i="17"/>
  <c r="P143" i="17"/>
  <c r="L143" i="17"/>
  <c r="L147" i="17" s="1"/>
  <c r="H143" i="17"/>
  <c r="N143" i="17"/>
  <c r="E313" i="17"/>
  <c r="AZ27" i="1" s="1"/>
  <c r="BA27" i="1" s="1"/>
  <c r="BA36" i="1" s="1"/>
  <c r="BA37" i="1" s="1"/>
  <c r="H313" i="17"/>
  <c r="K313" i="17" s="1"/>
  <c r="K190" i="13"/>
  <c r="M187" i="13" s="1"/>
  <c r="H190" i="13"/>
  <c r="E190" i="13"/>
  <c r="O31" i="1" s="1"/>
  <c r="H307" i="13"/>
  <c r="K307" i="13" s="1"/>
  <c r="E307" i="13"/>
  <c r="AX21" i="1" s="1"/>
  <c r="AY21" i="1" s="1"/>
  <c r="B212" i="17"/>
  <c r="E99" i="17"/>
  <c r="H99" i="17"/>
  <c r="B135" i="17"/>
  <c r="B203" i="13"/>
  <c r="L250" i="13"/>
  <c r="L251" i="13" s="1"/>
  <c r="H251" i="13"/>
  <c r="E251" i="13"/>
  <c r="B255" i="13"/>
  <c r="B312" i="13"/>
  <c r="H183" i="13"/>
  <c r="E183" i="13"/>
  <c r="H213" i="17"/>
  <c r="E213" i="17"/>
  <c r="B234" i="17"/>
  <c r="H302" i="13"/>
  <c r="K302" i="13" s="1"/>
  <c r="E302" i="13"/>
  <c r="BB18" i="1" s="1"/>
  <c r="J141" i="17"/>
  <c r="AY18" i="1"/>
  <c r="AX19" i="1"/>
  <c r="AY19" i="1" s="1"/>
  <c r="H136" i="17"/>
  <c r="N136" i="17"/>
  <c r="E17" i="1" s="1"/>
  <c r="E136" i="17"/>
  <c r="B90" i="18"/>
  <c r="H219" i="17"/>
  <c r="N219" i="17"/>
  <c r="E219" i="17"/>
  <c r="B109" i="17"/>
  <c r="H237" i="18"/>
  <c r="E237" i="18"/>
  <c r="E175" i="13"/>
  <c r="N175" i="13"/>
  <c r="B308" i="13"/>
  <c r="B250" i="13"/>
  <c r="H175" i="13"/>
  <c r="B182" i="13"/>
  <c r="E219" i="13"/>
  <c r="H219" i="13"/>
  <c r="BF19" i="1"/>
  <c r="BG19" i="1" s="1"/>
  <c r="BG18" i="1"/>
  <c r="M228" i="13" l="1"/>
  <c r="H255" i="13"/>
  <c r="K255" i="13" s="1"/>
  <c r="M255" i="13" s="1"/>
  <c r="B264" i="13"/>
  <c r="E255" i="13"/>
  <c r="E209" i="13"/>
  <c r="P17" i="1" s="1"/>
  <c r="B222" i="13"/>
  <c r="B221" i="13"/>
  <c r="H209" i="13"/>
  <c r="H204" i="17"/>
  <c r="B315" i="17"/>
  <c r="B189" i="17"/>
  <c r="E204" i="17"/>
  <c r="R77" i="1" s="1"/>
  <c r="B221" i="17"/>
  <c r="L248" i="13"/>
  <c r="L249" i="13" s="1"/>
  <c r="H250" i="13"/>
  <c r="E250" i="13"/>
  <c r="B254" i="13"/>
  <c r="BB19" i="1"/>
  <c r="BC19" i="1" s="1"/>
  <c r="BC18" i="1"/>
  <c r="N135" i="17"/>
  <c r="E135" i="17"/>
  <c r="H135" i="17"/>
  <c r="B89" i="18"/>
  <c r="K143" i="17"/>
  <c r="K143" i="13"/>
  <c r="K309" i="13"/>
  <c r="E316" i="13"/>
  <c r="AX29" i="1" s="1"/>
  <c r="AY29" i="1" s="1"/>
  <c r="H316" i="13"/>
  <c r="K316" i="13" s="1"/>
  <c r="B319" i="13"/>
  <c r="B311" i="13"/>
  <c r="E182" i="13"/>
  <c r="H182" i="13"/>
  <c r="H234" i="17"/>
  <c r="E234" i="17"/>
  <c r="E13" i="1" s="1"/>
  <c r="B239" i="18"/>
  <c r="H109" i="17"/>
  <c r="E109" i="17"/>
  <c r="P117" i="17"/>
  <c r="K117" i="17"/>
  <c r="B117" i="17"/>
  <c r="L117" i="17"/>
  <c r="M117" i="17"/>
  <c r="K118" i="13" s="1"/>
  <c r="B119" i="17"/>
  <c r="E90" i="18"/>
  <c r="B97" i="18"/>
  <c r="H97" i="18" s="1"/>
  <c r="H90" i="18"/>
  <c r="B295" i="18"/>
  <c r="H312" i="13"/>
  <c r="K312" i="13" s="1"/>
  <c r="E312" i="13"/>
  <c r="H203" i="13"/>
  <c r="B188" i="13"/>
  <c r="E203" i="13"/>
  <c r="B208" i="13"/>
  <c r="B314" i="13"/>
  <c r="B203" i="17"/>
  <c r="H189" i="13"/>
  <c r="E189" i="13"/>
  <c r="K189" i="13"/>
  <c r="B192" i="13"/>
  <c r="E310" i="13"/>
  <c r="H310" i="13"/>
  <c r="K310" i="13" s="1"/>
  <c r="H308" i="13"/>
  <c r="K308" i="13" s="1"/>
  <c r="E308" i="13"/>
  <c r="BB21" i="1" s="1"/>
  <c r="BC21" i="1" s="1"/>
  <c r="H253" i="13"/>
  <c r="K253" i="13" s="1"/>
  <c r="M253" i="13" s="1"/>
  <c r="E253" i="13"/>
  <c r="B262" i="13"/>
  <c r="Q38" i="1"/>
  <c r="P38" i="1"/>
  <c r="B118" i="17"/>
  <c r="H212" i="17"/>
  <c r="B233" i="17"/>
  <c r="E212" i="17"/>
  <c r="H142" i="17"/>
  <c r="P142" i="17"/>
  <c r="L142" i="17"/>
  <c r="L146" i="17" s="1"/>
  <c r="N142" i="17"/>
  <c r="H315" i="13"/>
  <c r="K315" i="13" s="1"/>
  <c r="E315" i="13"/>
  <c r="BF27" i="1" s="1"/>
  <c r="L17" i="1"/>
  <c r="BL105" i="1" l="1"/>
  <c r="B293" i="17"/>
  <c r="J143" i="17"/>
  <c r="H293" i="17"/>
  <c r="K293" i="17" s="1"/>
  <c r="E293" i="17"/>
  <c r="BH9" i="1" s="1"/>
  <c r="BI9" i="1" s="1"/>
  <c r="BJ9" i="1" s="1"/>
  <c r="H208" i="13"/>
  <c r="E208" i="13"/>
  <c r="B220" i="13"/>
  <c r="BF23" i="1"/>
  <c r="BG23" i="1" s="1"/>
  <c r="BF24" i="1"/>
  <c r="BG24" i="1" s="1"/>
  <c r="BJ24" i="1" s="1"/>
  <c r="K320" i="13"/>
  <c r="H118" i="17"/>
  <c r="B295" i="17"/>
  <c r="E118" i="17"/>
  <c r="B138" i="17"/>
  <c r="B230" i="17"/>
  <c r="B246" i="17" s="1"/>
  <c r="AD53" i="1"/>
  <c r="AD54" i="1" s="1"/>
  <c r="K110" i="13"/>
  <c r="B148" i="17"/>
  <c r="H117" i="17"/>
  <c r="E117" i="17"/>
  <c r="B294" i="17"/>
  <c r="B137" i="17"/>
  <c r="B229" i="17"/>
  <c r="AC53" i="1"/>
  <c r="K109" i="13"/>
  <c r="B147" i="17"/>
  <c r="H311" i="13"/>
  <c r="K311" i="13" s="1"/>
  <c r="E311" i="13"/>
  <c r="E254" i="13"/>
  <c r="H254" i="13"/>
  <c r="K254" i="13" s="1"/>
  <c r="M254" i="13" s="1"/>
  <c r="B263" i="13"/>
  <c r="E189" i="17"/>
  <c r="H189" i="17"/>
  <c r="B227" i="13"/>
  <c r="H221" i="13"/>
  <c r="E221" i="13"/>
  <c r="K142" i="17"/>
  <c r="K142" i="13"/>
  <c r="E233" i="17"/>
  <c r="H233" i="17"/>
  <c r="B238" i="18"/>
  <c r="H262" i="13"/>
  <c r="K262" i="13" s="1"/>
  <c r="E262" i="13"/>
  <c r="AX23" i="1"/>
  <c r="AY23" i="1" s="1"/>
  <c r="AX24" i="1"/>
  <c r="AY24" i="1" s="1"/>
  <c r="B314" i="17"/>
  <c r="E203" i="17"/>
  <c r="R76" i="1" s="1"/>
  <c r="H203" i="17"/>
  <c r="B220" i="17"/>
  <c r="B188" i="17"/>
  <c r="B292" i="17"/>
  <c r="H188" i="13"/>
  <c r="E188" i="13"/>
  <c r="K188" i="13"/>
  <c r="B191" i="13"/>
  <c r="H295" i="18"/>
  <c r="E295" i="18"/>
  <c r="B231" i="17"/>
  <c r="E119" i="17"/>
  <c r="H119" i="17"/>
  <c r="B139" i="17"/>
  <c r="B296" i="17"/>
  <c r="K111" i="13"/>
  <c r="AE53" i="1"/>
  <c r="B149" i="17"/>
  <c r="E239" i="18"/>
  <c r="H239" i="18"/>
  <c r="J143" i="13"/>
  <c r="H315" i="17"/>
  <c r="K315" i="17" s="1"/>
  <c r="E315" i="17"/>
  <c r="BH27" i="1" s="1"/>
  <c r="BI27" i="1" s="1"/>
  <c r="E264" i="13"/>
  <c r="H264" i="13"/>
  <c r="K264" i="13" s="1"/>
  <c r="BG27" i="1"/>
  <c r="BF28" i="1"/>
  <c r="K192" i="13"/>
  <c r="M189" i="13" s="1"/>
  <c r="E192" i="13"/>
  <c r="N31" i="1" s="1"/>
  <c r="H192" i="13"/>
  <c r="E314" i="13"/>
  <c r="BB27" i="1" s="1"/>
  <c r="BC27" i="1" s="1"/>
  <c r="H314" i="13"/>
  <c r="K314" i="13" s="1"/>
  <c r="K115" i="13"/>
  <c r="K119" i="13"/>
  <c r="L119" i="13" s="1"/>
  <c r="L120" i="13" s="1"/>
  <c r="H89" i="18"/>
  <c r="B294" i="18"/>
  <c r="B96" i="18"/>
  <c r="H96" i="18" s="1"/>
  <c r="E89" i="18"/>
  <c r="H221" i="17"/>
  <c r="B264" i="17"/>
  <c r="N221" i="17"/>
  <c r="H264" i="17"/>
  <c r="E221" i="17"/>
  <c r="H149" i="17" l="1"/>
  <c r="AC54" i="1"/>
  <c r="H148" i="17"/>
  <c r="J142" i="17"/>
  <c r="H147" i="17"/>
  <c r="E264" i="17"/>
  <c r="H246" i="17"/>
  <c r="E246" i="17"/>
  <c r="B318" i="13"/>
  <c r="E227" i="13"/>
  <c r="H227" i="13"/>
  <c r="N227" i="13"/>
  <c r="N230" i="13" s="1"/>
  <c r="M227" i="13"/>
  <c r="AG53" i="1"/>
  <c r="AE54" i="1"/>
  <c r="BB24" i="1"/>
  <c r="BB23" i="1"/>
  <c r="BC23" i="1" s="1"/>
  <c r="H295" i="17"/>
  <c r="K295" i="17" s="1"/>
  <c r="E295" i="17"/>
  <c r="BD10" i="1" s="1"/>
  <c r="BE10" i="1" s="1"/>
  <c r="E220" i="13"/>
  <c r="H220" i="13"/>
  <c r="H229" i="17"/>
  <c r="E229" i="17"/>
  <c r="B231" i="18"/>
  <c r="B245" i="17"/>
  <c r="H230" i="17"/>
  <c r="E230" i="17"/>
  <c r="B232" i="18"/>
  <c r="BC36" i="1"/>
  <c r="BC37" i="1" s="1"/>
  <c r="BJ27" i="1"/>
  <c r="E296" i="17"/>
  <c r="BH10" i="1" s="1"/>
  <c r="BI10" i="1" s="1"/>
  <c r="BJ10" i="1" s="1"/>
  <c r="H296" i="17"/>
  <c r="K296" i="17" s="1"/>
  <c r="E231" i="17"/>
  <c r="H231" i="17"/>
  <c r="B233" i="18"/>
  <c r="B247" i="17"/>
  <c r="H188" i="17"/>
  <c r="E188" i="17"/>
  <c r="E314" i="17"/>
  <c r="BD27" i="1" s="1"/>
  <c r="BE27" i="1" s="1"/>
  <c r="BB36" i="1" s="1"/>
  <c r="BB37" i="1" s="1"/>
  <c r="H314" i="17"/>
  <c r="K314" i="17" s="1"/>
  <c r="N137" i="17"/>
  <c r="I17" i="1" s="1"/>
  <c r="E137" i="17"/>
  <c r="E141" i="17" s="1"/>
  <c r="E147" i="17" s="1"/>
  <c r="H137" i="17"/>
  <c r="N168" i="17"/>
  <c r="B91" i="18"/>
  <c r="N160" i="17"/>
  <c r="B154" i="17"/>
  <c r="BJ105" i="1"/>
  <c r="N138" i="17"/>
  <c r="H138" i="17"/>
  <c r="E138" i="17"/>
  <c r="E142" i="17" s="1"/>
  <c r="E148" i="17" s="1"/>
  <c r="B92" i="18"/>
  <c r="B155" i="17"/>
  <c r="K191" i="13"/>
  <c r="M188" i="13" s="1"/>
  <c r="H191" i="13"/>
  <c r="E191" i="13"/>
  <c r="E292" i="17"/>
  <c r="BD9" i="1" s="1"/>
  <c r="BE9" i="1" s="1"/>
  <c r="H292" i="17"/>
  <c r="K292" i="17" s="1"/>
  <c r="AX32" i="1"/>
  <c r="AY32" i="1" s="1"/>
  <c r="C5" i="1"/>
  <c r="E263" i="13"/>
  <c r="BB32" i="1" s="1"/>
  <c r="BC32" i="1" s="1"/>
  <c r="H263" i="13"/>
  <c r="K263" i="13" s="1"/>
  <c r="E294" i="18"/>
  <c r="H294" i="18"/>
  <c r="BH31" i="1"/>
  <c r="BI31" i="1" s="1"/>
  <c r="BJ31" i="1" s="1"/>
  <c r="M5" i="1"/>
  <c r="BF32" i="1"/>
  <c r="BG32" i="1" s="1"/>
  <c r="BJ32" i="1" s="1"/>
  <c r="B5" i="1"/>
  <c r="E139" i="17"/>
  <c r="E143" i="17" s="1"/>
  <c r="E149" i="17" s="1"/>
  <c r="N139" i="17"/>
  <c r="H17" i="1" s="1"/>
  <c r="H139" i="17"/>
  <c r="B93" i="18"/>
  <c r="B156" i="17"/>
  <c r="H263" i="17"/>
  <c r="N220" i="17"/>
  <c r="E220" i="17"/>
  <c r="H220" i="17"/>
  <c r="B263" i="17"/>
  <c r="H238" i="18"/>
  <c r="E238" i="18"/>
  <c r="B245" i="18"/>
  <c r="J142" i="13"/>
  <c r="E294" i="17"/>
  <c r="AZ10" i="1" s="1"/>
  <c r="BA10" i="1" s="1"/>
  <c r="H294" i="17"/>
  <c r="K294" i="17" s="1"/>
  <c r="B226" i="13"/>
  <c r="M230" i="13" l="1"/>
  <c r="E263" i="17"/>
  <c r="BD31" i="1" s="1"/>
  <c r="BE31" i="1" s="1"/>
  <c r="B298" i="18"/>
  <c r="E93" i="18"/>
  <c r="E97" i="18" s="1"/>
  <c r="H93" i="18"/>
  <c r="B301" i="18"/>
  <c r="K154" i="17"/>
  <c r="B297" i="17"/>
  <c r="H154" i="17"/>
  <c r="E154" i="17"/>
  <c r="B161" i="17"/>
  <c r="K154" i="13"/>
  <c r="AU100" i="1"/>
  <c r="AV100" i="1" s="1"/>
  <c r="H13" i="1"/>
  <c r="N86" i="1"/>
  <c r="AU92" i="1" s="1"/>
  <c r="E155" i="17"/>
  <c r="K155" i="17"/>
  <c r="H155" i="17"/>
  <c r="B298" i="17"/>
  <c r="B162" i="17"/>
  <c r="K155" i="13"/>
  <c r="H91" i="18"/>
  <c r="B296" i="18"/>
  <c r="E91" i="18"/>
  <c r="E95" i="18" s="1"/>
  <c r="B299" i="18"/>
  <c r="H233" i="18"/>
  <c r="E233" i="18"/>
  <c r="B246" i="18"/>
  <c r="H232" i="18"/>
  <c r="E232" i="18"/>
  <c r="E231" i="18"/>
  <c r="H231" i="18"/>
  <c r="B244" i="18"/>
  <c r="K17" i="1"/>
  <c r="H247" i="17"/>
  <c r="E247" i="17"/>
  <c r="H245" i="17"/>
  <c r="E245" i="17"/>
  <c r="N226" i="13"/>
  <c r="N229" i="13" s="1"/>
  <c r="B317" i="13"/>
  <c r="H226" i="13"/>
  <c r="E226" i="13"/>
  <c r="M226" i="13"/>
  <c r="E245" i="18"/>
  <c r="H245" i="18"/>
  <c r="B299" i="17"/>
  <c r="E156" i="17"/>
  <c r="H156" i="17"/>
  <c r="K156" i="17"/>
  <c r="J156" i="17" s="1"/>
  <c r="B163" i="17"/>
  <c r="K156" i="13"/>
  <c r="B297" i="18"/>
  <c r="H92" i="18"/>
  <c r="E92" i="18"/>
  <c r="E96" i="18" s="1"/>
  <c r="B300" i="18"/>
  <c r="AU99" i="1"/>
  <c r="AV99" i="1" s="1"/>
  <c r="N85" i="1"/>
  <c r="AU91" i="1" s="1"/>
  <c r="I13" i="1"/>
  <c r="AU98" i="1"/>
  <c r="AV98" i="1" s="1"/>
  <c r="N84" i="1"/>
  <c r="B321" i="13"/>
  <c r="E318" i="13"/>
  <c r="BF29" i="1" s="1"/>
  <c r="BG29" i="1" s="1"/>
  <c r="H318" i="13"/>
  <c r="AU90" i="1" l="1"/>
  <c r="M229" i="13"/>
  <c r="E297" i="18"/>
  <c r="H297" i="18"/>
  <c r="B303" i="17"/>
  <c r="B176" i="17"/>
  <c r="H163" i="17"/>
  <c r="E163" i="17"/>
  <c r="H36" i="1" s="1"/>
  <c r="K86" i="1"/>
  <c r="B158" i="18"/>
  <c r="H296" i="18"/>
  <c r="E296" i="18"/>
  <c r="E298" i="17"/>
  <c r="BD12" i="1" s="1"/>
  <c r="BE12" i="1" s="1"/>
  <c r="H298" i="17"/>
  <c r="B174" i="17"/>
  <c r="B301" i="17"/>
  <c r="H161" i="17"/>
  <c r="E161" i="17"/>
  <c r="I36" i="1" s="1"/>
  <c r="K84" i="1"/>
  <c r="O161" i="17"/>
  <c r="B156" i="18"/>
  <c r="J156" i="13"/>
  <c r="N156" i="13"/>
  <c r="N156" i="17"/>
  <c r="H246" i="18"/>
  <c r="E246" i="18"/>
  <c r="B302" i="17"/>
  <c r="B175" i="17"/>
  <c r="H162" i="17"/>
  <c r="E162" i="17"/>
  <c r="B157" i="18"/>
  <c r="K85" i="1"/>
  <c r="N155" i="17"/>
  <c r="J154" i="13"/>
  <c r="N154" i="13"/>
  <c r="E297" i="17"/>
  <c r="AZ12" i="1" s="1"/>
  <c r="BA12" i="1" s="1"/>
  <c r="H297" i="17"/>
  <c r="E299" i="17"/>
  <c r="BH12" i="1" s="1"/>
  <c r="BI12" i="1" s="1"/>
  <c r="BJ12" i="1" s="1"/>
  <c r="H299" i="17"/>
  <c r="N154" i="17"/>
  <c r="H298" i="18"/>
  <c r="E298" i="18"/>
  <c r="P154" i="17"/>
  <c r="J154" i="17"/>
  <c r="K318" i="13"/>
  <c r="K322" i="13"/>
  <c r="H300" i="18"/>
  <c r="E300" i="18"/>
  <c r="B320" i="13"/>
  <c r="E317" i="13"/>
  <c r="BB29" i="1" s="1"/>
  <c r="BC29" i="1" s="1"/>
  <c r="H317" i="13"/>
  <c r="E244" i="18"/>
  <c r="H244" i="18"/>
  <c r="H299" i="18"/>
  <c r="E299" i="18"/>
  <c r="J155" i="13"/>
  <c r="N155" i="13"/>
  <c r="J155" i="17"/>
  <c r="E301" i="18"/>
  <c r="H301" i="18"/>
  <c r="K299" i="17" l="1"/>
  <c r="K297" i="17"/>
  <c r="K298" i="17"/>
  <c r="B182" i="17"/>
  <c r="E175" i="17"/>
  <c r="H175" i="17"/>
  <c r="B250" i="17"/>
  <c r="B308" i="17"/>
  <c r="B226" i="17"/>
  <c r="B191" i="17"/>
  <c r="K175" i="17"/>
  <c r="K175" i="13"/>
  <c r="K188" i="17"/>
  <c r="E301" i="17"/>
  <c r="AZ18" i="1" s="1"/>
  <c r="H301" i="17"/>
  <c r="K301" i="17" s="1"/>
  <c r="E303" i="17"/>
  <c r="BH18" i="1" s="1"/>
  <c r="H303" i="17"/>
  <c r="K303" i="17" s="1"/>
  <c r="K317" i="13"/>
  <c r="K321" i="13"/>
  <c r="H174" i="17"/>
  <c r="B190" i="17"/>
  <c r="E174" i="17"/>
  <c r="K174" i="17"/>
  <c r="B249" i="17"/>
  <c r="B307" i="17"/>
  <c r="B225" i="17"/>
  <c r="B181" i="17"/>
  <c r="K174" i="13"/>
  <c r="N174" i="17"/>
  <c r="K187" i="17"/>
  <c r="B305" i="18"/>
  <c r="E157" i="18"/>
  <c r="H157" i="18"/>
  <c r="B174" i="18"/>
  <c r="H302" i="17"/>
  <c r="K302" i="17" s="1"/>
  <c r="E302" i="17"/>
  <c r="BD18" i="1" s="1"/>
  <c r="H156" i="18"/>
  <c r="E156" i="18"/>
  <c r="B304" i="18"/>
  <c r="B173" i="18"/>
  <c r="E158" i="18"/>
  <c r="B306" i="18"/>
  <c r="H158" i="18"/>
  <c r="B175" i="18"/>
  <c r="B183" i="17"/>
  <c r="B192" i="17"/>
  <c r="H176" i="17"/>
  <c r="E176" i="17"/>
  <c r="B227" i="17"/>
  <c r="B309" i="17"/>
  <c r="B251" i="17"/>
  <c r="K176" i="17"/>
  <c r="K176" i="13"/>
  <c r="K189" i="17"/>
  <c r="K89" i="1" l="1"/>
  <c r="B312" i="17"/>
  <c r="H183" i="17"/>
  <c r="E183" i="17"/>
  <c r="B310" i="17"/>
  <c r="H181" i="17"/>
  <c r="E181" i="17"/>
  <c r="E309" i="17"/>
  <c r="BH21" i="1" s="1"/>
  <c r="BI21" i="1" s="1"/>
  <c r="BJ21" i="1" s="1"/>
  <c r="H309" i="17"/>
  <c r="K309" i="17" s="1"/>
  <c r="E192" i="17"/>
  <c r="N30" i="1" s="1"/>
  <c r="K192" i="17"/>
  <c r="H192" i="17"/>
  <c r="E306" i="18"/>
  <c r="H306" i="18"/>
  <c r="E174" i="18"/>
  <c r="B308" i="18"/>
  <c r="B181" i="18"/>
  <c r="H174" i="18"/>
  <c r="L246" i="17"/>
  <c r="L247" i="17" s="1"/>
  <c r="B253" i="17"/>
  <c r="H249" i="17"/>
  <c r="E249" i="17"/>
  <c r="AZ19" i="1"/>
  <c r="BA19" i="1" s="1"/>
  <c r="BA18" i="1"/>
  <c r="H191" i="17"/>
  <c r="E191" i="17"/>
  <c r="K191" i="17"/>
  <c r="E227" i="17"/>
  <c r="M227" i="17"/>
  <c r="N227" i="17"/>
  <c r="N230" i="17" s="1"/>
  <c r="O230" i="17" s="1"/>
  <c r="P230" i="17" s="1"/>
  <c r="H227" i="17"/>
  <c r="B318" i="17"/>
  <c r="K227" i="17"/>
  <c r="K227" i="13"/>
  <c r="E226" i="17"/>
  <c r="N91" i="1" s="1"/>
  <c r="H226" i="17"/>
  <c r="N226" i="17"/>
  <c r="N229" i="17" s="1"/>
  <c r="O229" i="17" s="1"/>
  <c r="M226" i="17"/>
  <c r="B317" i="17"/>
  <c r="K226" i="17"/>
  <c r="K226" i="13"/>
  <c r="K37" i="1"/>
  <c r="K90" i="1"/>
  <c r="B309" i="18"/>
  <c r="H175" i="18"/>
  <c r="E175" i="18"/>
  <c r="B182" i="18"/>
  <c r="E173" i="18"/>
  <c r="B307" i="18"/>
  <c r="H173" i="18"/>
  <c r="B180" i="18"/>
  <c r="BE18" i="1"/>
  <c r="BD19" i="1"/>
  <c r="BE19" i="1" s="1"/>
  <c r="H225" i="17"/>
  <c r="E225" i="17"/>
  <c r="M225" i="17"/>
  <c r="B316" i="17"/>
  <c r="N225" i="17"/>
  <c r="N228" i="17" s="1"/>
  <c r="K225" i="17"/>
  <c r="K225" i="13"/>
  <c r="L37" i="1"/>
  <c r="K88" i="1"/>
  <c r="BI18" i="1"/>
  <c r="BJ18" i="1" s="1"/>
  <c r="BH19" i="1"/>
  <c r="BI19" i="1" s="1"/>
  <c r="BJ19" i="1" s="1"/>
  <c r="H308" i="17"/>
  <c r="K308" i="17" s="1"/>
  <c r="E308" i="17"/>
  <c r="BD21" i="1" s="1"/>
  <c r="BE21" i="1" s="1"/>
  <c r="E182" i="17"/>
  <c r="K99" i="1" s="1"/>
  <c r="B311" i="17"/>
  <c r="H182" i="17"/>
  <c r="I99" i="1"/>
  <c r="I95" i="1"/>
  <c r="L250" i="17"/>
  <c r="L251" i="17" s="1"/>
  <c r="B255" i="17"/>
  <c r="H251" i="17"/>
  <c r="E251" i="17"/>
  <c r="H304" i="18"/>
  <c r="E304" i="18"/>
  <c r="H305" i="18"/>
  <c r="E305" i="18"/>
  <c r="H307" i="17"/>
  <c r="K307" i="17" s="1"/>
  <c r="E307" i="17"/>
  <c r="AZ21" i="1" s="1"/>
  <c r="BA21" i="1" s="1"/>
  <c r="H190" i="17"/>
  <c r="E190" i="17"/>
  <c r="O30" i="1" s="1"/>
  <c r="K190" i="17"/>
  <c r="B254" i="17"/>
  <c r="L248" i="17"/>
  <c r="L249" i="17" s="1"/>
  <c r="E250" i="17"/>
  <c r="H250" i="17"/>
  <c r="M230" i="17" l="1"/>
  <c r="BJ93" i="1"/>
  <c r="BJ94" i="1" s="1"/>
  <c r="BJ102" i="1" s="1"/>
  <c r="BJ103" i="1" s="1"/>
  <c r="M229" i="17"/>
  <c r="M228" i="17"/>
  <c r="E151" i="18"/>
  <c r="E255" i="17"/>
  <c r="B256" i="17"/>
  <c r="H255" i="17"/>
  <c r="K255" i="17" s="1"/>
  <c r="M255" i="17" s="1"/>
  <c r="E309" i="18"/>
  <c r="H309" i="18"/>
  <c r="P37" i="1"/>
  <c r="K100" i="1"/>
  <c r="H316" i="17"/>
  <c r="K316" i="17" s="1"/>
  <c r="E316" i="17"/>
  <c r="AZ29" i="1" s="1"/>
  <c r="BA29" i="1" s="1"/>
  <c r="E317" i="17"/>
  <c r="BD29" i="1" s="1"/>
  <c r="BE29" i="1" s="1"/>
  <c r="H317" i="17"/>
  <c r="K317" i="17" s="1"/>
  <c r="B187" i="18"/>
  <c r="H181" i="18"/>
  <c r="E181" i="18"/>
  <c r="B311" i="18"/>
  <c r="H310" i="17"/>
  <c r="K310" i="17" s="1"/>
  <c r="E310" i="17"/>
  <c r="AZ23" i="1" s="1"/>
  <c r="BA23" i="1" s="1"/>
  <c r="H180" i="18"/>
  <c r="E180" i="18"/>
  <c r="B310" i="18"/>
  <c r="L16" i="1"/>
  <c r="N90" i="1"/>
  <c r="H182" i="18"/>
  <c r="B312" i="18"/>
  <c r="E182" i="18"/>
  <c r="I96" i="1"/>
  <c r="I100" i="1"/>
  <c r="E318" i="17"/>
  <c r="BH29" i="1" s="1"/>
  <c r="BI29" i="1" s="1"/>
  <c r="BJ29" i="1" s="1"/>
  <c r="H318" i="17"/>
  <c r="K318" i="17" s="1"/>
  <c r="K16" i="1"/>
  <c r="N92" i="1"/>
  <c r="H253" i="17"/>
  <c r="K253" i="17" s="1"/>
  <c r="M253" i="17" s="1"/>
  <c r="E253" i="17"/>
  <c r="B190" i="18"/>
  <c r="Q37" i="1"/>
  <c r="K98" i="1"/>
  <c r="H254" i="17"/>
  <c r="K254" i="17" s="1"/>
  <c r="M254" i="17" s="1"/>
  <c r="E254" i="17"/>
  <c r="E311" i="17"/>
  <c r="BD23" i="1" s="1"/>
  <c r="BE23" i="1" s="1"/>
  <c r="H311" i="17"/>
  <c r="K311" i="17" s="1"/>
  <c r="E308" i="18"/>
  <c r="H308" i="18"/>
  <c r="I98" i="1"/>
  <c r="I94" i="1"/>
  <c r="E307" i="18"/>
  <c r="H307" i="18"/>
  <c r="E312" i="17"/>
  <c r="BH23" i="1" s="1"/>
  <c r="BI23" i="1" s="1"/>
  <c r="BJ23" i="1" s="1"/>
  <c r="H312" i="17"/>
  <c r="K312" i="17" s="1"/>
  <c r="BH93" i="1" l="1"/>
  <c r="BH94" i="1" s="1"/>
  <c r="B151" i="18"/>
  <c r="BJ104" i="1"/>
  <c r="BJ106" i="1"/>
  <c r="BL93" i="1"/>
  <c r="BL94" i="1" s="1"/>
  <c r="H151" i="18"/>
  <c r="BG81" i="1"/>
  <c r="BG79" i="1"/>
  <c r="BG82" i="1"/>
  <c r="BG83" i="1"/>
  <c r="BG78" i="1"/>
  <c r="BG80" i="1"/>
  <c r="E187" i="18"/>
  <c r="B196" i="18"/>
  <c r="H187" i="18"/>
  <c r="N174" i="18"/>
  <c r="BI81" i="1"/>
  <c r="BK81" i="1" s="1"/>
  <c r="BI80" i="1"/>
  <c r="BI82" i="1"/>
  <c r="BK82" i="1" s="1"/>
  <c r="BI78" i="1"/>
  <c r="BK78" i="1" s="1"/>
  <c r="BI83" i="1"/>
  <c r="BK83" i="1" s="1"/>
  <c r="BI79" i="1"/>
  <c r="H310" i="18"/>
  <c r="E310" i="18"/>
  <c r="BG75" i="1"/>
  <c r="BG73" i="1"/>
  <c r="BG74" i="1"/>
  <c r="BG72" i="1"/>
  <c r="BG71" i="1"/>
  <c r="BG70" i="1"/>
  <c r="H311" i="18"/>
  <c r="E311" i="18"/>
  <c r="H190" i="18"/>
  <c r="B249" i="18"/>
  <c r="B224" i="18"/>
  <c r="E190" i="18"/>
  <c r="BI70" i="1"/>
  <c r="BK70" i="1" s="1"/>
  <c r="BI72" i="1"/>
  <c r="BK72" i="1" s="1"/>
  <c r="BI73" i="1"/>
  <c r="BK73" i="1" s="1"/>
  <c r="BI75" i="1"/>
  <c r="BK75" i="1" s="1"/>
  <c r="BI71" i="1"/>
  <c r="BI74" i="1"/>
  <c r="BK74" i="1" s="1"/>
  <c r="E312" i="18"/>
  <c r="H312" i="18"/>
  <c r="BH102" i="1" l="1"/>
  <c r="BH103" i="1" s="1"/>
  <c r="B186" i="18"/>
  <c r="K151" i="18"/>
  <c r="H153" i="18"/>
  <c r="BL102" i="1"/>
  <c r="BL103" i="1" s="1"/>
  <c r="B188" i="18"/>
  <c r="BK71" i="1"/>
  <c r="BK79" i="1"/>
  <c r="BK80" i="1"/>
  <c r="H196" i="18"/>
  <c r="E196" i="18"/>
  <c r="B331" i="18"/>
  <c r="K196" i="18"/>
  <c r="B314" i="18"/>
  <c r="BK76" i="1"/>
  <c r="BL71" i="1" s="1"/>
  <c r="B320" i="18"/>
  <c r="H224" i="18"/>
  <c r="E224" i="18"/>
  <c r="H249" i="18"/>
  <c r="L247" i="18"/>
  <c r="L248" i="18" s="1"/>
  <c r="E249" i="18"/>
  <c r="BK84" i="1" l="1"/>
  <c r="BL79" i="1" s="1"/>
  <c r="BL104" i="1"/>
  <c r="BL106" i="1"/>
  <c r="H186" i="18"/>
  <c r="E186" i="18"/>
  <c r="B189" i="18"/>
  <c r="P186" i="18"/>
  <c r="N173" i="18"/>
  <c r="B195" i="18"/>
  <c r="BH104" i="1"/>
  <c r="BH106" i="1"/>
  <c r="B197" i="18"/>
  <c r="P188" i="18"/>
  <c r="H188" i="18"/>
  <c r="B191" i="18"/>
  <c r="E188" i="18"/>
  <c r="H314" i="18"/>
  <c r="E314" i="18"/>
  <c r="E320" i="18"/>
  <c r="H320" i="18"/>
  <c r="H331" i="18"/>
  <c r="B339" i="18"/>
  <c r="E331" i="18"/>
  <c r="N248" i="18"/>
  <c r="E195" i="18" l="1"/>
  <c r="B313" i="18"/>
  <c r="K195" i="18"/>
  <c r="H195" i="18"/>
  <c r="B330" i="18"/>
  <c r="B315" i="18"/>
  <c r="H197" i="18"/>
  <c r="K197" i="18"/>
  <c r="E197" i="18"/>
  <c r="B332" i="18"/>
  <c r="B225" i="18"/>
  <c r="N175" i="18"/>
  <c r="E191" i="18"/>
  <c r="H191" i="18"/>
  <c r="B250" i="18"/>
  <c r="B223" i="18"/>
  <c r="H189" i="18"/>
  <c r="B248" i="18"/>
  <c r="E189" i="18"/>
  <c r="H339" i="18"/>
  <c r="K339" i="18" s="1"/>
  <c r="E339" i="18"/>
  <c r="E223" i="18" l="1"/>
  <c r="B319" i="18"/>
  <c r="H223" i="18"/>
  <c r="E250" i="18"/>
  <c r="L249" i="18"/>
  <c r="L250" i="18" s="1"/>
  <c r="N250" i="18" s="1"/>
  <c r="H250" i="18"/>
  <c r="B321" i="18"/>
  <c r="H225" i="18"/>
  <c r="E225" i="18"/>
  <c r="L245" i="18"/>
  <c r="L246" i="18" s="1"/>
  <c r="N246" i="18" s="1"/>
  <c r="H248" i="18"/>
  <c r="E248" i="18"/>
  <c r="B340" i="18"/>
  <c r="E332" i="18"/>
  <c r="H332" i="18"/>
  <c r="H315" i="18"/>
  <c r="E315" i="18"/>
  <c r="E313" i="18"/>
  <c r="H313" i="18"/>
  <c r="E330" i="18"/>
  <c r="B338" i="18"/>
  <c r="H330" i="18"/>
  <c r="H321" i="18" l="1"/>
  <c r="E321" i="18"/>
  <c r="H319" i="18"/>
  <c r="E319" i="18"/>
  <c r="E338" i="18"/>
  <c r="H338" i="18"/>
  <c r="K338" i="18" s="1"/>
  <c r="E340" i="18"/>
  <c r="H340" i="18"/>
  <c r="K340" i="18" s="1"/>
</calcChain>
</file>

<file path=xl/sharedStrings.xml><?xml version="1.0" encoding="utf-8"?>
<sst xmlns="http://schemas.openxmlformats.org/spreadsheetml/2006/main" count="2701" uniqueCount="961">
  <si>
    <t>м3</t>
  </si>
  <si>
    <t>м-3</t>
  </si>
  <si>
    <t>г</t>
  </si>
  <si>
    <t>м2</t>
  </si>
  <si>
    <t>г/м2</t>
  </si>
  <si>
    <r>
      <t>ζ</t>
    </r>
    <r>
      <rPr>
        <vertAlign val="subscript"/>
        <sz val="12"/>
        <rFont val="Times New Roman"/>
        <family val="1"/>
        <charset val="204"/>
      </rPr>
      <t>тракт</t>
    </r>
    <r>
      <rPr>
        <sz val="12"/>
        <rFont val="Times New Roman"/>
        <family val="1"/>
        <charset val="204"/>
      </rPr>
      <t xml:space="preserve"> =</t>
    </r>
  </si>
  <si>
    <t>Па</t>
  </si>
  <si>
    <t xml:space="preserve">г/с </t>
  </si>
  <si>
    <t>=</t>
  </si>
  <si>
    <t>м3 Па/с</t>
  </si>
  <si>
    <r>
      <t>F</t>
    </r>
    <r>
      <rPr>
        <vertAlign val="subscript"/>
        <sz val="12"/>
        <rFont val="Times New Roman"/>
        <family val="1"/>
        <charset val="204"/>
      </rPr>
      <t>CX</t>
    </r>
    <r>
      <rPr>
        <sz val="12"/>
        <rFont val="Times New Roman"/>
        <family val="1"/>
        <charset val="204"/>
      </rPr>
      <t>(E</t>
    </r>
    <r>
      <rPr>
        <vertAlign val="subscript"/>
        <sz val="12"/>
        <rFont val="Times New Roman"/>
        <family val="1"/>
        <charset val="204"/>
      </rPr>
      <t>NBI</t>
    </r>
    <r>
      <rPr>
        <sz val="12"/>
        <rFont val="Times New Roman"/>
        <family val="1"/>
        <charset val="204"/>
      </rPr>
      <t xml:space="preserve">) = </t>
    </r>
  </si>
  <si>
    <t>-</t>
  </si>
  <si>
    <t>распад</t>
  </si>
  <si>
    <t xml:space="preserve"> </t>
  </si>
  <si>
    <t>шт/с</t>
  </si>
  <si>
    <t>NBI</t>
  </si>
  <si>
    <t>pellet</t>
  </si>
  <si>
    <t>gas puff</t>
  </si>
  <si>
    <t>%</t>
  </si>
  <si>
    <t>MW</t>
  </si>
  <si>
    <t xml:space="preserve">для HDO, HTO, DTO, H2O, CO, D2O, T2O, He, Ne, N2
</t>
  </si>
  <si>
    <t xml:space="preserve">для H2, T2, D2, TD, HD, HT
</t>
  </si>
  <si>
    <t>D</t>
  </si>
  <si>
    <t>T</t>
  </si>
  <si>
    <t>система пеллет-инжекции</t>
  </si>
  <si>
    <t>система нейтральной инжекции</t>
  </si>
  <si>
    <t>система газовых клапанов</t>
  </si>
  <si>
    <t>система каталитического разложения</t>
  </si>
  <si>
    <t>м3 Па</t>
  </si>
  <si>
    <t>штук</t>
  </si>
  <si>
    <r>
      <t>N</t>
    </r>
    <r>
      <rPr>
        <vertAlign val="subscript"/>
        <sz val="12"/>
        <rFont val="Times New Roman"/>
        <family val="1"/>
        <charset val="204"/>
      </rPr>
      <t xml:space="preserve">plasma </t>
    </r>
    <r>
      <rPr>
        <sz val="12"/>
        <rFont val="Times New Roman"/>
        <family val="1"/>
        <charset val="204"/>
      </rPr>
      <t>=</t>
    </r>
  </si>
  <si>
    <r>
      <t xml:space="preserve">мощность NBI </t>
    </r>
    <r>
      <rPr>
        <b/>
        <sz val="12"/>
        <color indexed="8"/>
        <rFont val="Times New Roman"/>
        <family val="1"/>
        <charset val="204"/>
      </rPr>
      <t>Pnbi</t>
    </r>
  </si>
  <si>
    <t>в результате, между системами "роли" распределены в пропорции:</t>
  </si>
  <si>
    <t>eA</t>
  </si>
  <si>
    <r>
      <t>N</t>
    </r>
    <r>
      <rPr>
        <vertAlign val="subscript"/>
        <sz val="12"/>
        <rFont val="Times New Roman"/>
        <family val="1"/>
        <charset val="204"/>
      </rPr>
      <t xml:space="preserve">NBI </t>
    </r>
    <r>
      <rPr>
        <sz val="12"/>
        <rFont val="Times New Roman"/>
        <family val="1"/>
        <charset val="204"/>
      </rPr>
      <t xml:space="preserve">=  </t>
    </r>
  </si>
  <si>
    <t>расстояние от инжектора</t>
  </si>
  <si>
    <t>м</t>
  </si>
  <si>
    <t>≡</t>
  </si>
  <si>
    <t>секунд</t>
  </si>
  <si>
    <t>часов</t>
  </si>
  <si>
    <t>ИТОГО:</t>
  </si>
  <si>
    <t>ИЗ систем</t>
  </si>
  <si>
    <t>шт</t>
  </si>
  <si>
    <t>переработки сверхтяжеловодных отходов</t>
  </si>
  <si>
    <t>установка разделения изотопов водорода</t>
  </si>
  <si>
    <t>установка каталитического разложения химических соединений водорода</t>
  </si>
  <si>
    <t>Плотность (при н. у.)</t>
  </si>
  <si>
    <t>кг</t>
  </si>
  <si>
    <t xml:space="preserve">NBI </t>
  </si>
  <si>
    <t>ИТОГО</t>
  </si>
  <si>
    <t>MВт</t>
  </si>
  <si>
    <t>выгорание</t>
  </si>
  <si>
    <t>итого</t>
  </si>
  <si>
    <t xml:space="preserve">диффузия </t>
  </si>
  <si>
    <t>мсек</t>
  </si>
  <si>
    <t>МВт</t>
  </si>
  <si>
    <t>кэВ</t>
  </si>
  <si>
    <t>г/см³</t>
  </si>
  <si>
    <t xml:space="preserve">макс количество трития в одном месте </t>
  </si>
  <si>
    <t>г/с</t>
  </si>
  <si>
    <t>D2</t>
  </si>
  <si>
    <t>T2</t>
  </si>
  <si>
    <t>и</t>
  </si>
  <si>
    <t>количество работающих одновременно инжекторов</t>
  </si>
  <si>
    <t xml:space="preserve">то есть </t>
  </si>
  <si>
    <t>поток атомов T</t>
  </si>
  <si>
    <t>не считая потока в NBI</t>
  </si>
  <si>
    <t>Гц</t>
  </si>
  <si>
    <t>при этом размер пеллеты составит:</t>
  </si>
  <si>
    <t>количество инжекторов нейтральных частиц</t>
  </si>
  <si>
    <t>считаем, что каждый инжектор может обеспечить частоту</t>
  </si>
  <si>
    <t>см³</t>
  </si>
  <si>
    <t>D:T=1:1</t>
  </si>
  <si>
    <t xml:space="preserve">или в секунду: </t>
  </si>
  <si>
    <t>г/c</t>
  </si>
  <si>
    <t>кг/год</t>
  </si>
  <si>
    <t>или</t>
  </si>
  <si>
    <t>T burn fraction in plasma</t>
  </si>
  <si>
    <t>(тритий в плазме/выгорание)</t>
  </si>
  <si>
    <r>
      <t xml:space="preserve">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 Па/с</t>
    </r>
  </si>
  <si>
    <t>SABR</t>
  </si>
  <si>
    <t>установка</t>
  </si>
  <si>
    <t>флюэнс нейтронов</t>
  </si>
  <si>
    <t>коэффициент (разница)</t>
  </si>
  <si>
    <t>мм</t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</si>
  <si>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 Па/с</t>
    </r>
  </si>
  <si>
    <t xml:space="preserve">% </t>
  </si>
  <si>
    <t>откачиваемой газовой смеси:</t>
  </si>
  <si>
    <t>оставшийся газовый поток разделится:</t>
  </si>
  <si>
    <t>в систему депротизации</t>
  </si>
  <si>
    <r>
      <t xml:space="preserve">через мембранный фильтр </t>
    </r>
    <r>
      <rPr>
        <b/>
        <sz val="12"/>
        <color indexed="8"/>
        <rFont val="Times New Roman"/>
        <family val="1"/>
        <charset val="204"/>
      </rPr>
      <t>НЕ</t>
    </r>
    <r>
      <rPr>
        <sz val="12"/>
        <color indexed="8"/>
        <rFont val="Times New Roman"/>
        <family val="1"/>
        <charset val="204"/>
      </rPr>
      <t xml:space="preserve"> пройдет газа</t>
    </r>
  </si>
  <si>
    <t>этот поток разделяется на:</t>
  </si>
  <si>
    <t>ячейки с данными из "параметров для расчетов"</t>
  </si>
  <si>
    <t>ячейки с расчетами данных! При этом вычисляются количества-&gt; потоки -&gt; масса</t>
  </si>
  <si>
    <t>ячейки тоже с расчетами данных! НО с ОБРАТНЫМ ПОРЯДКОМ вычисления: потоки -&gt; количества -&gt; масса</t>
  </si>
  <si>
    <t>ячейки с ключевыми или спортными значениями</t>
  </si>
  <si>
    <t>ячейки с важными или спорными значениями</t>
  </si>
  <si>
    <t>Условные обозначения:</t>
  </si>
  <si>
    <t>"НЕДОСТАЮЩИЙ" ПОТОК ЧАСТИЦ "КОМПЕНСИРУЮТ" СИСТЕМЫ ПЕЛЛЕТ ИНЖЕКЦИИ И ГАЗОВЫЕ КЛАПАНЫ!</t>
  </si>
  <si>
    <t>в связи с тем, что система пеллет инжекции облазает большей эффективностью доставки топлива в плазму, надо стараться ПОКРЫТЬ ПОТРЕБНОСТИ в топливе с ее помощью!</t>
  </si>
  <si>
    <t>РАСЧЕТ БАЛЛАНСА ЧАСТИЦ В ПЛАЗМЕ</t>
  </si>
  <si>
    <t>должно быть 100%</t>
  </si>
  <si>
    <t>В связи с тем, что фактический поток газа БОЛЬШЕ чем потребность плазмы в частицах, получим</t>
  </si>
  <si>
    <t>мм³</t>
  </si>
  <si>
    <t>// проверка</t>
  </si>
  <si>
    <t>СИСТЕМА ПЕЛЛЕТ ИНЖЕКЦИИ</t>
  </si>
  <si>
    <t>СИСТЕМА НЕЙТРАЛЬНОЙ ИНЖЕКЦИИ</t>
  </si>
  <si>
    <t>ГАЗОВЫЕ КЛАПАНЫ</t>
  </si>
  <si>
    <r>
      <t xml:space="preserve">следовательно, из систем инжекции поступает поток частиц </t>
    </r>
    <r>
      <rPr>
        <b/>
        <sz val="12"/>
        <color indexed="10"/>
        <rFont val="Times New Roman"/>
        <family val="1"/>
        <charset val="204"/>
      </rPr>
      <t>В ПЛАЗМУ</t>
    </r>
    <r>
      <rPr>
        <sz val="12"/>
        <color indexed="8"/>
        <rFont val="Times New Roman"/>
        <family val="1"/>
        <charset val="204"/>
      </rPr>
      <t>:</t>
    </r>
  </si>
  <si>
    <t>// проверка! (сумма потоков в камеру * эффективность)</t>
  </si>
  <si>
    <t>РАСЧЕТ СИСТЕМЫ НЕЙТРАЛЬНОЙ ИНЖЕКЦИИ</t>
  </si>
  <si>
    <t>ДЛЯ ВСЕХ ИНЖЕКТОРОВ!!!</t>
  </si>
  <si>
    <t>величина малая!</t>
  </si>
  <si>
    <t>СИСТЕМА ОЧИСТКИ ТОПЛИВА</t>
  </si>
  <si>
    <t>В систему очистки топлива попадают потоки из:</t>
  </si>
  <si>
    <t>а также:</t>
  </si>
  <si>
    <t xml:space="preserve">тогда в систему очистки входной поток : </t>
  </si>
  <si>
    <t>СИСТЕМА КАТАЛИТИЧЕСКОГО РАЗЛОЖЕНИЯ</t>
  </si>
  <si>
    <t>РАСЧЕТ ВОЗМОЖНОСТЕЙ СИСТЕМ ВВОДА ТОПЛИВА</t>
  </si>
  <si>
    <t>СИСТЕМА ХРАНЕНИЯ И ОБРАБОТКИ ТРИТИЯ</t>
  </si>
  <si>
    <t>таким образом, на вход Isotope Rebalancing поступает поток</t>
  </si>
  <si>
    <t>система откачки диверторов</t>
  </si>
  <si>
    <t>система очистки топлива</t>
  </si>
  <si>
    <t>система депротизации</t>
  </si>
  <si>
    <t>СИСТЕМА ДЕПРОТИЗАЦИИ</t>
  </si>
  <si>
    <t>система обработки топливной смеси</t>
  </si>
  <si>
    <r>
      <rPr>
        <sz val="12"/>
        <rFont val="Times New Roman"/>
        <family val="1"/>
        <charset val="204"/>
      </rPr>
      <t>поток частиц в плазму</t>
    </r>
    <r>
      <rPr>
        <sz val="12"/>
        <color indexed="10"/>
        <rFont val="Times New Roman"/>
        <family val="1"/>
        <charset val="204"/>
      </rPr>
      <t xml:space="preserve"> Inbi  от </t>
    </r>
    <r>
      <rPr>
        <b/>
        <sz val="12"/>
        <color indexed="10"/>
        <rFont val="Times New Roman"/>
        <family val="1"/>
        <charset val="204"/>
      </rPr>
      <t>всех инж.</t>
    </r>
    <r>
      <rPr>
        <sz val="12"/>
        <color indexed="10"/>
        <rFont val="Times New Roman"/>
        <family val="1"/>
        <charset val="204"/>
      </rPr>
      <t xml:space="preserve"> </t>
    </r>
  </si>
  <si>
    <r>
      <rPr>
        <sz val="12"/>
        <rFont val="Times New Roman"/>
        <family val="1"/>
        <charset val="204"/>
      </rPr>
      <t xml:space="preserve">поток </t>
    </r>
    <r>
      <rPr>
        <sz val="12"/>
        <color indexed="10"/>
        <rFont val="Times New Roman"/>
        <family val="1"/>
        <charset val="204"/>
      </rPr>
      <t>трития(!)</t>
    </r>
    <r>
      <rPr>
        <sz val="12"/>
        <rFont val="Times New Roman"/>
        <family val="1"/>
        <charset val="204"/>
      </rPr>
      <t xml:space="preserve"> в нейтрализаторы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всех инж</t>
    </r>
    <r>
      <rPr>
        <sz val="12"/>
        <color indexed="10"/>
        <rFont val="Times New Roman"/>
        <family val="1"/>
        <charset val="204"/>
      </rPr>
      <t>. Inbi(2)</t>
    </r>
  </si>
  <si>
    <r>
      <rPr>
        <sz val="12"/>
        <rFont val="Times New Roman"/>
        <family val="1"/>
        <charset val="204"/>
      </rPr>
      <t xml:space="preserve"> поток </t>
    </r>
    <r>
      <rPr>
        <sz val="12"/>
        <color indexed="10"/>
        <rFont val="Times New Roman"/>
        <family val="1"/>
        <charset val="204"/>
      </rPr>
      <t xml:space="preserve">трития(!) </t>
    </r>
    <r>
      <rPr>
        <sz val="12"/>
        <rFont val="Times New Roman"/>
        <family val="1"/>
        <charset val="204"/>
      </rPr>
      <t>в источники ионов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всех инж</t>
    </r>
    <r>
      <rPr>
        <sz val="12"/>
        <color indexed="10"/>
        <rFont val="Times New Roman"/>
        <family val="1"/>
        <charset val="204"/>
      </rPr>
      <t>. Inbi(1)</t>
    </r>
  </si>
  <si>
    <r>
      <rPr>
        <sz val="12"/>
        <rFont val="Times New Roman"/>
        <family val="1"/>
        <charset val="204"/>
      </rPr>
      <t>оценим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суммарный поток трития</t>
    </r>
    <r>
      <rPr>
        <sz val="12"/>
        <color indexed="1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в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один инжектор</t>
    </r>
  </si>
  <si>
    <r>
      <t xml:space="preserve">при этом </t>
    </r>
    <r>
      <rPr>
        <sz val="12"/>
        <color indexed="10"/>
        <rFont val="Times New Roman"/>
        <family val="1"/>
        <charset val="204"/>
      </rPr>
      <t>из тора</t>
    </r>
    <r>
      <rPr>
        <sz val="12"/>
        <color indexed="8"/>
        <rFont val="Times New Roman"/>
        <family val="1"/>
        <charset val="204"/>
      </rPr>
      <t xml:space="preserve"> прилетают частиц в каждый инжектор:</t>
    </r>
  </si>
  <si>
    <t xml:space="preserve">кг/год </t>
  </si>
  <si>
    <t>//</t>
  </si>
  <si>
    <t>Nnbi+Ngasp+Npellet =</t>
  </si>
  <si>
    <t>будет (за год):</t>
  </si>
  <si>
    <t>вход - выход</t>
  </si>
  <si>
    <t>должен быть ноль !</t>
  </si>
  <si>
    <t>выход</t>
  </si>
  <si>
    <t>вход</t>
  </si>
  <si>
    <t>за вычетом потока нейтральных частиц В КАМЕРУ (а не в плазму!)</t>
  </si>
  <si>
    <t>// не считая геттерных хранилищ</t>
  </si>
  <si>
    <t>// - стартового (с запасом) и долговременного!</t>
  </si>
  <si>
    <t>РАСЧЕТ СИСТЕМЫ ОТКАЧКИ</t>
  </si>
  <si>
    <t>годовое уменьшения трития (в том числе выгорание)</t>
  </si>
  <si>
    <t xml:space="preserve">Накопление трития </t>
  </si>
  <si>
    <t>// * на константу распада!!!</t>
  </si>
  <si>
    <t>// сумма всех запасов во всех системах</t>
  </si>
  <si>
    <t>шт/год</t>
  </si>
  <si>
    <t>м3 Па/год</t>
  </si>
  <si>
    <t>г/год</t>
  </si>
  <si>
    <t>// расчет по факту! напуск/выгорание</t>
  </si>
  <si>
    <t>через год</t>
  </si>
  <si>
    <t>частиц/с</t>
  </si>
  <si>
    <t>Полный поток газа (D+T)</t>
  </si>
  <si>
    <t xml:space="preserve">Один инжектор. </t>
  </si>
  <si>
    <r>
      <t>Для обеспечения потока</t>
    </r>
    <r>
      <rPr>
        <b/>
        <sz val="12"/>
        <color indexed="10"/>
        <rFont val="Times New Roman"/>
        <family val="1"/>
        <charset val="204"/>
      </rPr>
      <t xml:space="preserve"> Inbi в плазму</t>
    </r>
    <r>
      <rPr>
        <sz val="12"/>
        <color indexed="8"/>
        <rFont val="Times New Roman"/>
        <family val="1"/>
        <charset val="204"/>
      </rPr>
      <t xml:space="preserve"> необходимо подавать поток</t>
    </r>
    <r>
      <rPr>
        <b/>
        <sz val="12"/>
        <color indexed="10"/>
        <rFont val="Times New Roman"/>
        <family val="1"/>
        <charset val="204"/>
      </rPr>
      <t xml:space="preserve"> Inbi(1)</t>
    </r>
    <r>
      <rPr>
        <sz val="12"/>
        <color indexed="8"/>
        <rFont val="Times New Roman"/>
        <family val="1"/>
        <charset val="204"/>
      </rPr>
      <t xml:space="preserve"> в инжектор,</t>
    </r>
    <r>
      <rPr>
        <b/>
        <sz val="12"/>
        <color indexed="10"/>
        <rFont val="Times New Roman"/>
        <family val="1"/>
        <charset val="204"/>
      </rPr>
      <t xml:space="preserve"> Inbi(2)</t>
    </r>
    <r>
      <rPr>
        <sz val="12"/>
        <color indexed="8"/>
        <rFont val="Times New Roman"/>
        <family val="1"/>
        <charset val="204"/>
      </rPr>
      <t xml:space="preserve"> в нейрализатор. </t>
    </r>
  </si>
  <si>
    <t>НО будет попадать ДЕЙТЕРИЙ!!!</t>
  </si>
  <si>
    <t>поток атомов ДЕЙТЕРИЯ</t>
  </si>
  <si>
    <t>в случае DD инжекторов в плазму НЕ будет попадать ТРИТИЯ</t>
  </si>
  <si>
    <t>эффективность системы инжекции</t>
  </si>
  <si>
    <t>// отношение потока частиц в ПЛАЗМУ от одного</t>
  </si>
  <si>
    <t>//  инжектора к потоку газа В ОДИН инжектор</t>
  </si>
  <si>
    <t>(по дейтерию)</t>
  </si>
  <si>
    <t>// эквивалентных ампер = мощность NBI Pnbi (МВт) / ENBI (кэВ)</t>
  </si>
  <si>
    <t>в связи с тем, что трития в химически связанном состоянии содержится в</t>
  </si>
  <si>
    <t xml:space="preserve">// он же выходной </t>
  </si>
  <si>
    <t>(на вход)</t>
  </si>
  <si>
    <t xml:space="preserve">дней </t>
  </si>
  <si>
    <t>// для Ве</t>
  </si>
  <si>
    <t>транспорт</t>
  </si>
  <si>
    <t>для этого нужно представлять площади поверхностей, их материалы и температуры</t>
  </si>
  <si>
    <t>такое количство протия будет образовываться в камере в результате D-D реакций</t>
  </si>
  <si>
    <t>тритий</t>
  </si>
  <si>
    <t xml:space="preserve"> протий будет присутствовать ВО ВСЕХ системах ТЦ вне зависимоси от ИСПОЛЬЗУЕМОЙ ТОПЛИВНОЙ СМЕСИ для NBI</t>
  </si>
  <si>
    <t>однако, в связи с различными потоками (замкнутыми контурами) поток протия будет различным!</t>
  </si>
  <si>
    <t>ПОТОМУ ЧТО НЕ СОХРАНЯЕМ!</t>
  </si>
  <si>
    <r>
      <t>годовое уменьшение количества ПРОТИЯ</t>
    </r>
    <r>
      <rPr>
        <b/>
        <sz val="12"/>
        <rFont val="Times New Roman"/>
        <family val="1"/>
        <charset val="204"/>
      </rPr>
      <t xml:space="preserve"> будет равно:</t>
    </r>
  </si>
  <si>
    <t xml:space="preserve">депротизация </t>
  </si>
  <si>
    <t>ДЕЙТЕРИЯ!</t>
  </si>
  <si>
    <t>ТРИТИЯ!</t>
  </si>
  <si>
    <t>протия</t>
  </si>
  <si>
    <t>// считаем, что в магистралях СОБЕРЕМ ВСЕ за счет двойных стенок и тп!</t>
  </si>
  <si>
    <t>СЧИТАЕМ, что ВЕСЬ протий, попавший в систему депротизации УДАЛИТСЯ ИЗ ТЦ !!!</t>
  </si>
  <si>
    <t>взяв за основу расходы ДЕЙТЕРИЯ и ТРИТИЯ, можно СМАСШТАБИРОВАТЬ потоки для ПРОТИЯ!</t>
  </si>
  <si>
    <t>(при этом мы получим ОЦЕНКУ СВЕРХУ, взяв для D:T=1:1 значения для ТРИТИЯ, а для D:T=1:0 - значения для ДЕЙТЕРИЯ)</t>
  </si>
  <si>
    <r>
      <rPr>
        <b/>
        <sz val="12"/>
        <color indexed="36"/>
        <rFont val="Times New Roman"/>
        <family val="1"/>
        <charset val="204"/>
      </rPr>
      <t>протий будет находиться во всех системах ТЦ</t>
    </r>
    <r>
      <rPr>
        <sz val="12"/>
        <color indexed="36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вместе с газовой смесью!!!</t>
    </r>
  </si>
  <si>
    <r>
      <rPr>
        <b/>
        <sz val="12"/>
        <color indexed="36"/>
        <rFont val="Times New Roman"/>
        <family val="1"/>
        <charset val="204"/>
      </rPr>
      <t>из тора (камера и плазма в ней) протий будет распределяться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по всем системам ТЦ !</t>
    </r>
  </si>
  <si>
    <t>дейтерий для D:T=1:1</t>
  </si>
  <si>
    <t>тритий для D:T=1:1</t>
  </si>
  <si>
    <t>В СЛУЧАЕ D:T=1:1 В ИНЖЕКТОРАХ БУДЕТ СМЕСЬ С ПРОТИЕМ</t>
  </si>
  <si>
    <t>(Т.К. КАК ЦИКЛ ЗАМКНУТ)</t>
  </si>
  <si>
    <t>(Т.К. ОНА ОБЩАЯ ДЛЯ ВСЕХ СИСТЕМ ТЦ)</t>
  </si>
  <si>
    <t>1.                   потоки в системы инжекции :</t>
  </si>
  <si>
    <t>2.                                       с криопанелей всех инжекторов</t>
  </si>
  <si>
    <t>1.                                        диверторов вакуумной камеры</t>
  </si>
  <si>
    <t>проникающий поток:</t>
  </si>
  <si>
    <t>для сравнения, ГОДОВОЙ ПРИРОСТ:</t>
  </si>
  <si>
    <t xml:space="preserve">В СЛУЧАЕ D:T=1:0 В ИНЖЕКТОРАХ БУДЕТ ТОЛЬКО ДЕЙТЕРИЙ (!) ПЛЮС ПРОТИЙ ИЗ ТОРА </t>
  </si>
  <si>
    <t>штук через год</t>
  </si>
  <si>
    <t>грамм (через год)</t>
  </si>
  <si>
    <t>// все инжектированное минус сгоревшее</t>
  </si>
  <si>
    <t xml:space="preserve">за исключением чтого, что в систему хим разложения поток ТОЛЬКО из дивертора! </t>
  </si>
  <si>
    <t xml:space="preserve">чтобы сошелся балланс, мы считаем ЗАМКНУТЫЙ КОНТУР (D - ПЕТЛЮ) - в общем ТЦ </t>
  </si>
  <si>
    <t>// газ из инжекторов+газ из тора</t>
  </si>
  <si>
    <t>// из системы депротизации = 0 !!!</t>
  </si>
  <si>
    <r>
      <rPr>
        <sz val="12"/>
        <color indexed="10"/>
        <rFont val="Times New Roman"/>
        <family val="1"/>
        <charset val="204"/>
      </rPr>
      <t>важно</t>
    </r>
    <r>
      <rPr>
        <sz val="12"/>
        <color indexed="8"/>
        <rFont val="Times New Roman"/>
        <family val="1"/>
        <charset val="204"/>
      </rPr>
      <t xml:space="preserve"> то, что ВЕСЬ протий из систем химического разложения РАНО ИЛИ ПОЗДНО попадет в систему </t>
    </r>
    <r>
      <rPr>
        <b/>
        <sz val="12"/>
        <color indexed="8"/>
        <rFont val="Times New Roman"/>
        <family val="1"/>
        <charset val="204"/>
      </rPr>
      <t>Isotope Rebalancing</t>
    </r>
    <r>
      <rPr>
        <sz val="12"/>
        <color indexed="8"/>
        <rFont val="Times New Roman"/>
        <family val="1"/>
        <charset val="204"/>
      </rPr>
      <t>!</t>
    </r>
  </si>
  <si>
    <t xml:space="preserve">зная суммарное количество частиц в газовом потоке в ОДИН ИНЖЕКТОР, найдем </t>
  </si>
  <si>
    <t>СТАЦИОНАРНЫЕ ЗНАЧЕНИЯ для ПРОТИЯ и ТРИТИЯ в дейтериевом цикле</t>
  </si>
  <si>
    <t>4.         системы охлаждения дивертора и первой стенки</t>
  </si>
  <si>
    <t xml:space="preserve">процентное отношение ПРИЛЕТЕВШЕГО ИЗ ТОРА протия </t>
  </si>
  <si>
    <t>килограмм (через год)</t>
  </si>
  <si>
    <t>м3 Па/за ЦИКЛ разделения</t>
  </si>
  <si>
    <t>// газа ВООБЩЕ нет</t>
  </si>
  <si>
    <t>без учета потока с КРИОПАНЕЛЕЙ ИНЖЕКТОРОВ !!!</t>
  </si>
  <si>
    <t>ПОТОМУ, ЧТО ДЕЙТЕРИЙ не ИДЕТ В ОБЩУЮ СИСТЕМУ !!! его ЦИКЛ ЗАМКНУТ !!!</t>
  </si>
  <si>
    <t>5.                                                                                 бланкета</t>
  </si>
  <si>
    <t>3.                                                                    литиевой петли</t>
  </si>
  <si>
    <t>концентрация трития в металле стенки nТ=</t>
  </si>
  <si>
    <t>- СТАЦИОНАРНОЕ значение ТРИТИЯ !</t>
  </si>
  <si>
    <t>- СТАЦИОНАРНОЕ значение ПРОТИЯ !</t>
  </si>
  <si>
    <r>
      <t xml:space="preserve">при этом </t>
    </r>
    <r>
      <rPr>
        <sz val="12"/>
        <color indexed="10"/>
        <rFont val="Times New Roman"/>
        <family val="1"/>
        <charset val="204"/>
      </rPr>
      <t>из тора</t>
    </r>
    <r>
      <rPr>
        <sz val="12"/>
        <color indexed="8"/>
        <rFont val="Times New Roman"/>
        <family val="1"/>
        <charset val="204"/>
      </rPr>
      <t xml:space="preserve"> прилетают частиц протия в каждый инжектор:</t>
    </r>
  </si>
  <si>
    <r>
      <rPr>
        <b/>
        <sz val="12"/>
        <color indexed="10"/>
        <rFont val="Times New Roman"/>
        <family val="1"/>
        <charset val="204"/>
      </rPr>
      <t>суммарный поток ДЕЙТЕРИЯ</t>
    </r>
    <r>
      <rPr>
        <sz val="12"/>
        <color indexed="1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в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ОДИН инжектор:</t>
    </r>
  </si>
  <si>
    <r>
      <t xml:space="preserve">в результате работы NBI на криопанелях </t>
    </r>
    <r>
      <rPr>
        <sz val="12"/>
        <color indexed="10"/>
        <rFont val="Times New Roman"/>
        <family val="1"/>
        <charset val="204"/>
      </rPr>
      <t>ОДНОГО</t>
    </r>
    <r>
      <rPr>
        <b/>
        <sz val="12"/>
        <color indexed="10"/>
        <rFont val="Times New Roman"/>
        <family val="1"/>
        <charset val="204"/>
      </rPr>
      <t xml:space="preserve"> инжектора</t>
    </r>
    <r>
      <rPr>
        <sz val="12"/>
        <color indexed="8"/>
        <rFont val="Times New Roman"/>
        <family val="1"/>
        <charset val="204"/>
      </rPr>
      <t xml:space="preserve"> будет намораживаться частиц</t>
    </r>
    <r>
      <rPr>
        <sz val="12"/>
        <rFont val="Times New Roman"/>
        <family val="1"/>
        <charset val="204"/>
      </rPr>
      <t xml:space="preserve"> </t>
    </r>
  </si>
  <si>
    <t>содержание ПРОТИЯ в вакуумной камере (и плазме):</t>
  </si>
  <si>
    <t xml:space="preserve">2.                     долговременное хранилище </t>
  </si>
  <si>
    <t xml:space="preserve">поток удаляемых частиц должен быть РАВНЫМ количеству рожденных !!! </t>
  </si>
  <si>
    <t>"неродившихся" частиц удаляется в системе депротизации</t>
  </si>
  <si>
    <t>c</t>
  </si>
  <si>
    <t>проверка</t>
  </si>
  <si>
    <t>для получения этого результата, в систему РАЗДЕЛЕНИЯ ИЗОТОПОВ из инжекторов в случае D:T=1:0 подается</t>
  </si>
  <si>
    <t xml:space="preserve">тогда доля ПРОТИЯ/ТРИТИЯ, возвращаемого обратно в инжектор после ЦИКЛА </t>
  </si>
  <si>
    <t>(накопление)</t>
  </si>
  <si>
    <t>для сравнения показатели в системах  JET и ITER</t>
  </si>
  <si>
    <t xml:space="preserve"> JET</t>
  </si>
  <si>
    <t xml:space="preserve"> ITER</t>
  </si>
  <si>
    <t>0,6+65,6</t>
  </si>
  <si>
    <t>1000 limit</t>
  </si>
  <si>
    <t>система разделения</t>
  </si>
  <si>
    <t>34,4+65,6</t>
  </si>
  <si>
    <t>для D</t>
  </si>
  <si>
    <t>10+</t>
  </si>
  <si>
    <t>impurity processing</t>
  </si>
  <si>
    <t>// учтена смесь в ТЦ + запас в стартовом геттере</t>
  </si>
  <si>
    <t xml:space="preserve">что эквивалентно потоку </t>
  </si>
  <si>
    <t xml:space="preserve">или </t>
  </si>
  <si>
    <t>доля трития в топливной смеси</t>
  </si>
  <si>
    <t>считаем что происходит масштабирование (в соответствии с концентрацией частиц)</t>
  </si>
  <si>
    <t>помимо этого будет происходить увеличение количества протия за счет различных механизмов</t>
  </si>
  <si>
    <t>для ПРОТИЯ надо учитывать следующие процессы:</t>
  </si>
  <si>
    <r>
      <t>Ninc</t>
    </r>
    <r>
      <rPr>
        <vertAlign val="subscript"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=</t>
    </r>
  </si>
  <si>
    <t>ЗНАЧЕНИЯ НЕ МОГУТ БЫТЬ НУЛЕВЫМИ, ПОСКОЛЬКУ ПРОТИЙ ЕСТЬ ВЕЗДЕ!!!</t>
  </si>
  <si>
    <r>
      <rPr>
        <b/>
        <sz val="12"/>
        <color indexed="36"/>
        <rFont val="Times New Roman"/>
        <family val="1"/>
        <charset val="204"/>
      </rPr>
      <t>П</t>
    </r>
    <r>
      <rPr>
        <sz val="12"/>
        <color indexed="36"/>
        <rFont val="Times New Roman"/>
        <family val="1"/>
        <charset val="204"/>
      </rPr>
      <t>редположим, что</t>
    </r>
    <r>
      <rPr>
        <b/>
        <sz val="12"/>
        <color indexed="36"/>
        <rFont val="Times New Roman"/>
        <family val="1"/>
        <charset val="204"/>
      </rPr>
      <t xml:space="preserve"> масимально допустимы</t>
    </r>
    <r>
      <rPr>
        <sz val="12"/>
        <color indexed="36"/>
        <rFont val="Times New Roman"/>
        <family val="1"/>
        <charset val="204"/>
      </rPr>
      <t>й проникающий поток</t>
    </r>
    <r>
      <rPr>
        <b/>
        <sz val="12"/>
        <color indexed="36"/>
        <rFont val="Times New Roman"/>
        <family val="1"/>
        <charset val="204"/>
      </rPr>
      <t xml:space="preserve"> ПРОТИЯ </t>
    </r>
    <r>
      <rPr>
        <sz val="12"/>
        <color indexed="36"/>
        <rFont val="Times New Roman"/>
        <family val="1"/>
        <charset val="204"/>
      </rPr>
      <t xml:space="preserve">через конструкционные материалы вакуумной камеры СОИЗМЕРИМ СО значениями для ДЕЙТЕРИЯ И ТРИТИЯ </t>
    </r>
    <r>
      <rPr>
        <sz val="12"/>
        <color indexed="36"/>
        <rFont val="Times New Roman"/>
        <family val="1"/>
        <charset val="204"/>
      </rPr>
      <t>… А НЕ В ПРОЦЕНТНОМ СООТНОШЕНИИ!!!</t>
    </r>
  </si>
  <si>
    <t>при этом имеем:</t>
  </si>
  <si>
    <t>м3/с</t>
  </si>
  <si>
    <t>доля потока, падающего на первую стенку, достигающая инжекторов NBI</t>
  </si>
  <si>
    <t>размеры патрубка (высота)</t>
  </si>
  <si>
    <t>(ширина)</t>
  </si>
  <si>
    <t xml:space="preserve">// 'Термоядерная мощность Pf(МВт)*10^6 / (((17,589 МэВ)*10^6) * 1,6*10^(-19) Дж ) </t>
  </si>
  <si>
    <t xml:space="preserve">// то есть, (Дж/с)/Дж = 1/с </t>
  </si>
  <si>
    <t>// количество частиц дейтерия в плазме</t>
  </si>
  <si>
    <t>в случае DT инжекторов в плазму будет попадать ТРИТИЙ</t>
  </si>
  <si>
    <t>скорость накопление ПРОТИЯ в дейтериевом цикле</t>
  </si>
  <si>
    <t>по абсолютной величине</t>
  </si>
  <si>
    <t>что НЕ СУЩЕСТВЕННО по абсолютной величине</t>
  </si>
  <si>
    <t>доля ТРИТИЯ от количества частиц ДЕЙТЕРИЯ</t>
  </si>
  <si>
    <t xml:space="preserve">     В СВЯЗИ С ТЕМ, ЧТО СМЕСЬ НУЖДАЕТСЯ В ДЕТРИТИЗАЦИИ, ИЗ НЕЕ БУДЕТ ТАКЖЕ (!) ИЗВЛЕКАТЬСЯ ПРОТИЙ!!!</t>
  </si>
  <si>
    <t>доля ПРОТИЯ от количества частиц ДЕЙТЕРИЯ</t>
  </si>
  <si>
    <t>(НИЖЕ - результаты динамического моделирования)</t>
  </si>
  <si>
    <t xml:space="preserve">Система депротизации топливной смеси   </t>
  </si>
  <si>
    <t xml:space="preserve">Система детритизации нейтрального инжектора   </t>
  </si>
  <si>
    <t>скорость накопления ТРИТИЯ</t>
  </si>
  <si>
    <t>количество ТРИТИЯ</t>
  </si>
  <si>
    <t>со временем количество ПРОТИЯ станет</t>
  </si>
  <si>
    <r>
      <t xml:space="preserve">(для </t>
    </r>
    <r>
      <rPr>
        <b/>
        <sz val="12"/>
        <color rgb="FFFF0000"/>
        <rFont val="Times New Roman"/>
        <family val="1"/>
        <charset val="204"/>
      </rPr>
      <t>ВСЕХ</t>
    </r>
    <r>
      <rPr>
        <sz val="12"/>
        <color rgb="FFFF0000"/>
        <rFont val="Times New Roman"/>
        <family val="1"/>
        <charset val="204"/>
      </rPr>
      <t xml:space="preserve"> инжекторов)</t>
    </r>
  </si>
  <si>
    <t>дегазация+накопление</t>
  </si>
  <si>
    <t xml:space="preserve">// количество частиц протия в КАМЕРЕ </t>
  </si>
  <si>
    <r>
      <t xml:space="preserve">кг/год - </t>
    </r>
    <r>
      <rPr>
        <sz val="12"/>
        <color indexed="40"/>
        <rFont val="Times New Roman"/>
        <family val="1"/>
        <charset val="204"/>
      </rPr>
      <t>выгорание в плазме!</t>
    </r>
  </si>
  <si>
    <t>от общего потока через систему (для ДЕТРИТИЗАЦИИ и ДЕПРОТИЗАЦИИ? этой газовой смеси)</t>
  </si>
  <si>
    <t xml:space="preserve">То есть, баланс трития в ТЦ инжекторов должен </t>
  </si>
  <si>
    <r>
      <rPr>
        <sz val="12"/>
        <rFont val="Times New Roman"/>
        <family val="1"/>
        <charset val="204"/>
      </rPr>
      <t>в систему ребаланса состава изотопной смеси (</t>
    </r>
    <r>
      <rPr>
        <b/>
        <sz val="12"/>
        <color indexed="10"/>
        <rFont val="Times New Roman"/>
        <family val="1"/>
        <charset val="204"/>
      </rPr>
      <t xml:space="preserve"> &gt; </t>
    </r>
    <r>
      <rPr>
        <sz val="12"/>
        <color indexed="10"/>
        <rFont val="Times New Roman"/>
        <family val="1"/>
        <charset val="204"/>
      </rPr>
      <t>99%</t>
    </r>
    <r>
      <rPr>
        <sz val="12"/>
        <rFont val="Times New Roman"/>
        <family val="1"/>
        <charset val="204"/>
      </rPr>
      <t>)</t>
    </r>
  </si>
  <si>
    <r>
      <t>в систему депротизации (</t>
    </r>
    <r>
      <rPr>
        <sz val="12"/>
        <color rgb="FFFF0000"/>
        <rFont val="Times New Roman"/>
        <family val="1"/>
        <charset val="204"/>
      </rPr>
      <t>&lt; 1%</t>
    </r>
    <r>
      <rPr>
        <sz val="12"/>
        <color indexed="8"/>
        <rFont val="Times New Roman"/>
        <family val="1"/>
        <charset val="204"/>
      </rPr>
      <t xml:space="preserve">) </t>
    </r>
  </si>
  <si>
    <t>// вспоминаем, потребность плазмы в топливе:</t>
  </si>
  <si>
    <t xml:space="preserve"> - газовые клапаны</t>
  </si>
  <si>
    <t>дейтерий</t>
  </si>
  <si>
    <t>Поток газа в нейтрализатор (для создания эффективной газовой мишени)</t>
  </si>
  <si>
    <t>ДЛЯ ОДНОГО инжектора:</t>
  </si>
  <si>
    <t>в процессе детритицзации газовой смеси в ТЦ инжекторов ТАКЖЕ будет извлекаться ПРОТИЙ</t>
  </si>
  <si>
    <t>к ПРОТИЮ в ОДНОМ инжекторе</t>
  </si>
  <si>
    <t>обеспечивать содержание трития таким, чтобы его поток</t>
  </si>
  <si>
    <t>из тора компенсировался потоком из инжекторов и (!)</t>
  </si>
  <si>
    <t xml:space="preserve">потоком трития, извлеченного из ТЦ инжекторов </t>
  </si>
  <si>
    <t>в системе ДЕТРИТИЗАЦИИ</t>
  </si>
  <si>
    <t xml:space="preserve"> - удаление протия из топливной смеси системой ДЕПРОТИЗАЦИИ</t>
  </si>
  <si>
    <r>
      <t>Nfcleanup+Nprem</t>
    </r>
    <r>
      <rPr>
        <b/>
        <sz val="12"/>
        <color rgb="FFFF0000"/>
        <rFont val="Times New Roman"/>
        <family val="1"/>
        <charset val="204"/>
      </rPr>
      <t>-Ndeprot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=</t>
    </r>
  </si>
  <si>
    <r>
      <t>БАЛЛАНС ЗАКЛЮЧАЕТСЯ В ТОМ, ЧТО</t>
    </r>
    <r>
      <rPr>
        <b/>
        <sz val="12"/>
        <color indexed="10"/>
        <rFont val="Times New Roman"/>
        <family val="1"/>
        <charset val="204"/>
      </rPr>
      <t xml:space="preserve"> КОЛИЧЕСТВО ПРОТИЯ В ТЦ СОХРАНЯЕТСЯ </t>
    </r>
    <r>
      <rPr>
        <b/>
        <sz val="12"/>
        <color indexed="36"/>
        <rFont val="Times New Roman"/>
        <family val="1"/>
        <charset val="204"/>
      </rPr>
      <t>(!) ПРИ УЧЕТЕ ХРАНИЛИЩА И СИСТЕМЫ ДЕПРОТИЗАЦИИ</t>
    </r>
  </si>
  <si>
    <r>
      <t xml:space="preserve">// (вход - выход) = что возвращается </t>
    </r>
    <r>
      <rPr>
        <sz val="12"/>
        <color indexed="10"/>
        <rFont val="Times New Roman"/>
        <family val="1"/>
        <charset val="204"/>
      </rPr>
      <t>минус</t>
    </r>
    <r>
      <rPr>
        <b/>
        <sz val="12"/>
        <color indexed="10"/>
        <rFont val="Times New Roman"/>
        <family val="1"/>
        <charset val="204"/>
      </rPr>
      <t xml:space="preserve"> что инжектируется</t>
    </r>
  </si>
  <si>
    <t>// (вход-выход) &lt; 0 (за счет потерь) ВСЕГДА !!!</t>
  </si>
  <si>
    <t>лет</t>
  </si>
  <si>
    <t>1/с</t>
  </si>
  <si>
    <t>плазма</t>
  </si>
  <si>
    <t>D:T=1:0</t>
  </si>
  <si>
    <t xml:space="preserve">нами будут рассмотрены ТРИ  варианта ТЦ для инжекторов </t>
  </si>
  <si>
    <t>D:T=1:0 но с возвратом тритийсодержащей газовой смеси из инжекторов !!!</t>
  </si>
  <si>
    <t xml:space="preserve">процентное отношение ПРИЛЕТЕВШИХ частиц трития </t>
  </si>
  <si>
    <t>к тритию в ГАЗОВОЙ СМЕСИ в ОДИН инжектор</t>
  </si>
  <si>
    <t xml:space="preserve">забыв, что мы положили проникающий поток СОИЗМЕРИМЫМ а НЕ МАСШТАБИРУЕМЫМ </t>
  </si>
  <si>
    <t>... и не считая НАКОПЛЕНИЯ В СИСТЕМЕ ДЕПРОТИЗАЦИИ !</t>
  </si>
  <si>
    <t xml:space="preserve">процентное отношение ПРИЛЕТЕВШИХ частиц дейтерия </t>
  </si>
  <si>
    <t>к дейтерию в ГАЗОВОЙ СМЕСИ в ОДИН инжектор</t>
  </si>
  <si>
    <t>ОТРИЦАТЕЛЬНЫЙ РЕЗУЛЬТАТ</t>
  </si>
  <si>
    <t xml:space="preserve">(после депротизации/детритизации) будет равна:         х = </t>
  </si>
  <si>
    <t>// стартового (с запасом) и долговременного!</t>
  </si>
  <si>
    <t>для Т</t>
  </si>
  <si>
    <t>// T=1000 K</t>
  </si>
  <si>
    <t>// T=10 K</t>
  </si>
  <si>
    <t>в этом случае имеем в виду криопанели в районе RID !!!</t>
  </si>
  <si>
    <t>ячейки где расчеты скорректированы с учетом изменения концентрации плазмы при инжекции</t>
  </si>
  <si>
    <t>ячейки где поток считается для разных температур газа</t>
  </si>
  <si>
    <t>из решения</t>
  </si>
  <si>
    <t>дифф. уравнений</t>
  </si>
  <si>
    <t>требуемая "замкнутость цикла"</t>
  </si>
  <si>
    <t>или за ЦИКЛ разделения</t>
  </si>
  <si>
    <t>// Крылов</t>
  </si>
  <si>
    <t>// Ширнин</t>
  </si>
  <si>
    <t>// Мирнов</t>
  </si>
  <si>
    <t xml:space="preserve">%   </t>
  </si>
  <si>
    <r>
      <t xml:space="preserve">проектная мощность инжекторов ограничена величиной                       </t>
    </r>
    <r>
      <rPr>
        <sz val="12"/>
        <color indexed="10"/>
        <rFont val="Times New Roman"/>
        <family val="1"/>
        <charset val="204"/>
      </rPr>
      <t>Pnbi</t>
    </r>
  </si>
  <si>
    <t>проверка:</t>
  </si>
  <si>
    <t>// T=600 K</t>
  </si>
  <si>
    <t>в этом случае газовая смесь пойдет ОБРАТНО в ТЦ инжекторов !!!</t>
  </si>
  <si>
    <t>время удвоения стартового количества трития</t>
  </si>
  <si>
    <t>для 1000К</t>
  </si>
  <si>
    <t>D:T=1:0.05</t>
  </si>
  <si>
    <t>дейтерий для D:T=1:0.05</t>
  </si>
  <si>
    <t>тритий для D:T=1:0.05</t>
  </si>
  <si>
    <t>Тплазмы=11,8кэВ</t>
  </si>
  <si>
    <r>
      <t xml:space="preserve">     </t>
    </r>
    <r>
      <rPr>
        <b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редположим, что</t>
    </r>
    <r>
      <rPr>
        <b/>
        <sz val="12"/>
        <rFont val="Times New Roman"/>
        <family val="1"/>
        <charset val="204"/>
      </rPr>
      <t xml:space="preserve"> масимально допустимы</t>
    </r>
    <r>
      <rPr>
        <sz val="12"/>
        <rFont val="Times New Roman"/>
        <family val="1"/>
        <charset val="204"/>
      </rPr>
      <t xml:space="preserve">й </t>
    </r>
    <r>
      <rPr>
        <u/>
        <sz val="12"/>
        <color rgb="FFFF0000"/>
        <rFont val="Times New Roman"/>
        <family val="1"/>
        <charset val="204"/>
      </rPr>
      <t>проникающий поток</t>
    </r>
    <r>
      <rPr>
        <sz val="12"/>
        <rFont val="Times New Roman"/>
        <family val="1"/>
        <charset val="204"/>
      </rPr>
      <t xml:space="preserve"> трития через конструкционные материалы вакуумной камеры </t>
    </r>
    <r>
      <rPr>
        <b/>
        <sz val="12"/>
        <rFont val="Times New Roman"/>
        <family val="1"/>
        <charset val="204"/>
      </rPr>
      <t>(1% от выгорания)</t>
    </r>
  </si>
  <si>
    <r>
      <t xml:space="preserve">Для расчета </t>
    </r>
    <r>
      <rPr>
        <b/>
        <u/>
        <sz val="12"/>
        <color rgb="FFFF0000"/>
        <rFont val="Times New Roman"/>
        <family val="1"/>
        <charset val="204"/>
      </rPr>
      <t xml:space="preserve">потерь за счет распада </t>
    </r>
    <r>
      <rPr>
        <sz val="12"/>
        <color rgb="FFFF0000"/>
        <rFont val="Times New Roman"/>
        <family val="1"/>
        <charset val="204"/>
      </rPr>
      <t>нужно СПЕРВА вычислить ЗАЛЕЖИ трития в системах ТЦ!!!</t>
    </r>
  </si>
  <si>
    <t>для предварительной оценки можем считать количество частиц в ТЦ:</t>
  </si>
  <si>
    <t>// потери в магистралях - СОБЕРЕМ за счет двойных стенок и тп!</t>
  </si>
  <si>
    <t>тогда:</t>
  </si>
  <si>
    <t>РАСПАД с учетом "залежей" во всех системах ТЦ</t>
  </si>
  <si>
    <t>а именно, проникающий поток через материалы и распад (только для Т)</t>
  </si>
  <si>
    <r>
      <t xml:space="preserve">// ПОТЕРИ в вакуумной камере - </t>
    </r>
    <r>
      <rPr>
        <sz val="12"/>
        <color rgb="FFFF0000"/>
        <rFont val="Times New Roman"/>
        <family val="1"/>
        <charset val="204"/>
      </rPr>
      <t>БЕЗВОЗВРАТНО УТРАЧЕННЫЕ</t>
    </r>
  </si>
  <si>
    <t>Оценим производительность системы нейтральной инжекции как ИСТОЧНИКА ЧАСТИЦ В ПЛАЗМУ:</t>
  </si>
  <si>
    <t xml:space="preserve"> - со стороны сильного магнитного поля</t>
  </si>
  <si>
    <t xml:space="preserve"> - со стороны слабого магнитного поля</t>
  </si>
  <si>
    <t>k(pellet)HFS</t>
  </si>
  <si>
    <t>k(pellet)LFS</t>
  </si>
  <si>
    <t>// вспоминаем, потребность ТЦ в топливе:</t>
  </si>
  <si>
    <t>вакуумная камера</t>
  </si>
  <si>
    <t>ВСЕГО в ТЦ:</t>
  </si>
  <si>
    <t>Считая, что накопление в ситемах ТЦ может масштабироваться (в соответствие с концентрацией)</t>
  </si>
  <si>
    <t>// так как у NBI свои насосы и лишний газ не попадает в камеру</t>
  </si>
  <si>
    <t>распад всего трития в системах ТЦ, за год</t>
  </si>
  <si>
    <t>в камеру (и плазму)</t>
  </si>
  <si>
    <r>
      <t xml:space="preserve">что каждая из систем обеспечит поток частиц </t>
    </r>
    <r>
      <rPr>
        <b/>
        <sz val="12"/>
        <color indexed="10"/>
        <rFont val="Times New Roman"/>
        <family val="1"/>
        <charset val="204"/>
      </rPr>
      <t>В КАМЕРУ</t>
    </r>
    <r>
      <rPr>
        <b/>
        <sz val="12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:</t>
    </r>
  </si>
  <si>
    <t xml:space="preserve"> -   </t>
  </si>
  <si>
    <t xml:space="preserve">  %</t>
  </si>
  <si>
    <r>
      <t xml:space="preserve">Для питания пеллет-инжекторов требуется </t>
    </r>
    <r>
      <rPr>
        <u/>
        <sz val="12"/>
        <rFont val="Times New Roman"/>
        <family val="1"/>
        <charset val="204"/>
      </rPr>
      <t>разделение топливной смеси</t>
    </r>
    <r>
      <rPr>
        <sz val="12"/>
        <rFont val="Times New Roman"/>
        <family val="1"/>
        <charset val="204"/>
      </rPr>
      <t>!</t>
    </r>
  </si>
  <si>
    <t xml:space="preserve"> - система нейтральной инжекции</t>
  </si>
  <si>
    <r>
      <t xml:space="preserve">содержание трития в каждой системе ТЦ </t>
    </r>
    <r>
      <rPr>
        <b/>
        <sz val="12"/>
        <color indexed="8"/>
        <rFont val="Times New Roman"/>
        <family val="1"/>
        <charset val="204"/>
      </rPr>
      <t>в единицу времени (!)</t>
    </r>
  </si>
  <si>
    <t>поток D в систему пеллет-инжекции</t>
  </si>
  <si>
    <t xml:space="preserve"> - система пеллет-инжекции</t>
  </si>
  <si>
    <r>
      <t xml:space="preserve">содержание протия в каждой системе ТЦ </t>
    </r>
    <r>
      <rPr>
        <b/>
        <sz val="12"/>
        <color indexed="8"/>
        <rFont val="Times New Roman"/>
        <family val="1"/>
        <charset val="204"/>
      </rPr>
      <t>в единицу времени (!)</t>
    </r>
  </si>
  <si>
    <t>система (разделения изотопов водорода) детритизации</t>
  </si>
  <si>
    <t>…для поддержания баланса необходимо компенсировать ПОТЕРИ в ТЦ установки!</t>
  </si>
  <si>
    <r>
      <t xml:space="preserve">содержание дейтерия в каждой системе ТЦ </t>
    </r>
    <r>
      <rPr>
        <b/>
        <sz val="12"/>
        <color indexed="8"/>
        <rFont val="Times New Roman"/>
        <family val="1"/>
        <charset val="204"/>
      </rPr>
      <t>в единицу времени (!)</t>
    </r>
  </si>
  <si>
    <t>система разделения + система обработки топливной смеси</t>
  </si>
  <si>
    <t>СИСТЕМА (разделения изотопов) ДЕТРИТИЗАЦИИ</t>
  </si>
  <si>
    <t>с(D)</t>
  </si>
  <si>
    <r>
      <t xml:space="preserve">проектная мощность инжекторов ограничена величиной                    </t>
    </r>
    <r>
      <rPr>
        <sz val="12"/>
        <color indexed="10"/>
        <rFont val="Times New Roman"/>
        <family val="1"/>
        <charset val="204"/>
      </rPr>
      <t>Pnbi</t>
    </r>
  </si>
  <si>
    <t xml:space="preserve"> n (D+T) =</t>
  </si>
  <si>
    <t>с(T)</t>
  </si>
  <si>
    <t>процент выгорания трития в плазме от потока напускаемого в системы инжекции</t>
  </si>
  <si>
    <t>СИСТЕМА РАЗДЕЛЕНИЯ ИЗОТОПОВ</t>
  </si>
  <si>
    <t>РАЗДЕЛЕНИЯ ИЗОТОПОВ</t>
  </si>
  <si>
    <t>потому что ТЦ общий и замкнут!</t>
  </si>
  <si>
    <r>
      <t xml:space="preserve">разница потоков дейтерия из вакуумной камеры </t>
    </r>
    <r>
      <rPr>
        <b/>
        <sz val="12"/>
        <rFont val="Times New Roman"/>
        <family val="1"/>
        <charset val="204"/>
      </rPr>
      <t>в инжекторы</t>
    </r>
    <r>
      <rPr>
        <sz val="12"/>
        <rFont val="Times New Roman"/>
        <family val="1"/>
        <charset val="204"/>
      </rPr>
      <t xml:space="preserve"> и обратно:</t>
    </r>
  </si>
  <si>
    <t>потери ДЕЙТЕРИЯ из ТЦ инжекторов!</t>
  </si>
  <si>
    <t>потеря ДЕЙТЕРИЯ из ТЦ инжекторов</t>
  </si>
  <si>
    <t xml:space="preserve">   </t>
  </si>
  <si>
    <t xml:space="preserve">при этом </t>
  </si>
  <si>
    <t>должно быть</t>
  </si>
  <si>
    <t>то есть потери частиц  в ТЦ за один оборот частиц</t>
  </si>
  <si>
    <t>зависимость количества Т от сценария и доли D:T</t>
  </si>
  <si>
    <t>оборот топливной смеси:</t>
  </si>
  <si>
    <t>инжекция</t>
  </si>
  <si>
    <t>Т</t>
  </si>
  <si>
    <t>Плотности изотопов водорода в твердом состоянии:</t>
  </si>
  <si>
    <t>Н2</t>
  </si>
  <si>
    <t>DT</t>
  </si>
  <si>
    <t>рассчитанное выше количество частиц может быть введено в виде</t>
  </si>
  <si>
    <t>шт пеллет</t>
  </si>
  <si>
    <t>количество частиц в одной пеллете - не более</t>
  </si>
  <si>
    <t xml:space="preserve">для T </t>
  </si>
  <si>
    <t xml:space="preserve">Гц </t>
  </si>
  <si>
    <r>
      <rPr>
        <b/>
        <sz val="12"/>
        <color theme="1"/>
        <rFont val="Times New Roman"/>
        <family val="1"/>
        <charset val="204"/>
      </rPr>
      <t>TBR</t>
    </r>
    <r>
      <rPr>
        <sz val="12"/>
        <color theme="1"/>
        <rFont val="Times New Roman"/>
        <family val="1"/>
        <charset val="204"/>
      </rPr>
      <t>/TBRL</t>
    </r>
  </si>
  <si>
    <t>Enbi</t>
  </si>
  <si>
    <r>
      <t xml:space="preserve">объем </t>
    </r>
    <r>
      <rPr>
        <b/>
        <sz val="12"/>
        <color theme="1"/>
        <rFont val="Times New Roman"/>
        <family val="1"/>
        <charset val="204"/>
      </rPr>
      <t>вакуумной камеры</t>
    </r>
  </si>
  <si>
    <r>
      <t xml:space="preserve"> площадь стенок </t>
    </r>
    <r>
      <rPr>
        <b/>
        <sz val="12"/>
        <color theme="1"/>
        <rFont val="Times New Roman"/>
        <family val="1"/>
        <charset val="204"/>
      </rPr>
      <t>вакуумной камеры</t>
    </r>
    <r>
      <rPr>
        <sz val="12"/>
        <color theme="1"/>
        <rFont val="Times New Roman"/>
        <family val="1"/>
        <charset val="204"/>
      </rPr>
      <t xml:space="preserve"> S=</t>
    </r>
  </si>
  <si>
    <t>HT</t>
  </si>
  <si>
    <t>HD</t>
  </si>
  <si>
    <t xml:space="preserve">поток DT, который может быть захвачен из вакуумной камеры Li </t>
  </si>
  <si>
    <t>общая</t>
  </si>
  <si>
    <r>
      <t xml:space="preserve">время инжекции </t>
    </r>
    <r>
      <rPr>
        <b/>
        <u/>
        <sz val="12"/>
        <color theme="1"/>
        <rFont val="Times New Roman"/>
        <family val="1"/>
        <charset val="204"/>
      </rPr>
      <t xml:space="preserve">всего Т </t>
    </r>
    <r>
      <rPr>
        <b/>
        <sz val="12"/>
        <color theme="1"/>
        <rFont val="Times New Roman"/>
        <family val="1"/>
        <charset val="204"/>
      </rPr>
      <t>в ТЦ</t>
    </r>
  </si>
  <si>
    <t>PEG</t>
  </si>
  <si>
    <t xml:space="preserve"> +He</t>
  </si>
  <si>
    <t>в виде Н2 протия очень мало- большая часть идет в виде HD и HT!</t>
  </si>
  <si>
    <t>дней) либо из Т-воспроизводящего бланкета:</t>
  </si>
  <si>
    <t xml:space="preserve"> - потери за счет выгорания и распада</t>
  </si>
  <si>
    <t xml:space="preserve"> - остаток произведенного Т с учетом выгорания и пр.</t>
  </si>
  <si>
    <t>В долговременное хранилище будет попадать поток:</t>
  </si>
  <si>
    <t xml:space="preserve"> - потери за счет выгорания и пр</t>
  </si>
  <si>
    <t>H20, D2O, T2O, HDO, HTO, DTO, CO, CH, CD, CT</t>
  </si>
  <si>
    <t>fusion</t>
  </si>
  <si>
    <r>
      <t xml:space="preserve">He pressure in the PFR </t>
    </r>
    <r>
      <rPr>
        <i/>
        <sz val="12"/>
        <color rgb="FF00B0F0"/>
        <rFont val="Times New Roman"/>
        <family val="1"/>
        <charset val="204"/>
      </rPr>
      <t>p</t>
    </r>
    <r>
      <rPr>
        <vertAlign val="subscript"/>
        <sz val="12"/>
        <color rgb="FF00B0F0"/>
        <rFont val="Times New Roman"/>
        <family val="1"/>
        <charset val="204"/>
      </rPr>
      <t>He_PFR</t>
    </r>
    <r>
      <rPr>
        <sz val="12"/>
        <color rgb="FF00B0F0"/>
        <rFont val="Times New Roman"/>
        <family val="1"/>
        <charset val="204"/>
      </rPr>
      <t xml:space="preserve"> ~ 0.01 Pa</t>
    </r>
  </si>
  <si>
    <t xml:space="preserve"> // Kukushkin</t>
  </si>
  <si>
    <t xml:space="preserve"> // C.Day</t>
  </si>
  <si>
    <t>2037 MW = 7.09·10^20 reactions/s =2.6 Pa·m³/s He</t>
  </si>
  <si>
    <t>% чистоты по изотопу</t>
  </si>
  <si>
    <t>это означает, что в Т-PIS будет содержаться</t>
  </si>
  <si>
    <t>% примеси D</t>
  </si>
  <si>
    <t xml:space="preserve">   в систему разделения требуется подавать поток газа, достаточный для выделения НУЖНОГО КОЛИЧЕСТВА изотопов каждого типа!</t>
  </si>
  <si>
    <t>ВХОД</t>
  </si>
  <si>
    <r>
      <rPr>
        <b/>
        <u/>
        <sz val="12"/>
        <color rgb="FF7030A0"/>
        <rFont val="Times New Roman"/>
        <family val="1"/>
        <charset val="204"/>
      </rPr>
      <t>в систему разделения</t>
    </r>
    <r>
      <rPr>
        <b/>
        <sz val="12"/>
        <color rgb="FF7030A0"/>
        <rFont val="Times New Roman"/>
        <family val="1"/>
        <charset val="204"/>
      </rPr>
      <t xml:space="preserve"> будет поступать поток D </t>
    </r>
  </si>
  <si>
    <t>частиц в ВАК. КАМЕРУ:</t>
  </si>
  <si>
    <t xml:space="preserve"> диверторов вакуумной камеры</t>
  </si>
  <si>
    <t>с криопанелей всех инжекторов</t>
  </si>
  <si>
    <t xml:space="preserve"> литиевой петли</t>
  </si>
  <si>
    <t xml:space="preserve"> системы охлаждения дивертора и первой стенки</t>
  </si>
  <si>
    <t>для работы ТЦ СНИ цикл газоснабжения должен быть замкнут! То есть, газовая смесь из инжекторов должна пополняться !!!</t>
  </si>
  <si>
    <t xml:space="preserve">  с криопанелей всех инжекторов</t>
  </si>
  <si>
    <t>литиевой петли</t>
  </si>
  <si>
    <t xml:space="preserve">     включает ЧАСТИЦЫ в плазме?!</t>
  </si>
  <si>
    <r>
      <rPr>
        <sz val="12"/>
        <color rgb="FFFF0000"/>
        <rFont val="Times New Roman"/>
        <family val="1"/>
        <charset val="204"/>
      </rPr>
      <t>тритий в долговременное хранилище поступает НАПРЯМУЮ</t>
    </r>
    <r>
      <rPr>
        <sz val="12"/>
        <rFont val="Times New Roman"/>
        <family val="1"/>
        <charset val="204"/>
      </rPr>
      <t xml:space="preserve"> из бланкета</t>
    </r>
  </si>
  <si>
    <t xml:space="preserve">мм3 </t>
  </si>
  <si>
    <r>
      <t xml:space="preserve"> -частота инжекции </t>
    </r>
    <r>
      <rPr>
        <b/>
        <sz val="12"/>
        <rFont val="Times New Roman"/>
        <family val="1"/>
        <charset val="204"/>
      </rPr>
      <t>D2</t>
    </r>
  </si>
  <si>
    <t>fueling</t>
  </si>
  <si>
    <t>при 1000К</t>
  </si>
  <si>
    <t>поток частиц на FW</t>
  </si>
  <si>
    <t>шт/с м2</t>
  </si>
  <si>
    <r>
      <t xml:space="preserve">поток частиц через сепратрису </t>
    </r>
    <r>
      <rPr>
        <b/>
        <sz val="12"/>
        <rFont val="Times New Roman"/>
        <family val="1"/>
        <charset val="204"/>
      </rPr>
      <t>Ssep</t>
    </r>
  </si>
  <si>
    <t xml:space="preserve">атомов/с </t>
  </si>
  <si>
    <t>объем дивертора</t>
  </si>
  <si>
    <t>при 600К</t>
  </si>
  <si>
    <t>ток источника =</t>
  </si>
  <si>
    <t xml:space="preserve"> - ВСЕ инжектора…</t>
  </si>
  <si>
    <t>этот поток должны обеспечить СИСТЕМЫ ИНЖЕКЦИИ</t>
  </si>
  <si>
    <t>доля примеси Ne</t>
  </si>
  <si>
    <t>mu</t>
  </si>
  <si>
    <t>Ssep</t>
  </si>
  <si>
    <r>
      <t xml:space="preserve">доля </t>
    </r>
    <r>
      <rPr>
        <b/>
        <sz val="12"/>
        <color rgb="FFFF0000"/>
        <rFont val="Times New Roman"/>
        <family val="1"/>
        <charset val="204"/>
      </rPr>
      <t>Не</t>
    </r>
    <r>
      <rPr>
        <sz val="12"/>
        <color rgb="FFFF0000"/>
        <rFont val="Times New Roman"/>
        <family val="1"/>
        <charset val="204"/>
      </rPr>
      <t xml:space="preserve"> в плазме</t>
    </r>
  </si>
  <si>
    <r>
      <t xml:space="preserve">доля </t>
    </r>
    <r>
      <rPr>
        <b/>
        <sz val="12"/>
        <color rgb="FFFF0000"/>
        <rFont val="Times New Roman"/>
        <family val="1"/>
        <charset val="204"/>
      </rPr>
      <t>протия</t>
    </r>
    <r>
      <rPr>
        <sz val="12"/>
        <color rgb="FFFF0000"/>
        <rFont val="Times New Roman"/>
        <family val="1"/>
        <charset val="204"/>
      </rPr>
      <t xml:space="preserve"> в плазме</t>
    </r>
  </si>
  <si>
    <t>поток в систему ISS</t>
  </si>
  <si>
    <t>МW</t>
  </si>
  <si>
    <t>No impurity</t>
  </si>
  <si>
    <t>Neon impurity</t>
  </si>
  <si>
    <t>PDT</t>
  </si>
  <si>
    <t>GNeut</t>
  </si>
  <si>
    <t>1019/s</t>
  </si>
  <si>
    <t>PDT_pp</t>
  </si>
  <si>
    <t>PDT_bp</t>
  </si>
  <si>
    <t>из вкладки РЕЗУЛЬТАТЫ:</t>
  </si>
  <si>
    <r>
      <rPr>
        <b/>
        <sz val="12"/>
        <color theme="1"/>
        <rFont val="Times New Roman"/>
        <family val="1"/>
        <charset val="204"/>
      </rPr>
      <t>&lt; 1</t>
    </r>
    <r>
      <rPr>
        <sz val="12"/>
        <color theme="1"/>
        <rFont val="Times New Roman"/>
        <family val="1"/>
        <charset val="204"/>
      </rPr>
      <t xml:space="preserve"> - режим без детачмента!</t>
    </r>
  </si>
  <si>
    <t>Гр</t>
  </si>
  <si>
    <t>Ср</t>
  </si>
  <si>
    <t>значения при НУЛЕВОЙ пеллет-инжекции</t>
  </si>
  <si>
    <t xml:space="preserve">значения для случая DT пучка и DT мишени </t>
  </si>
  <si>
    <t>Cp(0)</t>
  </si>
  <si>
    <t>раньше…</t>
  </si>
  <si>
    <t>значения при НЕнулевой согласованной пеллет-инжекции</t>
  </si>
  <si>
    <t>Рn(Па)</t>
  </si>
  <si>
    <t>Cp(м3/с)</t>
  </si>
  <si>
    <t>It(г)</t>
  </si>
  <si>
    <t>Tbr(г)</t>
  </si>
  <si>
    <t>Гр(м3Па/с)</t>
  </si>
  <si>
    <t>РАЗЛИЧИЕ в 3 раза!</t>
  </si>
  <si>
    <r>
      <t>потребуется обрабатывать больший поток (!)</t>
    </r>
    <r>
      <rPr>
        <b/>
        <sz val="12"/>
        <rFont val="Times New Roman"/>
        <family val="1"/>
        <charset val="204"/>
      </rPr>
      <t xml:space="preserve">    </t>
    </r>
    <r>
      <rPr>
        <b/>
        <sz val="12"/>
        <color rgb="FFFF0000"/>
        <rFont val="Times New Roman"/>
        <family val="1"/>
        <charset val="204"/>
      </rPr>
      <t>в раз:</t>
    </r>
  </si>
  <si>
    <t>// ITER</t>
  </si>
  <si>
    <t>количество пеллет-инжекторов:</t>
  </si>
  <si>
    <t>частота работы инжектора:</t>
  </si>
  <si>
    <t>размер топливной пеллеты (диаметр):</t>
  </si>
  <si>
    <t>Для поддержания требуемого уровня протия в топливной смеси</t>
  </si>
  <si>
    <r>
      <t xml:space="preserve">удаляя фракции Н2 и HD мы может удалять </t>
    </r>
    <r>
      <rPr>
        <b/>
        <sz val="12"/>
        <color rgb="FFFF0000"/>
        <rFont val="Times New Roman"/>
        <family val="1"/>
        <charset val="204"/>
      </rPr>
      <t>часть</t>
    </r>
  </si>
  <si>
    <t>(от общего потока протия в ISS)</t>
  </si>
  <si>
    <t>(по факту)</t>
  </si>
  <si>
    <t>D+T</t>
  </si>
  <si>
    <t>ядер Не</t>
  </si>
  <si>
    <t>время остановки тритийвоспроизводящего бланкета</t>
  </si>
  <si>
    <t>сейчас</t>
  </si>
  <si>
    <t>эффективность ввода Ср(0)/Ср -</t>
  </si>
  <si>
    <t>сейчас -</t>
  </si>
  <si>
    <t>раньше-</t>
  </si>
  <si>
    <t>РАЗЛИЧИЕ в 2-3 раза!</t>
  </si>
  <si>
    <r>
      <t>H</t>
    </r>
    <r>
      <rPr>
        <b/>
        <sz val="8"/>
        <color theme="1"/>
        <rFont val="Times New Roman"/>
        <family val="1"/>
        <charset val="204"/>
      </rPr>
      <t>2</t>
    </r>
  </si>
  <si>
    <t>пучок-мишень</t>
  </si>
  <si>
    <t>плазма-плазма</t>
  </si>
  <si>
    <t>Гp</t>
  </si>
  <si>
    <t>сравнить</t>
  </si>
  <si>
    <t>PnCp</t>
  </si>
  <si>
    <t>атомов/с</t>
  </si>
  <si>
    <t>A</t>
  </si>
  <si>
    <t>ток источников ионов</t>
  </si>
  <si>
    <t>ток источника ионов</t>
  </si>
  <si>
    <t>на ОДИН инжектор</t>
  </si>
  <si>
    <r>
      <t xml:space="preserve">Поток газа в источник ионов </t>
    </r>
    <r>
      <rPr>
        <b/>
        <sz val="12"/>
        <color theme="1"/>
        <rFont val="Times New Roman"/>
        <family val="1"/>
        <charset val="204"/>
      </rPr>
      <t>(одного инжектора)</t>
    </r>
  </si>
  <si>
    <t xml:space="preserve"> - разница потоков (ВХОД-ВЫХОД) - потребность в доп. газе!</t>
  </si>
  <si>
    <t>сравним с:</t>
  </si>
  <si>
    <t xml:space="preserve"> - поток из СНИ в тор (минус прилет через окна)…</t>
  </si>
  <si>
    <t>Z_eff</t>
  </si>
  <si>
    <r>
      <t xml:space="preserve">объем </t>
    </r>
    <r>
      <rPr>
        <b/>
        <sz val="12"/>
        <color theme="1"/>
        <rFont val="Times New Roman"/>
        <family val="1"/>
        <charset val="204"/>
      </rPr>
      <t>CORE</t>
    </r>
  </si>
  <si>
    <r>
      <t xml:space="preserve">объем </t>
    </r>
    <r>
      <rPr>
        <b/>
        <sz val="12"/>
        <color theme="1"/>
        <rFont val="Times New Roman"/>
        <family val="1"/>
        <charset val="204"/>
      </rPr>
      <t>EDGE</t>
    </r>
  </si>
  <si>
    <r>
      <t xml:space="preserve"> площадь первой стенки S</t>
    </r>
    <r>
      <rPr>
        <sz val="8"/>
        <color theme="1"/>
        <rFont val="Times New Roman"/>
        <family val="1"/>
        <charset val="204"/>
      </rPr>
      <t>FW</t>
    </r>
    <r>
      <rPr>
        <sz val="12"/>
        <color theme="1"/>
        <rFont val="Times New Roman"/>
        <family val="1"/>
        <charset val="204"/>
      </rPr>
      <t>=</t>
    </r>
  </si>
  <si>
    <r>
      <t>объем камеры внутри первой стенки V</t>
    </r>
    <r>
      <rPr>
        <sz val="8"/>
        <color theme="1"/>
        <rFont val="Times New Roman"/>
        <family val="1"/>
        <charset val="204"/>
      </rPr>
      <t>FW=</t>
    </r>
  </si>
  <si>
    <r>
      <t>n</t>
    </r>
    <r>
      <rPr>
        <b/>
        <sz val="8"/>
        <color indexed="8"/>
        <rFont val="Times New Roman"/>
        <family val="1"/>
        <charset val="204"/>
      </rPr>
      <t>е_sep</t>
    </r>
  </si>
  <si>
    <r>
      <t>n</t>
    </r>
    <r>
      <rPr>
        <b/>
        <sz val="8"/>
        <color indexed="8"/>
        <rFont val="Times New Roman"/>
        <family val="1"/>
        <charset val="204"/>
      </rPr>
      <t>е_div</t>
    </r>
  </si>
  <si>
    <r>
      <t xml:space="preserve">плотность плазмы (общая) </t>
    </r>
    <r>
      <rPr>
        <b/>
        <sz val="12"/>
        <color indexed="8"/>
        <rFont val="Times New Roman"/>
        <family val="1"/>
        <charset val="204"/>
      </rPr>
      <t>&lt;ne&gt;</t>
    </r>
    <r>
      <rPr>
        <sz val="12"/>
        <color indexed="8"/>
        <rFont val="Times New Roman"/>
        <family val="1"/>
        <charset val="204"/>
      </rPr>
      <t>=</t>
    </r>
  </si>
  <si>
    <r>
      <t xml:space="preserve">давление нейтралов в диверторе </t>
    </r>
    <r>
      <rPr>
        <b/>
        <sz val="12"/>
        <color theme="1"/>
        <rFont val="Times New Roman"/>
        <family val="1"/>
        <charset val="204"/>
      </rPr>
      <t>p</t>
    </r>
    <r>
      <rPr>
        <b/>
        <sz val="10"/>
        <color theme="1"/>
        <rFont val="Times New Roman"/>
        <family val="1"/>
        <charset val="204"/>
      </rPr>
      <t>n=</t>
    </r>
  </si>
  <si>
    <r>
      <t xml:space="preserve">Термоядерная мощность </t>
    </r>
    <r>
      <rPr>
        <b/>
        <sz val="12"/>
        <color indexed="8"/>
        <rFont val="Times New Roman"/>
        <family val="1"/>
        <charset val="204"/>
      </rPr>
      <t>Pf=</t>
    </r>
  </si>
  <si>
    <r>
      <t>P</t>
    </r>
    <r>
      <rPr>
        <b/>
        <sz val="10"/>
        <color theme="1"/>
        <rFont val="Times New Roman"/>
        <family val="1"/>
        <charset val="204"/>
      </rPr>
      <t>SOL</t>
    </r>
    <r>
      <rPr>
        <b/>
        <sz val="12"/>
        <color theme="1"/>
        <rFont val="Times New Roman"/>
        <family val="1"/>
        <charset val="204"/>
      </rPr>
      <t>=</t>
    </r>
  </si>
  <si>
    <r>
      <t xml:space="preserve">Энергетическое время удержания </t>
    </r>
    <r>
      <rPr>
        <b/>
        <sz val="12"/>
        <color indexed="8"/>
        <rFont val="Times New Roman"/>
        <family val="1"/>
        <charset val="204"/>
      </rPr>
      <t>τе=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</si>
  <si>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p</t>
    </r>
    <r>
      <rPr>
        <b/>
        <sz val="12"/>
        <color theme="1"/>
        <rFont val="Times New Roman"/>
        <family val="1"/>
        <charset val="204"/>
      </rPr>
      <t xml:space="preserve">= </t>
    </r>
    <r>
      <rPr>
        <b/>
        <sz val="12"/>
        <color rgb="FF000000"/>
        <rFont val="Times New Roman"/>
        <family val="1"/>
        <charset val="204"/>
      </rPr>
      <t>τ</t>
    </r>
    <r>
      <rPr>
        <b/>
        <vertAlign val="subscript"/>
        <sz val="12"/>
        <color rgb="FF000000"/>
        <rFont val="Times New Roman"/>
        <family val="1"/>
        <charset val="204"/>
      </rPr>
      <t>p/</t>
    </r>
    <r>
      <rPr>
        <b/>
        <sz val="12"/>
        <color rgb="FF000000"/>
        <rFont val="Times New Roman"/>
        <family val="1"/>
        <charset val="204"/>
      </rPr>
      <t>τ</t>
    </r>
    <r>
      <rPr>
        <b/>
        <vertAlign val="subscript"/>
        <sz val="12"/>
        <color rgb="FF000000"/>
        <rFont val="Times New Roman"/>
        <family val="1"/>
        <charset val="204"/>
      </rPr>
      <t>E</t>
    </r>
  </si>
  <si>
    <t>n_T+n_D =</t>
  </si>
  <si>
    <r>
      <t xml:space="preserve">доля </t>
    </r>
    <r>
      <rPr>
        <b/>
        <sz val="12"/>
        <color theme="1"/>
        <rFont val="Times New Roman"/>
        <family val="1"/>
        <charset val="204"/>
      </rPr>
      <t>CORE</t>
    </r>
  </si>
  <si>
    <r>
      <t xml:space="preserve">доля </t>
    </r>
    <r>
      <rPr>
        <b/>
        <sz val="12"/>
        <color theme="1"/>
        <rFont val="Times New Roman"/>
        <family val="1"/>
        <charset val="204"/>
      </rPr>
      <t>EDGE</t>
    </r>
  </si>
  <si>
    <t>Pdiv</t>
  </si>
  <si>
    <r>
      <t>P</t>
    </r>
    <r>
      <rPr>
        <sz val="8"/>
        <color theme="1"/>
        <rFont val="Times New Roman"/>
        <family val="1"/>
        <charset val="204"/>
      </rPr>
      <t>FW</t>
    </r>
  </si>
  <si>
    <t>с учетом эффективности</t>
  </si>
  <si>
    <r>
      <t xml:space="preserve">инжекторы с такой мощностью обеспечат поток частиц </t>
    </r>
    <r>
      <rPr>
        <b/>
        <sz val="12"/>
        <rFont val="Times New Roman"/>
        <family val="1"/>
        <charset val="204"/>
      </rPr>
      <t>в ПЛАЗМУ</t>
    </r>
    <r>
      <rPr>
        <sz val="12"/>
        <rFont val="Times New Roman"/>
        <family val="1"/>
        <charset val="204"/>
      </rPr>
      <t xml:space="preserve"> </t>
    </r>
    <r>
      <rPr>
        <sz val="12"/>
        <color rgb="FFFF0000"/>
        <rFont val="Times New Roman"/>
        <family val="1"/>
        <charset val="204"/>
      </rPr>
      <t>(по условию допнагрева!</t>
    </r>
    <r>
      <rPr>
        <sz val="12"/>
        <rFont val="Times New Roman"/>
        <family val="1"/>
        <charset val="204"/>
      </rPr>
      <t>)</t>
    </r>
  </si>
  <si>
    <t xml:space="preserve"> (с учетом эффективности ввода)</t>
  </si>
  <si>
    <t xml:space="preserve">согласно документации ИТЭР, система газоснабжения </t>
  </si>
  <si>
    <t>(D+T). А также протия, дейтерия и примесных газов.</t>
  </si>
  <si>
    <t xml:space="preserve">согласно документации ИТЭР, пеллет-инжекция </t>
  </si>
  <si>
    <t>с помощью 2-6 инжекторов.</t>
  </si>
  <si>
    <t xml:space="preserve">согласно документации ИТЭР, насосы будут обеспечивать </t>
  </si>
  <si>
    <r>
      <t xml:space="preserve">пропускную способность </t>
    </r>
    <r>
      <rPr>
        <b/>
        <sz val="12"/>
        <color rgb="FF00B0F0"/>
        <rFont val="Times New Roman"/>
        <family val="1"/>
        <charset val="204"/>
      </rPr>
      <t>200 м3 Па/с</t>
    </r>
  </si>
  <si>
    <t xml:space="preserve">1 шаг </t>
  </si>
  <si>
    <t>30 шаг</t>
  </si>
  <si>
    <t>"НЕДОСТАЮЩИЙ" ПОТОК ЧАСТИЦ "КОМПЕНСИРУЮТ" СИСТЕМЫ ПЕЛЛЕТ ИНЖЕКЦИИ!</t>
  </si>
  <si>
    <t>ЦИРКУЛИРУЮЩИЙ В ТЦ ПОТОК ТОПЛИВНОЙ СМЕСИ ВВОДИТСЯ В ВАКУУМНУЮ КАМЕРУ С ПОМОЩЬЮ ГАЗОВЫХ КЛАПАНОВ</t>
  </si>
  <si>
    <t>Spuff</t>
  </si>
  <si>
    <t>В ПЛАЗМУ</t>
  </si>
  <si>
    <t>В КАМЕРУ</t>
  </si>
  <si>
    <r>
      <t xml:space="preserve"> поток частиц </t>
    </r>
    <r>
      <rPr>
        <b/>
        <sz val="12"/>
        <rFont val="Times New Roman"/>
        <family val="1"/>
        <charset val="204"/>
      </rPr>
      <t>Snb</t>
    </r>
    <r>
      <rPr>
        <sz val="12"/>
        <rFont val="Times New Roman"/>
        <family val="1"/>
        <charset val="204"/>
      </rPr>
      <t>=</t>
    </r>
  </si>
  <si>
    <r>
      <t>в вакуумную камеру</t>
    </r>
    <r>
      <rPr>
        <b/>
        <sz val="12"/>
        <color rgb="FFFF0000"/>
        <rFont val="Times New Roman"/>
        <family val="1"/>
        <charset val="204"/>
      </rPr>
      <t xml:space="preserve"> Spuff(nbi)= </t>
    </r>
  </si>
  <si>
    <r>
      <t xml:space="preserve">каждая из систем обеспечит поток </t>
    </r>
    <r>
      <rPr>
        <b/>
        <sz val="12"/>
        <color indexed="10"/>
        <rFont val="Times New Roman"/>
        <family val="1"/>
        <charset val="204"/>
      </rPr>
      <t xml:space="preserve">В ВАК КАМЕРУ </t>
    </r>
    <r>
      <rPr>
        <b/>
        <sz val="12"/>
        <color indexed="8"/>
        <rFont val="Times New Roman"/>
        <family val="1"/>
        <charset val="204"/>
      </rPr>
      <t>Spuff+Snb+Spel</t>
    </r>
  </si>
  <si>
    <t>в SOL+CORE</t>
  </si>
  <si>
    <r>
      <t xml:space="preserve">в процессе работы ВСЕХ систем ИНЖЕКЦИИ, в вакуумную </t>
    </r>
    <r>
      <rPr>
        <b/>
        <sz val="12"/>
        <rFont val="Times New Roman"/>
        <family val="1"/>
        <charset val="204"/>
      </rPr>
      <t>КАМЕРУ</t>
    </r>
    <r>
      <rPr>
        <sz val="12"/>
        <color indexed="1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будет попадать поток частиц, который должен откачиваться!</t>
    </r>
  </si>
  <si>
    <t>f(Т)</t>
  </si>
  <si>
    <r>
      <t xml:space="preserve"> - скорость откачки! </t>
    </r>
    <r>
      <rPr>
        <b/>
        <sz val="12"/>
        <color theme="1"/>
        <rFont val="Times New Roman"/>
        <family val="1"/>
        <charset val="204"/>
      </rPr>
      <t>(Ср)</t>
    </r>
  </si>
  <si>
    <r>
      <t xml:space="preserve">из систем инжекции поступает поток частиц </t>
    </r>
    <r>
      <rPr>
        <b/>
        <sz val="12"/>
        <color indexed="10"/>
        <rFont val="Times New Roman"/>
        <family val="1"/>
        <charset val="204"/>
      </rPr>
      <t xml:space="preserve">В ПЛАЗМУ </t>
    </r>
    <r>
      <rPr>
        <b/>
        <sz val="12"/>
        <rFont val="Times New Roman"/>
        <family val="1"/>
        <charset val="204"/>
      </rPr>
      <t>Snb+Spel=</t>
    </r>
  </si>
  <si>
    <t>f(T)</t>
  </si>
  <si>
    <r>
      <t xml:space="preserve"> поток частиц </t>
    </r>
    <r>
      <rPr>
        <b/>
        <sz val="12"/>
        <color indexed="10"/>
        <rFont val="Times New Roman"/>
        <family val="1"/>
        <charset val="204"/>
      </rPr>
      <t xml:space="preserve">В ПЛАЗМУ </t>
    </r>
    <r>
      <rPr>
        <b/>
        <sz val="12"/>
        <rFont val="Times New Roman"/>
        <family val="1"/>
        <charset val="204"/>
      </rPr>
      <t>ST_pel=</t>
    </r>
  </si>
  <si>
    <r>
      <t xml:space="preserve"> поток частиц </t>
    </r>
    <r>
      <rPr>
        <b/>
        <sz val="12"/>
        <color indexed="10"/>
        <rFont val="Times New Roman"/>
        <family val="1"/>
        <charset val="204"/>
      </rPr>
      <t xml:space="preserve">В ПЛАЗМУ </t>
    </r>
    <r>
      <rPr>
        <b/>
        <sz val="12"/>
        <rFont val="Times New Roman"/>
        <family val="1"/>
        <charset val="204"/>
      </rPr>
      <t>SD_pel=</t>
    </r>
  </si>
  <si>
    <t>эффективность ввода частиц</t>
  </si>
  <si>
    <t>должно быть 100% (или больше)</t>
  </si>
  <si>
    <t>n_T(plasma)</t>
  </si>
  <si>
    <t>n_D(plasma)</t>
  </si>
  <si>
    <t>f(D)</t>
  </si>
  <si>
    <t>Snb+Spel</t>
  </si>
  <si>
    <t>Nfus</t>
  </si>
  <si>
    <t>D и Т</t>
  </si>
  <si>
    <t>содержащаяся в ТЦ пройдет цикл</t>
  </si>
  <si>
    <t>S0sep</t>
  </si>
  <si>
    <t>Spuff(nb+pel)</t>
  </si>
  <si>
    <r>
      <rPr>
        <sz val="14"/>
        <color rgb="FF00B0F0"/>
        <rFont val="Times New Roman"/>
        <family val="1"/>
        <charset val="204"/>
      </rPr>
      <t>p</t>
    </r>
    <r>
      <rPr>
        <sz val="10"/>
        <color rgb="FF00B0F0"/>
        <rFont val="Times New Roman"/>
        <family val="1"/>
        <charset val="204"/>
      </rPr>
      <t>n</t>
    </r>
    <r>
      <rPr>
        <sz val="14"/>
        <color rgb="FF00B0F0"/>
        <rFont val="Times New Roman"/>
        <family val="1"/>
        <charset val="204"/>
      </rPr>
      <t>c</t>
    </r>
    <r>
      <rPr>
        <sz val="10"/>
        <color rgb="FF00B0F0"/>
        <rFont val="Times New Roman"/>
        <family val="1"/>
        <charset val="204"/>
      </rPr>
      <t>p</t>
    </r>
  </si>
  <si>
    <t>ВКЛЮЧАЯ ЭТОТ ПОТОК</t>
  </si>
  <si>
    <t xml:space="preserve"> -  </t>
  </si>
  <si>
    <t>SD_nb</t>
  </si>
  <si>
    <t>ST_nb</t>
  </si>
  <si>
    <t>ST_pel</t>
  </si>
  <si>
    <t>SD_pel</t>
  </si>
  <si>
    <t>Cp=</t>
  </si>
  <si>
    <t>РАСПАД наработанного Т в хранилище</t>
  </si>
  <si>
    <t>SfusT</t>
  </si>
  <si>
    <t>SfusD</t>
  </si>
  <si>
    <t xml:space="preserve"> - поток газа во все(!) инжектора (НА ВХОД)</t>
  </si>
  <si>
    <t xml:space="preserve"> - поток из всех(!) инжекторов (НА ВЫХОД)</t>
  </si>
  <si>
    <t xml:space="preserve"> - разница есть вылет в тор (за счет потока на стенку?)</t>
  </si>
  <si>
    <t>ИЗ БАЛОНА:</t>
  </si>
  <si>
    <t>ПОТОКИ ОБЩИЕ T+D !!!</t>
  </si>
  <si>
    <t xml:space="preserve">D   </t>
  </si>
  <si>
    <t xml:space="preserve">  T</t>
  </si>
  <si>
    <r>
      <t>τ</t>
    </r>
    <r>
      <rPr>
        <b/>
        <vertAlign val="subscript"/>
        <sz val="16"/>
        <color rgb="FFFF0000"/>
        <rFont val="Times New Roman"/>
        <family val="1"/>
        <charset val="204"/>
      </rPr>
      <t>p , с</t>
    </r>
  </si>
  <si>
    <t>величины в штуках (атомах) * 10^19</t>
  </si>
  <si>
    <t>n_T+n_D</t>
  </si>
  <si>
    <t>&lt;ne&gt;=0,7*10^20</t>
  </si>
  <si>
    <t>&lt;ne&gt;=10^20</t>
  </si>
  <si>
    <t>&lt;ne&gt;=0,3*10^20</t>
  </si>
  <si>
    <t>ДЛЯ РАЗНЫХ ШАГОВ РАССЧЕТА</t>
  </si>
  <si>
    <t>&lt;ne&gt;</t>
  </si>
  <si>
    <r>
      <t xml:space="preserve">ПОТРЕБНОСТЬ В </t>
    </r>
    <r>
      <rPr>
        <b/>
        <sz val="12"/>
        <color rgb="FFFF0000"/>
        <rFont val="Times New Roman"/>
        <family val="1"/>
        <charset val="204"/>
      </rPr>
      <t>Т</t>
    </r>
  </si>
  <si>
    <r>
      <t xml:space="preserve">ПОТРЕБНОСТЬ В </t>
    </r>
    <r>
      <rPr>
        <b/>
        <sz val="12"/>
        <color rgb="FF0070C0"/>
        <rFont val="Times New Roman"/>
        <family val="1"/>
        <charset val="204"/>
      </rPr>
      <t>D</t>
    </r>
  </si>
  <si>
    <t xml:space="preserve">Часть ионов, превратившихся в быстрые атомы </t>
  </si>
  <si>
    <t>Эффективность тракта</t>
  </si>
  <si>
    <t>содержание в откачиваемой смеси молекул, содержащих изотопы Н:</t>
  </si>
  <si>
    <t>k(NBIs)</t>
  </si>
  <si>
    <t>от общего потока (100-х) =</t>
  </si>
  <si>
    <t>(в систему депротизации)</t>
  </si>
  <si>
    <t>площадь сепаратрисы</t>
  </si>
  <si>
    <t xml:space="preserve">м3    </t>
  </si>
  <si>
    <r>
      <t>HFS_</t>
    </r>
    <r>
      <rPr>
        <b/>
        <sz val="12"/>
        <color theme="1"/>
        <rFont val="Times New Roman"/>
        <family val="1"/>
        <charset val="204"/>
      </rPr>
      <t>D</t>
    </r>
    <r>
      <rPr>
        <b/>
        <sz val="8"/>
        <color theme="1"/>
        <rFont val="Times New Roman"/>
        <family val="1"/>
        <charset val="204"/>
      </rPr>
      <t>2</t>
    </r>
  </si>
  <si>
    <r>
      <t>HFS_</t>
    </r>
    <r>
      <rPr>
        <b/>
        <sz val="12"/>
        <color theme="1"/>
        <rFont val="Times New Roman"/>
        <family val="1"/>
        <charset val="204"/>
      </rPr>
      <t>T</t>
    </r>
    <r>
      <rPr>
        <b/>
        <sz val="8"/>
        <color theme="1"/>
        <rFont val="Times New Roman"/>
        <family val="1"/>
        <charset val="204"/>
      </rPr>
      <t>2</t>
    </r>
  </si>
  <si>
    <r>
      <t>LFS_</t>
    </r>
    <r>
      <rPr>
        <b/>
        <sz val="12"/>
        <color theme="1"/>
        <rFont val="Times New Roman"/>
        <family val="1"/>
        <charset val="204"/>
      </rPr>
      <t>T</t>
    </r>
    <r>
      <rPr>
        <b/>
        <sz val="8"/>
        <color theme="1"/>
        <rFont val="Times New Roman"/>
        <family val="1"/>
        <charset val="204"/>
      </rPr>
      <t>2</t>
    </r>
  </si>
  <si>
    <r>
      <t>LFS_</t>
    </r>
    <r>
      <rPr>
        <b/>
        <sz val="12"/>
        <color theme="1"/>
        <rFont val="Times New Roman"/>
        <family val="1"/>
        <charset val="204"/>
      </rPr>
      <t>D</t>
    </r>
    <r>
      <rPr>
        <b/>
        <sz val="8"/>
        <color theme="1"/>
        <rFont val="Times New Roman"/>
        <family val="1"/>
        <charset val="204"/>
      </rPr>
      <t>2</t>
    </r>
  </si>
  <si>
    <t>реакций</t>
  </si>
  <si>
    <r>
      <t xml:space="preserve">обеспечивает поток топливной смеси в тор до </t>
    </r>
    <r>
      <rPr>
        <b/>
        <sz val="12"/>
        <color rgb="FF00B0F0"/>
        <rFont val="Times New Roman"/>
        <family val="1"/>
        <charset val="204"/>
      </rPr>
      <t xml:space="preserve">222 м3 Па/с </t>
    </r>
  </si>
  <si>
    <r>
      <t xml:space="preserve">обеспечивает поток топливной смеси в тор </t>
    </r>
    <r>
      <rPr>
        <b/>
        <sz val="12"/>
        <color rgb="FF00B0F0"/>
        <rFont val="Times New Roman"/>
        <family val="1"/>
        <charset val="204"/>
      </rPr>
      <t xml:space="preserve">до 111 м3 Па/с </t>
    </r>
  </si>
  <si>
    <t xml:space="preserve">вероятно, оценить время оборота топлива </t>
  </si>
  <si>
    <t xml:space="preserve">можно рассчитав, за какое время ВСЯ смесь, </t>
  </si>
  <si>
    <t>D+T (50%)</t>
  </si>
  <si>
    <t>D и T при</t>
  </si>
  <si>
    <t>D при</t>
  </si>
  <si>
    <t>D (50, 70%)</t>
  </si>
  <si>
    <t>Т при</t>
  </si>
  <si>
    <t>D+Т (70%)</t>
  </si>
  <si>
    <t>D+T (70%)</t>
  </si>
  <si>
    <t>моль/с</t>
  </si>
  <si>
    <r>
      <t>считая, что плотность льда</t>
    </r>
    <r>
      <rPr>
        <b/>
        <sz val="12"/>
        <color rgb="FF00B0F0"/>
        <rFont val="Times New Roman"/>
        <family val="1"/>
        <charset val="204"/>
      </rPr>
      <t xml:space="preserve"> (T2)</t>
    </r>
    <r>
      <rPr>
        <sz val="12"/>
        <color rgb="FF00B0F0"/>
        <rFont val="Times New Roman"/>
        <family val="1"/>
        <charset val="204"/>
      </rPr>
      <t xml:space="preserve"> равна</t>
    </r>
  </si>
  <si>
    <t>согласно техническому проекту установка содержит инжектора</t>
  </si>
  <si>
    <t>количество частиц в пеллете составит</t>
  </si>
  <si>
    <r>
      <t>считая, что плотность льда (</t>
    </r>
    <r>
      <rPr>
        <b/>
        <sz val="12"/>
        <color rgb="FF00B0F0"/>
        <rFont val="Times New Roman"/>
        <family val="1"/>
        <charset val="204"/>
      </rPr>
      <t>D2</t>
    </r>
    <r>
      <rPr>
        <sz val="12"/>
        <color rgb="FF00B0F0"/>
        <rFont val="Times New Roman"/>
        <family val="1"/>
        <charset val="204"/>
      </rPr>
      <t>) равна</t>
    </r>
  </si>
  <si>
    <t xml:space="preserve"> - тут учитывается поток Т из инжекторов за счет давления на стенки инжекторов… ('[динамика трития в инжекторах.xlsx]динамика трития в инжекторах'!F10)</t>
  </si>
  <si>
    <t xml:space="preserve"> - скорость откачки</t>
  </si>
  <si>
    <t xml:space="preserve">Nplasma ТИТИЙ и ДЕЙТЕРИЙ </t>
  </si>
  <si>
    <t>откачка суммарная</t>
  </si>
  <si>
    <t xml:space="preserve">Нейтроный поток </t>
  </si>
  <si>
    <r>
      <t>и мощность синтеза</t>
    </r>
    <r>
      <rPr>
        <sz val="12"/>
        <color rgb="FF0070C0"/>
        <rFont val="Times New Roman"/>
        <family val="1"/>
        <charset val="204"/>
      </rPr>
      <t xml:space="preserve">  </t>
    </r>
  </si>
  <si>
    <t xml:space="preserve">пересчёт 1/с в м3Па/с:  </t>
  </si>
  <si>
    <t xml:space="preserve">скорость откачки: </t>
  </si>
  <si>
    <t xml:space="preserve">балон  </t>
  </si>
  <si>
    <r>
      <t xml:space="preserve">так как это </t>
    </r>
    <r>
      <rPr>
        <b/>
        <sz val="12"/>
        <color rgb="FFFF0000"/>
        <rFont val="Times New Roman"/>
        <family val="1"/>
        <charset val="204"/>
      </rPr>
      <t>одноатомный</t>
    </r>
    <r>
      <rPr>
        <sz val="12"/>
        <color rgb="FFFF0000"/>
        <rFont val="Times New Roman"/>
        <family val="1"/>
        <charset val="204"/>
      </rPr>
      <t xml:space="preserve"> газ!</t>
    </r>
  </si>
  <si>
    <t>атомный вес 4</t>
  </si>
  <si>
    <t xml:space="preserve"> - разница за счет вылета в инжектора</t>
  </si>
  <si>
    <t xml:space="preserve"> - вылет частиц в инжектора</t>
  </si>
  <si>
    <t>концентрация частиц в плазме (D+T)</t>
  </si>
  <si>
    <t>Plasma</t>
  </si>
  <si>
    <t>NB</t>
  </si>
  <si>
    <r>
      <t>D</t>
    </r>
    <r>
      <rPr>
        <u/>
        <sz val="8"/>
        <color theme="1"/>
        <rFont val="Times New Roman"/>
        <family val="1"/>
        <charset val="204"/>
      </rPr>
      <t>0</t>
    </r>
    <r>
      <rPr>
        <u/>
        <sz val="12"/>
        <color theme="1"/>
        <rFont val="Times New Roman"/>
        <family val="1"/>
        <charset val="204"/>
      </rPr>
      <t>T</t>
    </r>
    <r>
      <rPr>
        <u/>
        <sz val="8"/>
        <color theme="1"/>
        <rFont val="Times New Roman"/>
        <family val="1"/>
        <charset val="204"/>
      </rPr>
      <t>0</t>
    </r>
    <r>
      <rPr>
        <u/>
        <sz val="12"/>
        <color theme="1"/>
        <rFont val="Times New Roman"/>
        <family val="1"/>
        <charset val="204"/>
      </rPr>
      <t>+DT</t>
    </r>
  </si>
  <si>
    <r>
      <t>D</t>
    </r>
    <r>
      <rPr>
        <u/>
        <sz val="8"/>
        <color theme="1"/>
        <rFont val="Times New Roman"/>
        <family val="1"/>
        <charset val="204"/>
      </rPr>
      <t>0</t>
    </r>
    <r>
      <rPr>
        <u/>
        <sz val="12"/>
        <color theme="1"/>
        <rFont val="Times New Roman"/>
        <family val="1"/>
        <charset val="204"/>
      </rPr>
      <t>+DT</t>
    </r>
  </si>
  <si>
    <r>
      <t>f</t>
    </r>
    <r>
      <rPr>
        <u/>
        <sz val="8"/>
        <color theme="1"/>
        <rFont val="Times New Roman"/>
        <family val="1"/>
        <charset val="204"/>
      </rPr>
      <t>T</t>
    </r>
  </si>
  <si>
    <r>
      <t>D</t>
    </r>
    <r>
      <rPr>
        <b/>
        <sz val="8"/>
        <color rgb="FFFF0000"/>
        <rFont val="Times New Roman"/>
        <family val="1"/>
        <charset val="204"/>
      </rPr>
      <t>0</t>
    </r>
    <r>
      <rPr>
        <b/>
        <sz val="12"/>
        <color rgb="FFFF0000"/>
        <rFont val="Times New Roman"/>
        <family val="1"/>
        <charset val="204"/>
      </rPr>
      <t>+DT:</t>
    </r>
  </si>
  <si>
    <r>
      <t>D</t>
    </r>
    <r>
      <rPr>
        <b/>
        <sz val="8"/>
        <color rgb="FF00B0F0"/>
        <rFont val="Times New Roman"/>
        <family val="1"/>
        <charset val="204"/>
      </rPr>
      <t>0</t>
    </r>
    <r>
      <rPr>
        <b/>
        <sz val="12"/>
        <color rgb="FF00B0F0"/>
        <rFont val="Times New Roman"/>
        <family val="1"/>
        <charset val="204"/>
      </rPr>
      <t>T</t>
    </r>
    <r>
      <rPr>
        <b/>
        <sz val="8"/>
        <color rgb="FF00B0F0"/>
        <rFont val="Times New Roman"/>
        <family val="1"/>
        <charset val="204"/>
      </rPr>
      <t>0</t>
    </r>
    <r>
      <rPr>
        <b/>
        <sz val="12"/>
        <color rgb="FF00B0F0"/>
        <rFont val="Times New Roman"/>
        <family val="1"/>
        <charset val="204"/>
      </rPr>
      <t>+DT:</t>
    </r>
  </si>
  <si>
    <t xml:space="preserve">потери массы </t>
  </si>
  <si>
    <t>% в процессе экструзии пеллет</t>
  </si>
  <si>
    <t>% в процессе транспорировки пеллет</t>
  </si>
  <si>
    <t xml:space="preserve">содержание в стенке (D+T):  </t>
  </si>
  <si>
    <t xml:space="preserve">газовыделение </t>
  </si>
  <si>
    <t xml:space="preserve">доп.наддув газа в камеру:  </t>
  </si>
  <si>
    <t>// доклад Спицына!..</t>
  </si>
  <si>
    <r>
      <t xml:space="preserve">// расчетные ПОТЕРИ - </t>
    </r>
    <r>
      <rPr>
        <sz val="12"/>
        <color rgb="FFFF0000"/>
        <rFont val="Times New Roman"/>
        <family val="1"/>
        <charset val="204"/>
      </rPr>
      <t>БЕЗВОЗВРАТНО УТРАЧЕННЫЕ ЧАСТИЦЫ</t>
    </r>
  </si>
  <si>
    <t>доля Т в пеллете</t>
  </si>
  <si>
    <t xml:space="preserve">  from NBI cryopanels</t>
  </si>
  <si>
    <t xml:space="preserve">геттер  </t>
  </si>
  <si>
    <t>…не считая следов Т (которые попадут в ISS через PERMCAT+CECE)</t>
  </si>
  <si>
    <r>
      <t xml:space="preserve">      ВЕСЬ тритий из систем химического разложения РАНО ИЛИ ПОЗДНО попадет в систему </t>
    </r>
    <r>
      <rPr>
        <b/>
        <sz val="12"/>
        <color rgb="FFFF0000"/>
        <rFont val="Times New Roman"/>
        <family val="1"/>
        <charset val="204"/>
      </rPr>
      <t>IRS</t>
    </r>
  </si>
  <si>
    <r>
      <t xml:space="preserve">из системы ребаланса </t>
    </r>
    <r>
      <rPr>
        <b/>
        <sz val="12"/>
        <color rgb="FFFF0000"/>
        <rFont val="Times New Roman"/>
        <family val="1"/>
        <charset val="204"/>
      </rPr>
      <t xml:space="preserve">IRS в GIS </t>
    </r>
  </si>
  <si>
    <r>
      <t>в систему разделения</t>
    </r>
    <r>
      <rPr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 xml:space="preserve">ISS </t>
    </r>
    <r>
      <rPr>
        <b/>
        <sz val="12"/>
        <color rgb="FFFF0000"/>
        <rFont val="Times New Roman"/>
        <family val="1"/>
        <charset val="204"/>
      </rPr>
      <t>(для PIS)</t>
    </r>
  </si>
  <si>
    <t>считаем, что для изготовления пеллет (криогенной экструзией) достаточно</t>
  </si>
  <si>
    <t>при этом считаем удовлетворение собственных потребностей в Т</t>
  </si>
  <si>
    <t>за счет сгорания (компенсируется подачей Т в PIS)</t>
  </si>
  <si>
    <t>в GIS</t>
  </si>
  <si>
    <t>где Nгет_in - компенсация выгорающего топлива</t>
  </si>
  <si>
    <t>где Nгет_out - поток "излишков" во внешнее хранилище!!!</t>
  </si>
  <si>
    <t>РАЗНИЦА потоков - д.б. равна выгоранию топлива + распад</t>
  </si>
  <si>
    <t>то есть сумма потоков на вход NBI, PIS и GIS</t>
  </si>
  <si>
    <t>то есть всё что получено в результате откачке VV</t>
  </si>
  <si>
    <r>
      <t xml:space="preserve">(вход-выход) &lt; 0 </t>
    </r>
    <r>
      <rPr>
        <b/>
        <sz val="12"/>
        <color rgb="FF00B0F0"/>
        <rFont val="Times New Roman"/>
        <family val="1"/>
        <charset val="204"/>
      </rPr>
      <t xml:space="preserve">(за счет потерь) </t>
    </r>
  </si>
  <si>
    <t xml:space="preserve">они компенсируются либо из стартового геттера (рассчитанного на </t>
  </si>
  <si>
    <t>потребность во внешних источниках топлива составит:</t>
  </si>
  <si>
    <t>например, при НЕ работающем бланкете</t>
  </si>
  <si>
    <r>
      <t>Nfcleanup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=</t>
    </r>
  </si>
  <si>
    <t>// если поток из бланкета &gt; 0, то Nбалон д/б = 0, если = 0, то Nбалон &gt; 0 и ~ Nвыг</t>
  </si>
  <si>
    <r>
      <t xml:space="preserve">  </t>
    </r>
    <r>
      <rPr>
        <sz val="12"/>
        <color rgb="FFFF0000"/>
        <rFont val="Times New Roman"/>
        <family val="1"/>
        <charset val="204"/>
      </rPr>
      <t xml:space="preserve"> т.е. -(Nfcleanup -(Nnbi+Ngasp+Npellet)) = Nбалон/гет_in </t>
    </r>
    <r>
      <rPr>
        <b/>
        <sz val="12"/>
        <color rgb="FFFF0000"/>
        <rFont val="Times New Roman"/>
        <family val="1"/>
        <charset val="204"/>
      </rPr>
      <t xml:space="preserve">(должно быть)               </t>
    </r>
  </si>
  <si>
    <r>
      <t xml:space="preserve">   потоки в системы инжекции и из вак.камеры должны быть равны: Nfcleanup </t>
    </r>
    <r>
      <rPr>
        <sz val="12"/>
        <color indexed="10"/>
        <rFont val="Times New Roman"/>
        <family val="1"/>
        <charset val="204"/>
      </rPr>
      <t xml:space="preserve">-(Nnbi+Ngasp+Npellet) + Nбалон/гет_in = 0 </t>
    </r>
    <r>
      <rPr>
        <sz val="12"/>
        <color rgb="FF00B0F0"/>
        <rFont val="Times New Roman"/>
        <family val="1"/>
        <charset val="204"/>
      </rPr>
      <t>// не считая воспроизводства в бланкете и Nгет_out !!!</t>
    </r>
  </si>
  <si>
    <t>с учетом удовлетворения потребностей установки в топливе</t>
  </si>
  <si>
    <t>баланс частиц в одном инжекторе (вход-выход)</t>
  </si>
  <si>
    <r>
      <rPr>
        <sz val="12"/>
        <rFont val="Times New Roman"/>
        <family val="1"/>
        <charset val="204"/>
      </rPr>
      <t>система нейтральной инжекции</t>
    </r>
    <r>
      <rPr>
        <sz val="12"/>
        <color rgb="FFFF0000"/>
        <rFont val="Times New Roman"/>
        <family val="1"/>
        <charset val="204"/>
      </rPr>
      <t xml:space="preserve"> NBI</t>
    </r>
  </si>
  <si>
    <r>
      <rPr>
        <sz val="12"/>
        <rFont val="Times New Roman"/>
        <family val="1"/>
        <charset val="204"/>
      </rPr>
      <t>система пеллет-инжекции</t>
    </r>
    <r>
      <rPr>
        <sz val="12"/>
        <color rgb="FFFF0000"/>
        <rFont val="Times New Roman"/>
        <family val="1"/>
        <charset val="204"/>
      </rPr>
      <t xml:space="preserve"> PIS</t>
    </r>
  </si>
  <si>
    <r>
      <rPr>
        <sz val="12"/>
        <rFont val="Times New Roman"/>
        <family val="1"/>
        <charset val="204"/>
      </rPr>
      <t>система газовых клапанов</t>
    </r>
    <r>
      <rPr>
        <sz val="12"/>
        <color rgb="FFFF0000"/>
        <rFont val="Times New Roman"/>
        <family val="1"/>
        <charset val="204"/>
      </rPr>
      <t xml:space="preserve"> GIS</t>
    </r>
  </si>
  <si>
    <r>
      <rPr>
        <b/>
        <u/>
        <sz val="12"/>
        <rFont val="Times New Roman"/>
        <family val="1"/>
        <charset val="204"/>
      </rPr>
      <t>вакуумная камера</t>
    </r>
    <r>
      <rPr>
        <b/>
        <u/>
        <sz val="12"/>
        <color rgb="FFFF0000"/>
        <rFont val="Times New Roman"/>
        <family val="1"/>
        <charset val="204"/>
      </rPr>
      <t xml:space="preserve"> VV</t>
    </r>
  </si>
  <si>
    <r>
      <rPr>
        <sz val="12"/>
        <rFont val="Times New Roman"/>
        <family val="1"/>
        <charset val="204"/>
      </rPr>
      <t xml:space="preserve">система откачки диверторов </t>
    </r>
    <r>
      <rPr>
        <sz val="12"/>
        <color rgb="FFFF0000"/>
        <rFont val="Times New Roman"/>
        <family val="1"/>
        <charset val="204"/>
      </rPr>
      <t>Pumping</t>
    </r>
  </si>
  <si>
    <r>
      <rPr>
        <sz val="12"/>
        <rFont val="Times New Roman"/>
        <family val="1"/>
        <charset val="204"/>
      </rPr>
      <t xml:space="preserve">"литиевый насос" </t>
    </r>
    <r>
      <rPr>
        <sz val="12"/>
        <color rgb="FFFF0000"/>
        <rFont val="Times New Roman"/>
        <family val="1"/>
        <charset val="204"/>
      </rPr>
      <t>Li_loop</t>
    </r>
  </si>
  <si>
    <r>
      <rPr>
        <sz val="12"/>
        <rFont val="Times New Roman"/>
        <family val="1"/>
        <charset val="204"/>
      </rPr>
      <t xml:space="preserve">система очистки топлива </t>
    </r>
    <r>
      <rPr>
        <sz val="12"/>
        <color rgb="FFFF0000"/>
        <rFont val="Times New Roman"/>
        <family val="1"/>
        <charset val="204"/>
      </rPr>
      <t>Cleanup</t>
    </r>
  </si>
  <si>
    <r>
      <rPr>
        <sz val="12"/>
        <rFont val="Times New Roman"/>
        <family val="1"/>
        <charset val="204"/>
      </rPr>
      <t>система каталитического разложения</t>
    </r>
    <r>
      <rPr>
        <sz val="12"/>
        <color rgb="FFFF0000"/>
        <rFont val="Times New Roman"/>
        <family val="1"/>
        <charset val="204"/>
      </rPr>
      <t xml:space="preserve"> H-comp.decomp.</t>
    </r>
  </si>
  <si>
    <r>
      <rPr>
        <b/>
        <u/>
        <sz val="12"/>
        <rFont val="Times New Roman"/>
        <family val="1"/>
        <charset val="204"/>
      </rPr>
      <t>система разделения изотопов водорода</t>
    </r>
    <r>
      <rPr>
        <b/>
        <u/>
        <sz val="12"/>
        <color rgb="FFFF0000"/>
        <rFont val="Times New Roman"/>
        <family val="1"/>
        <charset val="204"/>
      </rPr>
      <t xml:space="preserve"> ISS</t>
    </r>
  </si>
  <si>
    <r>
      <rPr>
        <sz val="12"/>
        <rFont val="Times New Roman"/>
        <family val="1"/>
        <charset val="204"/>
      </rPr>
      <t xml:space="preserve">система обработки топливной смеси </t>
    </r>
    <r>
      <rPr>
        <sz val="12"/>
        <color rgb="FFFF0000"/>
        <rFont val="Times New Roman"/>
        <family val="1"/>
        <charset val="204"/>
      </rPr>
      <t>IRS</t>
    </r>
  </si>
  <si>
    <t xml:space="preserve"> годовое уменьшение количества трития будет равно:</t>
  </si>
  <si>
    <r>
      <rPr>
        <b/>
        <sz val="12"/>
        <color rgb="FFFF0000"/>
        <rFont val="Times New Roman"/>
        <family val="1"/>
        <charset val="204"/>
      </rPr>
      <t>с учетом распада "залежей"</t>
    </r>
    <r>
      <rPr>
        <b/>
        <sz val="12"/>
        <rFont val="Times New Roman"/>
        <family val="1"/>
        <charset val="204"/>
      </rPr>
      <t xml:space="preserve"> во всех системах ТЦ</t>
    </r>
  </si>
  <si>
    <t xml:space="preserve"> =B303*0,5/(12*365*24*60*60)</t>
  </si>
  <si>
    <t>это поток топлива из внешнего источника (балона/геттера)</t>
  </si>
  <si>
    <r>
      <rPr>
        <b/>
        <sz val="12"/>
        <rFont val="Times New Roman"/>
        <family val="1"/>
        <charset val="204"/>
      </rPr>
      <t xml:space="preserve">годовое уменьшение количества </t>
    </r>
    <r>
      <rPr>
        <b/>
        <sz val="12"/>
        <color rgb="FFFF0000"/>
        <rFont val="Times New Roman"/>
        <family val="1"/>
        <charset val="204"/>
      </rPr>
      <t>ДЕЙТЕРИЯ</t>
    </r>
    <r>
      <rPr>
        <b/>
        <sz val="12"/>
        <rFont val="Times New Roman"/>
        <family val="1"/>
        <charset val="204"/>
      </rPr>
      <t xml:space="preserve"> будет равно:</t>
    </r>
  </si>
  <si>
    <r>
      <t xml:space="preserve">поток </t>
    </r>
    <r>
      <rPr>
        <b/>
        <u/>
        <sz val="12"/>
        <color theme="1"/>
        <rFont val="Times New Roman"/>
        <family val="1"/>
        <charset val="204"/>
      </rPr>
      <t>ТРИТИЯ</t>
    </r>
    <r>
      <rPr>
        <sz val="12"/>
        <color theme="1"/>
        <rFont val="Times New Roman"/>
        <family val="1"/>
        <charset val="204"/>
      </rPr>
      <t xml:space="preserve"> из T-PIS </t>
    </r>
    <r>
      <rPr>
        <b/>
        <sz val="12"/>
        <color theme="1"/>
        <rFont val="Times New Roman"/>
        <family val="1"/>
        <charset val="204"/>
      </rPr>
      <t>S1puff(pel)=</t>
    </r>
  </si>
  <si>
    <t>ДЛЯ ОБЕСПЕЧЕНИЯ 100% ПОТРЕБНОСТИ ПЛАЗМЫ</t>
  </si>
  <si>
    <t xml:space="preserve">для D </t>
  </si>
  <si>
    <r>
      <t xml:space="preserve">поток </t>
    </r>
    <r>
      <rPr>
        <b/>
        <u/>
        <sz val="12"/>
        <color theme="1"/>
        <rFont val="Times New Roman"/>
        <family val="1"/>
        <charset val="204"/>
      </rPr>
      <t>ДЕЙТЕРИЯ</t>
    </r>
    <r>
      <rPr>
        <sz val="12"/>
        <color theme="1"/>
        <rFont val="Times New Roman"/>
        <family val="1"/>
        <charset val="204"/>
      </rPr>
      <t xml:space="preserve"> из D-PIS </t>
    </r>
    <r>
      <rPr>
        <b/>
        <sz val="12"/>
        <color theme="1"/>
        <rFont val="Times New Roman"/>
        <family val="1"/>
        <charset val="204"/>
      </rPr>
      <t>S1puff(pel)=</t>
    </r>
  </si>
  <si>
    <r>
      <t xml:space="preserve"> -частота инжекции </t>
    </r>
    <r>
      <rPr>
        <b/>
        <sz val="12"/>
        <rFont val="Times New Roman"/>
        <family val="1"/>
        <charset val="204"/>
      </rPr>
      <t>T2</t>
    </r>
  </si>
  <si>
    <r>
      <t xml:space="preserve">      ВЕСЬ дейтерий из систем химического разложения РАНО ИЛИ ПОЗДНО попадет в систему </t>
    </r>
    <r>
      <rPr>
        <b/>
        <sz val="12"/>
        <color rgb="FFFF0000"/>
        <rFont val="Times New Roman"/>
        <family val="1"/>
        <charset val="204"/>
      </rPr>
      <t>IRS</t>
    </r>
  </si>
  <si>
    <t>потоки в системы инжекции :</t>
  </si>
  <si>
    <t xml:space="preserve"> - пеллет-инжекторы</t>
  </si>
  <si>
    <t xml:space="preserve">в качестве основного топлива (с HFS) </t>
  </si>
  <si>
    <t xml:space="preserve"> + в качестве пеллет контроля ELM (с LFS) </t>
  </si>
  <si>
    <t xml:space="preserve"> - выгорание в плазме!</t>
  </si>
  <si>
    <r>
      <t xml:space="preserve">  // частицы из NBI возвращаются ! Либо через </t>
    </r>
    <r>
      <rPr>
        <b/>
        <sz val="12"/>
        <color rgb="FFFF0000"/>
        <rFont val="Times New Roman"/>
        <family val="1"/>
        <charset val="204"/>
      </rPr>
      <t xml:space="preserve">Pumping </t>
    </r>
    <r>
      <rPr>
        <sz val="12"/>
        <color rgb="FFFF0000"/>
        <rFont val="Times New Roman"/>
        <family val="1"/>
        <charset val="204"/>
      </rPr>
      <t xml:space="preserve">либо через </t>
    </r>
    <r>
      <rPr>
        <b/>
        <sz val="12"/>
        <color rgb="FFFF0000"/>
        <rFont val="Times New Roman"/>
        <family val="1"/>
        <charset val="204"/>
      </rPr>
      <t xml:space="preserve">ISS </t>
    </r>
  </si>
  <si>
    <r>
      <rPr>
        <b/>
        <sz val="12"/>
        <rFont val="Times New Roman"/>
        <family val="1"/>
        <charset val="204"/>
      </rPr>
      <t>результирующий поток дейтерия из инжекторов</t>
    </r>
    <r>
      <rPr>
        <b/>
        <sz val="12"/>
        <color rgb="FF00B0F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в…ТЦ!!!</t>
    </r>
  </si>
  <si>
    <r>
      <rPr>
        <b/>
        <sz val="12"/>
        <rFont val="Times New Roman"/>
        <family val="1"/>
        <charset val="204"/>
      </rPr>
      <t>тогда результирующий поток дейтерия из инжекторов</t>
    </r>
    <r>
      <rPr>
        <b/>
        <sz val="12"/>
        <color rgb="FF00B0F0"/>
        <rFont val="Times New Roman"/>
        <family val="1"/>
        <charset val="204"/>
      </rPr>
      <t xml:space="preserve"> </t>
    </r>
    <r>
      <rPr>
        <b/>
        <sz val="12"/>
        <color rgb="FFFF0000"/>
        <rFont val="Times New Roman"/>
        <family val="1"/>
        <charset val="204"/>
      </rPr>
      <t>в…ТЦ!!!</t>
    </r>
  </si>
  <si>
    <t xml:space="preserve">говорит о превышении потока </t>
  </si>
  <si>
    <t>ИЗ инжектора(-ов) НАД потоком из вакуумной камеры!</t>
  </si>
  <si>
    <r>
      <t xml:space="preserve">то есть </t>
    </r>
    <r>
      <rPr>
        <b/>
        <sz val="12"/>
        <color rgb="FFFF0000"/>
        <rFont val="Times New Roman"/>
        <family val="1"/>
        <charset val="204"/>
      </rPr>
      <t xml:space="preserve">потери частиц </t>
    </r>
    <r>
      <rPr>
        <sz val="12"/>
        <color rgb="FFFF0000"/>
        <rFont val="Times New Roman"/>
        <family val="1"/>
        <charset val="204"/>
      </rPr>
      <t xml:space="preserve"> в ТЦ за один оборот частиц</t>
    </r>
  </si>
  <si>
    <t xml:space="preserve">система нейтральной инжекции   </t>
  </si>
  <si>
    <t xml:space="preserve">система пеллет-инжекции  </t>
  </si>
  <si>
    <t xml:space="preserve">система газовых клапанов   </t>
  </si>
  <si>
    <t xml:space="preserve">вакуумная камера (включая плазму)   </t>
  </si>
  <si>
    <t xml:space="preserve">плазма </t>
  </si>
  <si>
    <t xml:space="preserve">бланкет+T-processing for blanket   </t>
  </si>
  <si>
    <t xml:space="preserve">Li-loop T-processing   </t>
  </si>
  <si>
    <t xml:space="preserve">Divertor/FW coolant T-processing   </t>
  </si>
  <si>
    <t xml:space="preserve">откачка дивертора   </t>
  </si>
  <si>
    <t xml:space="preserve">мембранное разделение   </t>
  </si>
  <si>
    <t xml:space="preserve">система каталитического разложения   </t>
  </si>
  <si>
    <t xml:space="preserve">переработки сверхтяжеловодных отходов   </t>
  </si>
  <si>
    <t xml:space="preserve">система детритизации NBI   </t>
  </si>
  <si>
    <t xml:space="preserve">система разделения изотопов   </t>
  </si>
  <si>
    <t xml:space="preserve">система обработки топливной смеси   </t>
  </si>
  <si>
    <t xml:space="preserve">долговременное хранилище   </t>
  </si>
  <si>
    <t xml:space="preserve">магистрали, ресиверы, насосы и арматура   </t>
  </si>
  <si>
    <t>Вариант I</t>
  </si>
  <si>
    <t>Он будет попадать за счет содержания обоих изотопов в исходной газовой смеси!</t>
  </si>
  <si>
    <t xml:space="preserve"> - поток с LFS</t>
  </si>
  <si>
    <t xml:space="preserve"> // на тот случай, если потоки совсем не согласованы!!!</t>
  </si>
  <si>
    <t xml:space="preserve"> 'параметры для расчета'!K14*'параметры для расчета'!$C$9*'параметры для расчета'!$C$21%/(1/2*1,38E-23*300)-(B36-B32+$B$98-B100+B107)-$B$12+$B$13</t>
  </si>
  <si>
    <t xml:space="preserve"> // Spuff(nb+pel)</t>
  </si>
  <si>
    <t xml:space="preserve"> // N=P*V/1000*k</t>
  </si>
  <si>
    <t xml:space="preserve"> //  Ssep T, D =  S0, sep T, D + (Snb + Spel T, D) - Sfus T, D</t>
  </si>
  <si>
    <t xml:space="preserve"> // S_GIS = PnCp – (Spuff(NB) + Spuff(pel)) – Ssep + S0, sep</t>
  </si>
  <si>
    <r>
      <rPr>
        <sz val="12"/>
        <color rgb="FFFF0000"/>
        <rFont val="Times New Roman"/>
        <family val="1"/>
        <charset val="204"/>
      </rPr>
      <t>Cp</t>
    </r>
    <r>
      <rPr>
        <sz val="12"/>
        <color rgb="FF00B0F0"/>
        <rFont val="Times New Roman"/>
        <family val="1"/>
        <charset val="204"/>
      </rPr>
      <t>*Pn*</t>
    </r>
    <r>
      <rPr>
        <sz val="12"/>
        <color rgb="FFFF0000"/>
        <rFont val="Times New Roman"/>
        <family val="1"/>
        <charset val="204"/>
      </rPr>
      <t>f_t</t>
    </r>
    <r>
      <rPr>
        <sz val="12"/>
        <color rgb="FF00B0F0"/>
        <rFont val="Times New Roman"/>
        <family val="1"/>
        <charset val="204"/>
      </rPr>
      <t>/(k*T)-((Spuff(NB) + Spuff(pel))</t>
    </r>
    <r>
      <rPr>
        <sz val="12"/>
        <color rgb="FFFF0000"/>
        <rFont val="Times New Roman"/>
        <family val="1"/>
        <charset val="204"/>
      </rPr>
      <t>+B107</t>
    </r>
    <r>
      <rPr>
        <sz val="12"/>
        <color rgb="FF00B0F0"/>
        <rFont val="Times New Roman"/>
        <family val="1"/>
        <charset val="204"/>
      </rPr>
      <t>)-Ssep+S0sep</t>
    </r>
  </si>
  <si>
    <t xml:space="preserve"> // для Т</t>
  </si>
  <si>
    <t xml:space="preserve"> // для D</t>
  </si>
  <si>
    <t xml:space="preserve"> 'параметры для расчета'!$C$7*'параметры для расчета'!$C$9*(1-'параметры для расчета'!$C$21%)/(1/2*1,38E-23*1000)-(B36-B32+$B$98-B100+B107)-$B$12+$B$13</t>
  </si>
  <si>
    <r>
      <rPr>
        <sz val="12"/>
        <color rgb="FFFF0000"/>
        <rFont val="Times New Roman"/>
        <family val="1"/>
        <charset val="204"/>
      </rPr>
      <t>V</t>
    </r>
    <r>
      <rPr>
        <sz val="12"/>
        <color rgb="FF00B0F0"/>
        <rFont val="Times New Roman"/>
        <family val="1"/>
        <charset val="204"/>
      </rPr>
      <t>*Pn*</t>
    </r>
    <r>
      <rPr>
        <sz val="12"/>
        <color rgb="FFFF0000"/>
        <rFont val="Times New Roman"/>
        <family val="1"/>
        <charset val="204"/>
      </rPr>
      <t>f_t</t>
    </r>
    <r>
      <rPr>
        <sz val="12"/>
        <color rgb="FF00B0F0"/>
        <rFont val="Times New Roman"/>
        <family val="1"/>
        <charset val="204"/>
      </rPr>
      <t>/(k*</t>
    </r>
    <r>
      <rPr>
        <sz val="12"/>
        <color rgb="FFFF0000"/>
        <rFont val="Times New Roman"/>
        <family val="1"/>
        <charset val="204"/>
      </rPr>
      <t>T</t>
    </r>
    <r>
      <rPr>
        <sz val="12"/>
        <color rgb="FF00B0F0"/>
        <rFont val="Times New Roman"/>
        <family val="1"/>
        <charset val="204"/>
      </rPr>
      <t>)-((Spuff(NB) + Spuff(pel))</t>
    </r>
    <r>
      <rPr>
        <sz val="12"/>
        <color rgb="FFFF0000"/>
        <rFont val="Times New Roman"/>
        <family val="1"/>
        <charset val="204"/>
      </rPr>
      <t>+B107</t>
    </r>
    <r>
      <rPr>
        <sz val="12"/>
        <color rgb="FF00B0F0"/>
        <rFont val="Times New Roman"/>
        <family val="1"/>
        <charset val="204"/>
      </rPr>
      <t>)-Ssep+S0sep</t>
    </r>
  </si>
  <si>
    <t xml:space="preserve"> // n_D*Vol/tauD</t>
  </si>
  <si>
    <t xml:space="preserve"> // SD0_sep</t>
  </si>
  <si>
    <t xml:space="preserve"> // Spuff_D</t>
  </si>
  <si>
    <t>GIS</t>
  </si>
  <si>
    <t>PIS</t>
  </si>
  <si>
    <t>HFS</t>
  </si>
  <si>
    <t>LFS</t>
  </si>
  <si>
    <r>
      <t xml:space="preserve"> </t>
    </r>
    <r>
      <rPr>
        <sz val="12"/>
        <color rgb="FF00B0F0"/>
        <rFont val="Times New Roman"/>
        <family val="1"/>
        <charset val="204"/>
      </rPr>
      <t>=(Spel-N_LFS*PIS_LFS*F_LFS*k(pellet)LFS)/(N_HFS*k(pellet)HFS)</t>
    </r>
  </si>
  <si>
    <t>D через T_PIS</t>
  </si>
  <si>
    <t xml:space="preserve"> // означает что Т инжектируется БОЛЬШЕ чем D</t>
  </si>
  <si>
    <t xml:space="preserve"> // при этом D также инжектируется с LFS</t>
  </si>
  <si>
    <t xml:space="preserve"> // S_fus</t>
  </si>
  <si>
    <t xml:space="preserve"> =(B92*B89*B86)*'параметры для расчета'!C61%+(B93*B90*B87)*'параметры для расчета'!C62%</t>
  </si>
  <si>
    <t xml:space="preserve"> // это всё потоки в вакуумную камеру (не плазму)</t>
  </si>
  <si>
    <r>
      <t xml:space="preserve">   в систему разделения требуется подавать поток газа, достаточный для выделения НУЖНОГО КОЛИЧЕСТВА изотопов </t>
    </r>
    <r>
      <rPr>
        <b/>
        <sz val="12"/>
        <color rgb="FFFF0000"/>
        <rFont val="Times New Roman"/>
        <family val="1"/>
        <charset val="204"/>
      </rPr>
      <t>каждого типа</t>
    </r>
    <r>
      <rPr>
        <b/>
        <sz val="12"/>
        <rFont val="Times New Roman"/>
        <family val="1"/>
        <charset val="204"/>
      </rPr>
      <t>!</t>
    </r>
  </si>
  <si>
    <t xml:space="preserve"> // если количество D, полученное из газовой смеси в ISS (для T-PIS) не обеспечит D-PIS,</t>
  </si>
  <si>
    <t>поток D из ISS в GIS</t>
  </si>
  <si>
    <t>поток T из ISS в GIS</t>
  </si>
  <si>
    <t>T из ISS, который НЕ вводится PIS, направляется в GIS</t>
  </si>
  <si>
    <t>D из ISS, который НЕ вводится PIS, направляется в GIS</t>
  </si>
  <si>
    <t>В процессе производства (экструзии) пеллет и их ускорения</t>
  </si>
  <si>
    <t>часть массы пеллет будет теряться…но оставаться в системе!</t>
  </si>
  <si>
    <t>таким образом, PIS должна обрабатывать поток:</t>
  </si>
  <si>
    <t>за вычетом того что дает нейтральная инжекция требуется для обеспечить поток:</t>
  </si>
  <si>
    <r>
      <t xml:space="preserve">за вычетом того что дает нейтральная инжекция </t>
    </r>
    <r>
      <rPr>
        <u/>
        <sz val="12"/>
        <color indexed="8"/>
        <rFont val="Times New Roman"/>
        <family val="1"/>
        <charset val="204"/>
      </rPr>
      <t>требуется для обеспечить поток</t>
    </r>
    <r>
      <rPr>
        <sz val="12"/>
        <color indexed="8"/>
        <rFont val="Times New Roman"/>
        <family val="1"/>
        <charset val="204"/>
      </rPr>
      <t>:</t>
    </r>
  </si>
  <si>
    <t xml:space="preserve"> // положительная величина означает что в процессе работы ISS обработала Т больше чем нужно T-PIS</t>
  </si>
  <si>
    <t xml:space="preserve"> // в этом случае Т направляется в VV с помощью GIS для предотвращения накопления</t>
  </si>
  <si>
    <t xml:space="preserve"> // отрицательной величины БЫТЬ НЕ МОЖЕТ!</t>
  </si>
  <si>
    <t xml:space="preserve">для Вариантов II и III поток не в GIS а в NBI </t>
  </si>
  <si>
    <t xml:space="preserve"> // считаем, что вся мощность нейтральной инжекции идёт в плазму…</t>
  </si>
  <si>
    <t xml:space="preserve"> // а общий поток в VV мы считаем через эффективность поглощения нейтрального пучка</t>
  </si>
  <si>
    <t>// в плазму</t>
  </si>
  <si>
    <t>// в VV</t>
  </si>
  <si>
    <t>для компенсации потерь D в виде пучка</t>
  </si>
  <si>
    <t>// потери ДЕЙТЕРИЯ из ТЦ инжекторов</t>
  </si>
  <si>
    <t xml:space="preserve">// нужно </t>
  </si>
  <si>
    <t>// разница</t>
  </si>
  <si>
    <t>компенисровать</t>
  </si>
  <si>
    <t>то есть, о вытекании газа из инжектора !!! через атомопровод</t>
  </si>
  <si>
    <t xml:space="preserve">поток из тора - вытекание газа в тор </t>
  </si>
  <si>
    <r>
      <rPr>
        <b/>
        <sz val="12"/>
        <color rgb="FF00B0F0"/>
        <rFont val="Times New Roman"/>
        <family val="1"/>
        <charset val="204"/>
      </rPr>
      <t>потери</t>
    </r>
    <r>
      <rPr>
        <sz val="12"/>
        <color rgb="FF00B0F0"/>
        <rFont val="Times New Roman"/>
        <family val="1"/>
        <charset val="204"/>
      </rPr>
      <t xml:space="preserve"> формируются из распада и проницаемости</t>
    </r>
  </si>
  <si>
    <t xml:space="preserve">для Вариантов II и III поток из ISS </t>
  </si>
  <si>
    <r>
      <rPr>
        <sz val="12"/>
        <rFont val="Times New Roman"/>
        <family val="1"/>
        <charset val="204"/>
      </rPr>
      <t>оценим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суммарный поток ДЕЙТЕРИЯ</t>
    </r>
    <r>
      <rPr>
        <sz val="12"/>
        <color indexed="1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в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u/>
        <sz val="12"/>
        <color indexed="10"/>
        <rFont val="Times New Roman"/>
        <family val="1"/>
        <charset val="204"/>
      </rPr>
      <t>один инжектор</t>
    </r>
  </si>
  <si>
    <r>
      <t xml:space="preserve">при этом </t>
    </r>
    <r>
      <rPr>
        <sz val="12"/>
        <color indexed="10"/>
        <rFont val="Times New Roman"/>
        <family val="1"/>
        <charset val="204"/>
      </rPr>
      <t>из тора</t>
    </r>
    <r>
      <rPr>
        <sz val="12"/>
        <color indexed="8"/>
        <rFont val="Times New Roman"/>
        <family val="1"/>
        <charset val="204"/>
      </rPr>
      <t xml:space="preserve"> прилетают частиц в</t>
    </r>
    <r>
      <rPr>
        <u/>
        <sz val="12"/>
        <color indexed="8"/>
        <rFont val="Times New Roman"/>
        <family val="1"/>
        <charset val="204"/>
      </rPr>
      <t xml:space="preserve"> </t>
    </r>
    <r>
      <rPr>
        <u/>
        <sz val="12"/>
        <color rgb="FFFF0000"/>
        <rFont val="Times New Roman"/>
        <family val="1"/>
        <charset val="204"/>
      </rPr>
      <t>каждый инжектор:</t>
    </r>
  </si>
  <si>
    <r>
      <rPr>
        <sz val="12"/>
        <rFont val="Times New Roman"/>
        <family val="1"/>
        <charset val="204"/>
      </rPr>
      <t xml:space="preserve"> поток </t>
    </r>
    <r>
      <rPr>
        <sz val="12"/>
        <color indexed="10"/>
        <rFont val="Times New Roman"/>
        <family val="1"/>
        <charset val="204"/>
      </rPr>
      <t xml:space="preserve">ДЕЙТЕРИЯ </t>
    </r>
    <r>
      <rPr>
        <sz val="12"/>
        <rFont val="Times New Roman"/>
        <family val="1"/>
        <charset val="204"/>
      </rPr>
      <t>в источники ионов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u/>
        <sz val="12"/>
        <color indexed="10"/>
        <rFont val="Times New Roman"/>
        <family val="1"/>
        <charset val="204"/>
      </rPr>
      <t>всех инж</t>
    </r>
    <r>
      <rPr>
        <u/>
        <sz val="12"/>
        <color indexed="10"/>
        <rFont val="Times New Roman"/>
        <family val="1"/>
        <charset val="204"/>
      </rPr>
      <t>.</t>
    </r>
    <r>
      <rPr>
        <sz val="12"/>
        <color indexed="10"/>
        <rFont val="Times New Roman"/>
        <family val="1"/>
        <charset val="204"/>
      </rPr>
      <t xml:space="preserve"> Inbi(1)</t>
    </r>
  </si>
  <si>
    <r>
      <rPr>
        <sz val="12"/>
        <rFont val="Times New Roman"/>
        <family val="1"/>
        <charset val="204"/>
      </rPr>
      <t xml:space="preserve">поток </t>
    </r>
    <r>
      <rPr>
        <sz val="12"/>
        <color indexed="10"/>
        <rFont val="Times New Roman"/>
        <family val="1"/>
        <charset val="204"/>
      </rPr>
      <t>ДЕЙТЕРИЯ</t>
    </r>
    <r>
      <rPr>
        <sz val="12"/>
        <rFont val="Times New Roman"/>
        <family val="1"/>
        <charset val="204"/>
      </rPr>
      <t xml:space="preserve"> в нейтрализаторы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u/>
        <sz val="12"/>
        <color indexed="10"/>
        <rFont val="Times New Roman"/>
        <family val="1"/>
        <charset val="204"/>
      </rPr>
      <t>всех инж</t>
    </r>
    <r>
      <rPr>
        <u/>
        <sz val="12"/>
        <color indexed="10"/>
        <rFont val="Times New Roman"/>
        <family val="1"/>
        <charset val="204"/>
      </rPr>
      <t>.</t>
    </r>
    <r>
      <rPr>
        <sz val="12"/>
        <color indexed="10"/>
        <rFont val="Times New Roman"/>
        <family val="1"/>
        <charset val="204"/>
      </rPr>
      <t xml:space="preserve"> Inbi(2)</t>
    </r>
  </si>
  <si>
    <t>для наших условий размер топливной пеллеты составляет</t>
  </si>
  <si>
    <t>прирост частиц D в ТЦ за счет пучка атомов из инжекторов (NBI)</t>
  </si>
  <si>
    <r>
      <t xml:space="preserve">дейтерий в виде пучка нейтралов </t>
    </r>
    <r>
      <rPr>
        <b/>
        <sz val="12"/>
        <color rgb="FF00B0F0"/>
        <rFont val="Times New Roman"/>
        <family val="1"/>
        <charset val="204"/>
      </rPr>
      <t>в VV</t>
    </r>
  </si>
  <si>
    <t xml:space="preserve">       для Вариантов II и III с замкнутым циклом NBI будет потеря частиц в инжекторах и их прирост в ТЦ! Частично они будут извлекаться в ISS и возвращаться в NBI</t>
  </si>
  <si>
    <t xml:space="preserve">...частично (недостаток) их потребуется вводить извне </t>
  </si>
  <si>
    <t xml:space="preserve">   для Вариантов II и III:</t>
  </si>
  <si>
    <t xml:space="preserve"> - потери за счет ввылета в тор (в общий ТЦ)</t>
  </si>
  <si>
    <t>D+T (1:1)</t>
  </si>
  <si>
    <t>D:Timp (1:0,05)</t>
  </si>
  <si>
    <t>D+T (но с замкнутым циклом)</t>
  </si>
  <si>
    <t xml:space="preserve">    (с учетом LFS-инжекции D) тогда нужно подавать гада столько, чтобы обеспечить </t>
  </si>
  <si>
    <t xml:space="preserve">    весь требуемый поток D</t>
  </si>
  <si>
    <r>
      <rPr>
        <sz val="12"/>
        <rFont val="Times New Roman"/>
        <family val="1"/>
        <charset val="204"/>
      </rPr>
      <t xml:space="preserve">    в ISS будет дополнительный поток Т из системы NBI.</t>
    </r>
    <r>
      <rPr>
        <b/>
        <sz val="12"/>
        <color rgb="FFFF0000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Это </t>
    </r>
    <r>
      <rPr>
        <b/>
        <u/>
        <sz val="12"/>
        <rFont val="Times New Roman"/>
        <family val="1"/>
        <charset val="204"/>
      </rPr>
      <t>уменьшает требуемый поток из IRS в ISS</t>
    </r>
    <r>
      <rPr>
        <b/>
        <sz val="12"/>
        <rFont val="Times New Roman"/>
        <family val="1"/>
        <charset val="204"/>
      </rPr>
      <t>!</t>
    </r>
  </si>
  <si>
    <r>
      <rPr>
        <b/>
        <u/>
        <sz val="12"/>
        <color theme="1"/>
        <rFont val="Times New Roman"/>
        <family val="1"/>
        <charset val="204"/>
      </rPr>
      <t>на выходе (!) системы</t>
    </r>
    <r>
      <rPr>
        <sz val="12"/>
        <color theme="1"/>
        <rFont val="Times New Roman"/>
        <family val="1"/>
        <charset val="204"/>
      </rPr>
      <t xml:space="preserve"> требуется поток T </t>
    </r>
  </si>
  <si>
    <t>(потребность по Т или по D - условие достаточности)</t>
  </si>
  <si>
    <t>весь поток Т со входа (!) вистемы (ISS) пойдет на её выход!</t>
  </si>
  <si>
    <t>считаем, что весь дейтерий попадет на выход системы</t>
  </si>
  <si>
    <t xml:space="preserve">поток в ISS из IRS </t>
  </si>
  <si>
    <t xml:space="preserve">с учетом потока Т из NBI </t>
  </si>
  <si>
    <t xml:space="preserve">в VV будет вводиться T (поток из ISS) </t>
  </si>
  <si>
    <t xml:space="preserve">в VV будет вводиться D (поток из ISS)  </t>
  </si>
  <si>
    <t xml:space="preserve">ПОТЕРИ (величина положительная), в том числе частиц из NBI </t>
  </si>
  <si>
    <r>
      <t xml:space="preserve">будет </t>
    </r>
    <r>
      <rPr>
        <b/>
        <sz val="12"/>
        <color rgb="FF00B0F0"/>
        <rFont val="Times New Roman"/>
        <family val="1"/>
        <charset val="204"/>
      </rPr>
      <t>ЧАСТИЧНО</t>
    </r>
    <r>
      <rPr>
        <sz val="12"/>
        <color rgb="FF00B0F0"/>
        <rFont val="Times New Roman"/>
        <family val="1"/>
        <charset val="204"/>
      </rPr>
      <t xml:space="preserve"> компенсировать потери из NBI</t>
    </r>
  </si>
  <si>
    <t xml:space="preserve"> -NBI</t>
  </si>
  <si>
    <t xml:space="preserve"> -GIS</t>
  </si>
  <si>
    <t xml:space="preserve"> - потери за счет ввылета в тор из инжектора</t>
  </si>
  <si>
    <t>компенсация выгорания осуществляется в IRS</t>
  </si>
  <si>
    <r>
      <t xml:space="preserve">вентиляция VV </t>
    </r>
    <r>
      <rPr>
        <b/>
        <sz val="12"/>
        <rFont val="Times New Roman"/>
        <family val="1"/>
        <charset val="204"/>
      </rPr>
      <t>(PUFF)</t>
    </r>
    <r>
      <rPr>
        <sz val="12"/>
        <rFont val="Times New Roman"/>
        <family val="1"/>
        <charset val="204"/>
      </rPr>
      <t xml:space="preserve"> осуществляется потоком </t>
    </r>
    <r>
      <rPr>
        <b/>
        <sz val="12"/>
        <rFont val="Times New Roman"/>
        <family val="1"/>
        <charset val="204"/>
      </rPr>
      <t/>
    </r>
  </si>
  <si>
    <r>
      <t xml:space="preserve">вентиляция VV </t>
    </r>
    <r>
      <rPr>
        <b/>
        <sz val="12"/>
        <rFont val="Times New Roman"/>
        <family val="1"/>
        <charset val="204"/>
      </rPr>
      <t xml:space="preserve">(PUFF) </t>
    </r>
    <r>
      <rPr>
        <sz val="12"/>
        <color rgb="FFFF0000"/>
        <rFont val="Times New Roman"/>
        <family val="1"/>
        <charset val="204"/>
      </rPr>
      <t>+питание NBI</t>
    </r>
    <r>
      <rPr>
        <sz val="12"/>
        <rFont val="Times New Roman"/>
        <family val="1"/>
        <charset val="204"/>
      </rPr>
      <t xml:space="preserve"> осуществляется потоком </t>
    </r>
    <r>
      <rPr>
        <b/>
        <sz val="12"/>
        <rFont val="Times New Roman"/>
        <family val="1"/>
        <charset val="204"/>
      </rPr>
      <t/>
    </r>
  </si>
  <si>
    <r>
      <rPr>
        <b/>
        <u/>
        <sz val="12"/>
        <color indexed="10"/>
        <rFont val="Times New Roman"/>
        <family val="1"/>
        <charset val="204"/>
      </rPr>
      <t>Поток через системы ТЦ</t>
    </r>
    <r>
      <rPr>
        <u/>
        <sz val="12"/>
        <color indexed="10"/>
        <rFont val="Times New Roman"/>
        <family val="1"/>
        <charset val="204"/>
      </rPr>
      <t xml:space="preserve">  </t>
    </r>
  </si>
  <si>
    <t xml:space="preserve">из балона в ТЦ    </t>
  </si>
  <si>
    <r>
      <t>откачка суммарная (</t>
    </r>
    <r>
      <rPr>
        <b/>
        <sz val="12"/>
        <color rgb="FF00B0F0"/>
        <rFont val="Times New Roman"/>
        <family val="1"/>
        <charset val="204"/>
      </rPr>
      <t>Гp</t>
    </r>
    <r>
      <rPr>
        <sz val="12"/>
        <color rgb="FF00B0F0"/>
        <rFont val="Times New Roman"/>
        <family val="1"/>
        <charset val="204"/>
      </rPr>
      <t xml:space="preserve">)  .     </t>
    </r>
  </si>
  <si>
    <t>(так, чтобы этими потерями  можно был пренебречь!)</t>
  </si>
  <si>
    <r>
      <t xml:space="preserve">При этом можно принять что в качестве </t>
    </r>
    <r>
      <rPr>
        <b/>
        <sz val="12"/>
        <color theme="1"/>
        <rFont val="Times New Roman"/>
        <family val="1"/>
        <charset val="204"/>
      </rPr>
      <t>ВЫХОДНОГО</t>
    </r>
    <r>
      <rPr>
        <sz val="12"/>
        <color theme="1"/>
        <rFont val="Times New Roman"/>
        <family val="1"/>
        <charset val="204"/>
      </rPr>
      <t xml:space="preserve"> </t>
    </r>
  </si>
  <si>
    <t xml:space="preserve">потока мы сможем иметь &gt; 99% от ведичины входного </t>
  </si>
  <si>
    <t xml:space="preserve"> // во II случае нужно возвращать в NBI весь Т, вылетевший в VV в процессе инжекции!</t>
  </si>
  <si>
    <t xml:space="preserve"> // тут тоже будет возврат!!!</t>
  </si>
  <si>
    <t xml:space="preserve">для Варианта II поток не в GIS а в NBI </t>
  </si>
  <si>
    <t xml:space="preserve"> -GIS </t>
  </si>
  <si>
    <r>
      <t xml:space="preserve">в результате работы NBI на криопанелях </t>
    </r>
    <r>
      <rPr>
        <b/>
        <sz val="12"/>
        <color indexed="10"/>
        <rFont val="Times New Roman"/>
        <family val="1"/>
        <charset val="204"/>
      </rPr>
      <t>одного инжектора</t>
    </r>
    <r>
      <rPr>
        <sz val="12"/>
        <color indexed="8"/>
        <rFont val="Times New Roman"/>
        <family val="1"/>
        <charset val="204"/>
      </rPr>
      <t xml:space="preserve"> будет намораживаться N(nbi) частиц</t>
    </r>
    <r>
      <rPr>
        <sz val="12"/>
        <rFont val="Times New Roman"/>
        <family val="1"/>
        <charset val="204"/>
      </rPr>
      <t xml:space="preserve"> </t>
    </r>
    <r>
      <rPr>
        <sz val="12"/>
        <color rgb="FF00B050"/>
        <rFont val="Times New Roman"/>
        <family val="1"/>
        <charset val="204"/>
      </rPr>
      <t>(что в результате расхолаживания будет давать поток в систему откачки)</t>
    </r>
  </si>
  <si>
    <r>
      <t xml:space="preserve">   в результате работы NBI на криопанелях </t>
    </r>
    <r>
      <rPr>
        <b/>
        <sz val="12"/>
        <color indexed="10"/>
        <rFont val="Times New Roman"/>
        <family val="1"/>
        <charset val="204"/>
      </rPr>
      <t>одного инжектора</t>
    </r>
    <r>
      <rPr>
        <sz val="12"/>
        <color indexed="8"/>
        <rFont val="Times New Roman"/>
        <family val="1"/>
        <charset val="204"/>
      </rPr>
      <t xml:space="preserve"> будет намораживаться N(nbi) частиц</t>
    </r>
    <r>
      <rPr>
        <sz val="12"/>
        <color rgb="FF00B050"/>
        <rFont val="Times New Roman"/>
        <family val="1"/>
        <charset val="204"/>
      </rPr>
      <t xml:space="preserve"> (что в результате расхолаживания будет давать поток в систему мембранной очистки)</t>
    </r>
  </si>
  <si>
    <r>
      <t>поток на выходе IRS</t>
    </r>
    <r>
      <rPr>
        <sz val="12"/>
        <color rgb="FF00B0F0"/>
        <rFont val="Times New Roman"/>
        <family val="1"/>
        <charset val="204"/>
      </rPr>
      <t xml:space="preserve"> в NBI</t>
    </r>
  </si>
  <si>
    <t xml:space="preserve"> и GIS</t>
  </si>
  <si>
    <t xml:space="preserve"> // НУЖНО ТОЛЬКО ВОСПОЛНЯТЬ ПОТОК ДЕЙТЕРИЯ ИЗ ИНЖЕКТОРОВ</t>
  </si>
  <si>
    <t xml:space="preserve"> // поток с криопанелей NBI не считаем, так как ону находится в системе газоснабжения NBI</t>
  </si>
  <si>
    <t xml:space="preserve">считаем, что вытекания газа из инжектора НЕТ </t>
  </si>
  <si>
    <r>
      <t xml:space="preserve">поток Т из ISS </t>
    </r>
    <r>
      <rPr>
        <b/>
        <sz val="12"/>
        <color rgb="FFFF0000"/>
        <rFont val="Times New Roman"/>
        <family val="1"/>
        <charset val="204"/>
      </rPr>
      <t>в GIS</t>
    </r>
  </si>
  <si>
    <r>
      <t xml:space="preserve">поток D из ISS </t>
    </r>
    <r>
      <rPr>
        <b/>
        <sz val="12"/>
        <color rgb="FFFF0000"/>
        <rFont val="Times New Roman"/>
        <family val="1"/>
        <charset val="204"/>
      </rPr>
      <t>в GIS</t>
    </r>
  </si>
  <si>
    <t xml:space="preserve"> =B99+B37-B99-'[динамика трития в инжекторах.xlsx]динамика трития в инжекторах'!$I$124</t>
  </si>
  <si>
    <t xml:space="preserve"> =B176-B100+B209-B213+B10+(-'[динамика трития в инжекторах.xlsx]динамика трития в инжекторах'!F12)+(-'[динамика трития в инжекторах.xlsx]динамика трития в инжекторах'!F12)</t>
  </si>
  <si>
    <t xml:space="preserve"> =B175-B99+B208-B212-B37-B37+B10+'[динамика трития в инжекторах.xlsx]динамика трития в инжекторах'!$I$124</t>
  </si>
  <si>
    <t xml:space="preserve">// тритий в NBI нужен для компенсации вылета частиц из D+T инжекторов </t>
  </si>
  <si>
    <t>// для III варианта тритий НЕ нужен совсем</t>
  </si>
  <si>
    <t>первоначальная загрузка T</t>
  </si>
  <si>
    <r>
      <t xml:space="preserve">(количество D на установке) </t>
    </r>
    <r>
      <rPr>
        <b/>
        <sz val="12"/>
        <color rgb="FF00B050"/>
        <rFont val="Times New Roman"/>
        <family val="1"/>
        <charset val="204"/>
      </rPr>
      <t>первоначальная загрузка D</t>
    </r>
  </si>
  <si>
    <t>возобновление потерь Т (из геттера)</t>
  </si>
  <si>
    <t>(включая хранение Т на случай отключения бридера)</t>
  </si>
  <si>
    <t>инжекторов</t>
  </si>
  <si>
    <t>в работе</t>
  </si>
  <si>
    <t>μ = Aμ pn^Bμ Psol^Cμ CNe^Dμ</t>
  </si>
  <si>
    <t>u = Au μ^BuPsol^Cu CNe^Du</t>
  </si>
  <si>
    <t>(3)</t>
  </si>
  <si>
    <t>(4)</t>
  </si>
  <si>
    <t>B</t>
  </si>
  <si>
    <t>C</t>
  </si>
  <si>
    <t xml:space="preserve">μ </t>
  </si>
  <si>
    <t xml:space="preserve">Γ0sep, 10^20 s−1 </t>
  </si>
  <si>
    <t xml:space="preserve">ne_sep, 10^20 m−3 </t>
  </si>
  <si>
    <t>// ITER-like (90%)</t>
  </si>
  <si>
    <t xml:space="preserve">30 шаг </t>
  </si>
  <si>
    <t>S_pel</t>
  </si>
  <si>
    <t>S_pel+Snb</t>
  </si>
  <si>
    <t>S_sep</t>
  </si>
  <si>
    <t xml:space="preserve"> нами будут рассмотрены ТРИ  варианта ТЦ для инжекторов </t>
  </si>
  <si>
    <t>NplasmaD= Vplasma × npl × (1-fT) =</t>
  </si>
  <si>
    <t>(closed loop)</t>
  </si>
  <si>
    <t>loop</t>
  </si>
  <si>
    <t>Snb</t>
  </si>
  <si>
    <t>Spel</t>
  </si>
  <si>
    <t>Stot</t>
  </si>
  <si>
    <t>ST_sep</t>
  </si>
  <si>
    <t>SD_sep</t>
  </si>
  <si>
    <t>Sout</t>
  </si>
  <si>
    <t>разница</t>
  </si>
  <si>
    <t>в начале</t>
  </si>
  <si>
    <t>Slosses,nb</t>
  </si>
  <si>
    <t>S_out</t>
  </si>
  <si>
    <r>
      <t>P</t>
    </r>
    <r>
      <rPr>
        <b/>
        <sz val="8"/>
        <color theme="1"/>
        <rFont val="Times New Roman"/>
        <family val="1"/>
        <charset val="204"/>
      </rPr>
      <t>EC</t>
    </r>
    <r>
      <rPr>
        <b/>
        <sz val="12"/>
        <color theme="1"/>
        <rFont val="Times New Roman"/>
        <family val="1"/>
        <charset val="204"/>
      </rPr>
      <t xml:space="preserve"> = </t>
    </r>
  </si>
  <si>
    <t>f(T,div)</t>
  </si>
  <si>
    <t>NcoreT= NsepT+SNB T·tau_NB + Spel T·tau_pel + Ssep T·tau_sep - Sfus T·tau_tot</t>
  </si>
  <si>
    <t>n_D+n_T</t>
  </si>
  <si>
    <r>
      <t>(n_D+n_T)</t>
    </r>
    <r>
      <rPr>
        <sz val="9"/>
        <color theme="1"/>
        <rFont val="Times New Roman"/>
        <family val="1"/>
        <charset val="204"/>
      </rPr>
      <t>sep</t>
    </r>
  </si>
  <si>
    <r>
      <t>tau_</t>
    </r>
    <r>
      <rPr>
        <vertAlign val="subscript"/>
        <sz val="12"/>
        <color theme="1"/>
        <rFont val="Times New Roman"/>
        <family val="1"/>
        <charset val="204"/>
      </rPr>
      <t xml:space="preserve">NB  </t>
    </r>
  </si>
  <si>
    <t xml:space="preserve">tau_pel </t>
  </si>
  <si>
    <t xml:space="preserve">tau_sep </t>
  </si>
  <si>
    <r>
      <t>Для термоядерного горения необходимо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>поддерживать кол-во топлива</t>
    </r>
    <r>
      <rPr>
        <sz val="12"/>
        <rFont val="Times New Roman"/>
        <family val="1"/>
        <charset val="204"/>
      </rPr>
      <t>:</t>
    </r>
  </si>
  <si>
    <t>NsepT</t>
  </si>
  <si>
    <r>
      <t>Ncore</t>
    </r>
    <r>
      <rPr>
        <sz val="12"/>
        <rFont val="Times New Roman"/>
        <family val="1"/>
        <charset val="204"/>
      </rPr>
      <t>T= Vplasma × npl × fT =</t>
    </r>
  </si>
  <si>
    <t>n(D+T)</t>
  </si>
  <si>
    <r>
      <t xml:space="preserve">Для термоядерного горения необходимо </t>
    </r>
    <r>
      <rPr>
        <b/>
        <sz val="12"/>
        <rFont val="Times New Roman"/>
        <family val="1"/>
        <charset val="204"/>
      </rPr>
      <t>поддерживать кол-во топлива</t>
    </r>
    <r>
      <rPr>
        <sz val="12"/>
        <rFont val="Times New Roman"/>
        <family val="1"/>
        <charset val="204"/>
      </rPr>
      <t>:</t>
    </r>
  </si>
  <si>
    <t>NcoreD= NsepD+SNB D·tau_NB + Spel D·tau_pel + Ssep D·tau_sep - Sfus D·tau_tot</t>
  </si>
  <si>
    <r>
      <t>fcore</t>
    </r>
    <r>
      <rPr>
        <vertAlign val="superscript"/>
        <sz val="12"/>
        <color rgb="FFFF0000"/>
        <rFont val="Times New Roman"/>
        <family val="1"/>
        <charset val="204"/>
      </rPr>
      <t>T</t>
    </r>
  </si>
  <si>
    <r>
      <t xml:space="preserve"> - потеря частиц через сепаратрису </t>
    </r>
    <r>
      <rPr>
        <b/>
        <sz val="12"/>
        <color theme="1"/>
        <rFont val="Times New Roman"/>
        <family val="1"/>
        <charset val="204"/>
      </rPr>
      <t>Sout T</t>
    </r>
  </si>
  <si>
    <r>
      <t xml:space="preserve">  </t>
    </r>
    <r>
      <rPr>
        <sz val="12"/>
        <color theme="1"/>
        <rFont val="Times New Roman"/>
        <family val="1"/>
        <charset val="204"/>
      </rPr>
      <t>- выгорание</t>
    </r>
    <r>
      <rPr>
        <b/>
        <sz val="12"/>
        <color theme="1"/>
        <rFont val="Times New Roman"/>
        <family val="1"/>
        <charset val="204"/>
      </rPr>
      <t xml:space="preserve"> NfusT =</t>
    </r>
  </si>
  <si>
    <r>
      <t xml:space="preserve"> - поток частиц из дивертора </t>
    </r>
    <r>
      <rPr>
        <b/>
        <sz val="12"/>
        <color theme="1"/>
        <rFont val="Times New Roman"/>
        <family val="1"/>
        <charset val="204"/>
      </rPr>
      <t>SsepТ</t>
    </r>
  </si>
  <si>
    <t>fcoreD</t>
  </si>
  <si>
    <t>NsepD</t>
  </si>
  <si>
    <r>
      <t xml:space="preserve">  </t>
    </r>
    <r>
      <rPr>
        <sz val="12"/>
        <color theme="1"/>
        <rFont val="Times New Roman"/>
        <family val="1"/>
        <charset val="204"/>
      </rPr>
      <t>- выгорание</t>
    </r>
    <r>
      <rPr>
        <b/>
        <sz val="12"/>
        <color theme="1"/>
        <rFont val="Times New Roman"/>
        <family val="1"/>
        <charset val="204"/>
      </rPr>
      <t xml:space="preserve"> NfusD =</t>
    </r>
  </si>
  <si>
    <r>
      <t xml:space="preserve"> - поток частиц из дивертора </t>
    </r>
    <r>
      <rPr>
        <b/>
        <sz val="12"/>
        <color theme="1"/>
        <rFont val="Times New Roman"/>
        <family val="1"/>
        <charset val="204"/>
      </rPr>
      <t>SsepD</t>
    </r>
  </si>
  <si>
    <r>
      <t xml:space="preserve"> - потеря частиц через сепаратрису </t>
    </r>
    <r>
      <rPr>
        <b/>
        <sz val="12"/>
        <color theme="1"/>
        <rFont val="Times New Roman"/>
        <family val="1"/>
        <charset val="204"/>
      </rPr>
      <t>Sout D</t>
    </r>
  </si>
  <si>
    <t>840(1150)</t>
  </si>
  <si>
    <t>530(850)</t>
  </si>
  <si>
    <t>всего</t>
  </si>
  <si>
    <t>без запасов от бланкета</t>
  </si>
  <si>
    <t>// Т=600К</t>
  </si>
  <si>
    <r>
      <t>S</t>
    </r>
    <r>
      <rPr>
        <vertAlign val="subscript"/>
        <sz val="12"/>
        <color theme="1"/>
        <rFont val="Times New Roman"/>
        <family val="1"/>
        <charset val="204"/>
      </rPr>
      <t>GIS</t>
    </r>
    <r>
      <rPr>
        <sz val="12"/>
        <color theme="1"/>
        <rFont val="Times New Roman"/>
        <family val="1"/>
        <charset val="204"/>
      </rPr>
      <t>T</t>
    </r>
  </si>
  <si>
    <r>
      <t>S</t>
    </r>
    <r>
      <rPr>
        <vertAlign val="subscript"/>
        <sz val="12"/>
        <color rgb="FF0070C0"/>
        <rFont val="Times New Roman"/>
        <family val="1"/>
        <charset val="204"/>
      </rPr>
      <t>GIS</t>
    </r>
    <r>
      <rPr>
        <sz val="12"/>
        <color rgb="FF0070C0"/>
        <rFont val="Times New Roman"/>
        <family val="1"/>
        <charset val="204"/>
      </rPr>
      <t>D</t>
    </r>
  </si>
  <si>
    <t>tau*tot</t>
  </si>
  <si>
    <t>Гр_T=Spuff_T+Ssep_T-S0_sep_T=</t>
  </si>
  <si>
    <t>Гр_D=Spuff_D+Ssep_D-S0_sep_D=</t>
  </si>
  <si>
    <t xml:space="preserve">Spuff_T = PnCp-Sout+So_sep   </t>
  </si>
  <si>
    <t xml:space="preserve">Spuff_D = PnCp-Sout+So_sep   </t>
  </si>
  <si>
    <t>моль/час</t>
  </si>
  <si>
    <t>Spel_HFS+Spel_LFS</t>
  </si>
  <si>
    <r>
      <rPr>
        <sz val="12"/>
        <rFont val="Times New Roman"/>
        <family val="1"/>
        <charset val="204"/>
      </rPr>
      <t xml:space="preserve">предполагаемая подпитка </t>
    </r>
    <r>
      <rPr>
        <b/>
        <sz val="12"/>
        <rFont val="Times New Roman"/>
        <family val="1"/>
        <charset val="204"/>
      </rPr>
      <t>Gpel = Spel_HFS+Spel_LFS =</t>
    </r>
  </si>
  <si>
    <t xml:space="preserve">ST_out= </t>
  </si>
  <si>
    <t xml:space="preserve">SD_out= </t>
  </si>
  <si>
    <r>
      <rPr>
        <b/>
        <sz val="12"/>
        <color theme="1"/>
        <rFont val="Times New Roman"/>
        <family val="1"/>
        <charset val="204"/>
      </rPr>
      <t>ST_out</t>
    </r>
    <r>
      <rPr>
        <sz val="12"/>
        <color theme="1"/>
        <rFont val="Times New Roman"/>
        <family val="1"/>
        <charset val="204"/>
      </rPr>
      <t xml:space="preserve">=S_nb+S_pel+S0_sep-N_fus= </t>
    </r>
  </si>
  <si>
    <r>
      <rPr>
        <b/>
        <sz val="12"/>
        <color rgb="FF0070C0"/>
        <rFont val="Times New Roman"/>
        <family val="1"/>
        <charset val="204"/>
      </rPr>
      <t>SD_out</t>
    </r>
    <r>
      <rPr>
        <sz val="12"/>
        <color rgb="FF0070C0"/>
        <rFont val="Times New Roman"/>
        <family val="1"/>
        <charset val="204"/>
      </rPr>
      <t xml:space="preserve">=S_nb+S_pel+S0_sep-N_fus= </t>
    </r>
  </si>
  <si>
    <t>поток газа на вход ISS: D+T</t>
  </si>
  <si>
    <t>потребность в целевом изотопе (Т):</t>
  </si>
  <si>
    <t>Gas supply to heating injectors</t>
  </si>
  <si>
    <t>Pellet fuel injection</t>
  </si>
  <si>
    <t>Gas puff</t>
  </si>
  <si>
    <t>Pumping</t>
  </si>
  <si>
    <t>Т breeding and extraction</t>
  </si>
  <si>
    <t>Li-loop on the FW and/or in divertor</t>
  </si>
  <si>
    <t>FW and divertor cooling and T extracting</t>
  </si>
  <si>
    <t>Membrane permeation</t>
  </si>
  <si>
    <t>Chemical H-compounds decomposition</t>
  </si>
  <si>
    <t>Isotope separation</t>
  </si>
  <si>
    <t>Detritiation of gas in heating injectors</t>
  </si>
  <si>
    <t>Plasma core</t>
  </si>
  <si>
    <t xml:space="preserve">Backup storage </t>
  </si>
  <si>
    <t>Long-term storage (after a year)</t>
  </si>
  <si>
    <t>Manifolds, receivers, etc.</t>
  </si>
  <si>
    <t>In construction materials</t>
  </si>
  <si>
    <t>Total amount</t>
  </si>
  <si>
    <t>kg</t>
  </si>
  <si>
    <t>считается, что в одной пеллете может содержаться не более X% частиц от их количества в плазме, тогда</t>
  </si>
  <si>
    <t xml:space="preserve">     считается, что в одной пеллете может содержаться не более X% частиц от их количества в плазме, тогда</t>
  </si>
  <si>
    <t>ГpD</t>
  </si>
  <si>
    <t>ГpT</t>
  </si>
  <si>
    <t>ST_nb·τnb</t>
  </si>
  <si>
    <t>SD_nb·τnb</t>
  </si>
  <si>
    <t>ST_pel·τpel</t>
  </si>
  <si>
    <t>SD_pel·τpel</t>
  </si>
  <si>
    <t>ST_sep·τsep</t>
  </si>
  <si>
    <t>SD_sep·τsep</t>
  </si>
  <si>
    <t>Fusion</t>
  </si>
  <si>
    <t>итого вклад</t>
  </si>
  <si>
    <t xml:space="preserve"> в плотность core</t>
  </si>
  <si>
    <t>Sgis=</t>
  </si>
  <si>
    <t>поток газа Sgis должен обеспечить требуемое давление в диверторе!</t>
  </si>
  <si>
    <t>поток газа через газовые клапаны Sgis</t>
  </si>
  <si>
    <t>есть</t>
  </si>
  <si>
    <t>нужно</t>
  </si>
  <si>
    <t>*10^19 1/c</t>
  </si>
  <si>
    <t>2*20=40</t>
  </si>
  <si>
    <t>2*x=40-Sgis+Sgis*</t>
  </si>
  <si>
    <t>x=(1,93-0,3+2)/2</t>
  </si>
  <si>
    <t xml:space="preserve">интегральные потери D+T </t>
  </si>
  <si>
    <t>раз</t>
  </si>
  <si>
    <t>выгорание (D+T)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</si>
</sst>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0.000"/>
    <numFmt numFmtId="165" formatCode="#,##0.000"/>
    <numFmt numFmtId="166" formatCode="#,##0.000000"/>
    <numFmt numFmtId="167" formatCode="#,##0.0000"/>
    <numFmt numFmtId="168" formatCode="0.0"/>
    <numFmt numFmtId="169" formatCode="0.00000"/>
    <numFmt numFmtId="170" formatCode="0.E+00"/>
    <numFmt numFmtId="171" formatCode="0.0E+00"/>
    <numFmt numFmtId="172" formatCode="#,##0.0"/>
    <numFmt numFmtId="173" formatCode="#,##0.0000000"/>
    <numFmt numFmtId="174" formatCode="0.0%"/>
    <numFmt numFmtId="175" formatCode="0.0000000000E+00"/>
    <numFmt numFmtId="176" formatCode="0.0000"/>
    <numFmt numFmtId="177" formatCode="#,##0.00000"/>
    <numFmt numFmtId="178" formatCode="0.000E+00"/>
    <numFmt numFmtId="179" formatCode="0.000000"/>
    <numFmt numFmtId="180" formatCode="0.000%"/>
  </numFmts>
  <fonts count="9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2"/>
      <color indexed="3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4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2"/>
      <color indexed="10"/>
      <name val="Times New Roman"/>
      <family val="1"/>
      <charset val="204"/>
    </font>
    <font>
      <b/>
      <u/>
      <sz val="12"/>
      <name val="Times New Roman"/>
      <family val="1"/>
      <charset val="204"/>
    </font>
    <font>
      <b/>
      <sz val="12"/>
      <color indexed="36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u/>
      <sz val="12"/>
      <color indexed="10"/>
      <name val="Times New Roman"/>
      <family val="1"/>
      <charset val="204"/>
    </font>
    <font>
      <i/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u/>
      <sz val="12"/>
      <color rgb="FF00B0F0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2"/>
      <color rgb="FF7030A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u/>
      <sz val="12"/>
      <color rgb="FF00B050"/>
      <name val="Times New Roman"/>
      <family val="1"/>
      <charset val="204"/>
    </font>
    <font>
      <sz val="12"/>
      <color rgb="FFFFC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u/>
      <sz val="12"/>
      <color theme="2" tint="-0.749992370372631"/>
      <name val="Times New Roman"/>
      <family val="1"/>
      <charset val="204"/>
    </font>
    <font>
      <b/>
      <sz val="12"/>
      <color rgb="FFFFC000"/>
      <name val="Times New Roman"/>
      <family val="1"/>
      <charset val="204"/>
    </font>
    <font>
      <b/>
      <u/>
      <sz val="12"/>
      <color rgb="FFFFC000"/>
      <name val="Times New Roman"/>
      <family val="1"/>
      <charset val="204"/>
    </font>
    <font>
      <b/>
      <u/>
      <sz val="12"/>
      <color rgb="FF00B050"/>
      <name val="Times New Roman"/>
      <family val="1"/>
      <charset val="204"/>
    </font>
    <font>
      <b/>
      <u/>
      <sz val="12"/>
      <color rgb="FF7030A0"/>
      <name val="Times New Roman"/>
      <family val="1"/>
      <charset val="204"/>
    </font>
    <font>
      <b/>
      <u/>
      <sz val="12"/>
      <color theme="5" tint="-0.249977111117893"/>
      <name val="Times New Roman"/>
      <family val="1"/>
      <charset val="204"/>
    </font>
    <font>
      <b/>
      <u/>
      <sz val="12"/>
      <color theme="2" tint="-0.499984740745262"/>
      <name val="Times New Roman"/>
      <family val="1"/>
      <charset val="204"/>
    </font>
    <font>
      <b/>
      <u/>
      <sz val="12"/>
      <color rgb="FF0070C0"/>
      <name val="Times New Roman"/>
      <family val="1"/>
      <charset val="204"/>
    </font>
    <font>
      <b/>
      <i/>
      <u/>
      <sz val="12"/>
      <color rgb="FF00B0F0"/>
      <name val="Times New Roman"/>
      <family val="1"/>
      <charset val="204"/>
    </font>
    <font>
      <sz val="12"/>
      <color rgb="FF00FF00"/>
      <name val="Times New Roman"/>
      <family val="1"/>
      <charset val="204"/>
    </font>
    <font>
      <b/>
      <i/>
      <sz val="12"/>
      <color rgb="FF00B050"/>
      <name val="Times New Roman"/>
      <family val="1"/>
      <charset val="204"/>
    </font>
    <font>
      <b/>
      <sz val="12"/>
      <color rgb="FF00FF00"/>
      <name val="Times New Roman"/>
      <family val="1"/>
      <charset val="204"/>
    </font>
    <font>
      <i/>
      <sz val="12"/>
      <color rgb="FF00B0F0"/>
      <name val="Times New Roman"/>
      <family val="1"/>
      <charset val="204"/>
    </font>
    <font>
      <sz val="12"/>
      <color rgb="FFFF00FF"/>
      <name val="Times New Roman"/>
      <family val="1"/>
      <charset val="204"/>
    </font>
    <font>
      <sz val="12"/>
      <color theme="0" tint="-0.34998626667073579"/>
      <name val="Times New Roman"/>
      <family val="1"/>
      <charset val="204"/>
    </font>
    <font>
      <vertAlign val="subscript"/>
      <sz val="12"/>
      <color rgb="FF00B0F0"/>
      <name val="Times New Roman"/>
      <family val="1"/>
      <charset val="204"/>
    </font>
    <font>
      <u/>
      <sz val="12"/>
      <color rgb="FF00B0F0"/>
      <name val="Times New Roman"/>
      <family val="1"/>
      <charset val="204"/>
    </font>
    <font>
      <sz val="12"/>
      <color theme="0" tint="-0.249977111117893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2"/>
      <color rgb="FFFF99FF"/>
      <name val="Times New Roman"/>
      <family val="1"/>
      <charset val="204"/>
    </font>
    <font>
      <b/>
      <sz val="12"/>
      <color rgb="FFFF00FF"/>
      <name val="Times New Roman"/>
      <family val="1"/>
      <charset val="204"/>
    </font>
    <font>
      <b/>
      <u/>
      <sz val="12"/>
      <color rgb="FFFF00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color rgb="FF00B0F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sz val="14"/>
      <color rgb="FF00B0F0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sz val="12"/>
      <color theme="0" tint="-0.14999847407452621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vertAlign val="subscript"/>
      <sz val="16"/>
      <color rgb="FFFF0000"/>
      <name val="Times New Roman"/>
      <family val="1"/>
      <charset val="204"/>
    </font>
    <font>
      <i/>
      <sz val="12"/>
      <color rgb="FF00B050"/>
      <name val="Times New Roman"/>
      <family val="1"/>
      <charset val="204"/>
    </font>
    <font>
      <u/>
      <sz val="12"/>
      <color rgb="FF0070C0"/>
      <name val="Times New Roman"/>
      <family val="1"/>
      <charset val="204"/>
    </font>
    <font>
      <u/>
      <sz val="8"/>
      <color theme="1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b/>
      <i/>
      <u/>
      <sz val="12"/>
      <color rgb="FFFF0000"/>
      <name val="Times New Roman"/>
      <family val="1"/>
      <charset val="204"/>
    </font>
    <font>
      <u/>
      <sz val="12"/>
      <color indexed="8"/>
      <name val="Times New Roman"/>
      <family val="1"/>
      <charset val="204"/>
    </font>
    <font>
      <b/>
      <sz val="12"/>
      <color theme="0" tint="-0.14999847407452621"/>
      <name val="Times New Roman"/>
      <family val="1"/>
      <charset val="204"/>
    </font>
    <font>
      <b/>
      <sz val="12"/>
      <color theme="0" tint="-0.249977111117893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perscript"/>
      <sz val="12"/>
      <color rgb="FFFF0000"/>
      <name val="Times New Roman"/>
      <family val="1"/>
      <charset val="204"/>
    </font>
    <font>
      <vertAlign val="subscript"/>
      <sz val="12"/>
      <color rgb="FF0070C0"/>
      <name val="Times New Roman"/>
      <family val="1"/>
      <charset val="204"/>
    </font>
    <font>
      <b/>
      <strike/>
      <sz val="12"/>
      <color rgb="FFFF000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23">
    <xf numFmtId="0" fontId="0" fillId="0" borderId="0" xfId="0"/>
    <xf numFmtId="0" fontId="3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 vertical="center"/>
    </xf>
    <xf numFmtId="0" fontId="22" fillId="0" borderId="0" xfId="0" applyFont="1" applyAlignment="1">
      <alignment horizontal="center"/>
    </xf>
    <xf numFmtId="0" fontId="3" fillId="0" borderId="0" xfId="0" applyFont="1" applyAlignment="1">
      <alignment horizontal="right" vertical="center" readingOrder="1"/>
    </xf>
    <xf numFmtId="0" fontId="20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left" vertical="center"/>
    </xf>
    <xf numFmtId="0" fontId="22" fillId="0" borderId="0" xfId="0" applyFont="1" applyFill="1" applyBorder="1" applyAlignment="1">
      <alignment horizontal="center"/>
    </xf>
    <xf numFmtId="0" fontId="25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2" fillId="0" borderId="0" xfId="0" applyNumberFormat="1" applyFont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" fontId="22" fillId="0" borderId="0" xfId="0" applyNumberFormat="1" applyFont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2" fillId="0" borderId="0" xfId="0" applyFont="1" applyFill="1" applyAlignment="1">
      <alignment horizontal="center"/>
    </xf>
    <xf numFmtId="11" fontId="22" fillId="0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" fillId="0" borderId="0" xfId="0" applyFont="1"/>
    <xf numFmtId="0" fontId="24" fillId="0" borderId="0" xfId="0" applyFont="1" applyFill="1" applyAlignment="1">
      <alignment horizontal="left" vertical="center"/>
    </xf>
    <xf numFmtId="2" fontId="22" fillId="3" borderId="1" xfId="0" applyNumberFormat="1" applyFont="1" applyFill="1" applyBorder="1" applyAlignment="1">
      <alignment horizontal="center" vertical="center"/>
    </xf>
    <xf numFmtId="4" fontId="22" fillId="0" borderId="0" xfId="0" applyNumberFormat="1" applyFont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/>
    <xf numFmtId="11" fontId="3" fillId="3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11" fontId="22" fillId="0" borderId="0" xfId="0" applyNumberFormat="1" applyFont="1" applyAlignment="1">
      <alignment vertical="center"/>
    </xf>
    <xf numFmtId="11" fontId="24" fillId="0" borderId="0" xfId="0" applyNumberFormat="1" applyFont="1" applyAlignment="1">
      <alignment horizontal="left"/>
    </xf>
    <xf numFmtId="11" fontId="22" fillId="0" borderId="0" xfId="0" applyNumberFormat="1" applyFont="1" applyAlignment="1">
      <alignment horizontal="center"/>
    </xf>
    <xf numFmtId="11" fontId="22" fillId="0" borderId="0" xfId="0" applyNumberFormat="1" applyFont="1" applyFill="1" applyAlignment="1">
      <alignment vertical="center"/>
    </xf>
    <xf numFmtId="11" fontId="24" fillId="0" borderId="0" xfId="0" applyNumberFormat="1" applyFont="1" applyAlignment="1">
      <alignment vertical="center"/>
    </xf>
    <xf numFmtId="11" fontId="22" fillId="3" borderId="1" xfId="0" applyNumberFormat="1" applyFont="1" applyFill="1" applyBorder="1" applyAlignment="1">
      <alignment horizontal="center" vertical="center"/>
    </xf>
    <xf numFmtId="11" fontId="22" fillId="0" borderId="0" xfId="0" applyNumberFormat="1" applyFont="1" applyFill="1" applyBorder="1" applyAlignment="1">
      <alignment horizontal="center" vertical="center"/>
    </xf>
    <xf numFmtId="11" fontId="10" fillId="0" borderId="0" xfId="0" applyNumberFormat="1" applyFont="1" applyAlignment="1">
      <alignment vertical="center"/>
    </xf>
    <xf numFmtId="0" fontId="25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11" fontId="22" fillId="3" borderId="0" xfId="0" applyNumberFormat="1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19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11" fontId="3" fillId="3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2" fillId="0" borderId="0" xfId="0" applyFont="1" applyFill="1"/>
    <xf numFmtId="0" fontId="22" fillId="0" borderId="0" xfId="0" applyFont="1" applyBorder="1" applyAlignment="1">
      <alignment horizontal="center" vertical="center"/>
    </xf>
    <xf numFmtId="0" fontId="22" fillId="7" borderId="0" xfId="0" applyFont="1" applyFill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right" vertical="center"/>
    </xf>
    <xf numFmtId="0" fontId="3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32" fillId="0" borderId="0" xfId="0" applyFont="1" applyBorder="1" applyAlignment="1">
      <alignment horizontal="center" vertical="center"/>
    </xf>
    <xf numFmtId="4" fontId="20" fillId="0" borderId="1" xfId="0" applyNumberFormat="1" applyFont="1" applyFill="1" applyBorder="1" applyAlignment="1">
      <alignment horizontal="center" vertical="center"/>
    </xf>
    <xf numFmtId="4" fontId="20" fillId="0" borderId="1" xfId="0" applyNumberFormat="1" applyFont="1" applyFill="1" applyBorder="1" applyAlignment="1">
      <alignment horizontal="center"/>
    </xf>
    <xf numFmtId="165" fontId="20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 vertical="center"/>
    </xf>
    <xf numFmtId="164" fontId="3" fillId="0" borderId="0" xfId="0" applyNumberFormat="1" applyFont="1" applyFill="1" applyBorder="1" applyAlignment="1">
      <alignment vertical="center"/>
    </xf>
    <xf numFmtId="2" fontId="22" fillId="0" borderId="0" xfId="0" applyNumberFormat="1" applyFont="1" applyAlignment="1">
      <alignment vertical="center"/>
    </xf>
    <xf numFmtId="11" fontId="22" fillId="0" borderId="0" xfId="0" applyNumberFormat="1" applyFont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11" fontId="3" fillId="0" borderId="0" xfId="0" applyNumberFormat="1" applyFont="1" applyFill="1" applyBorder="1" applyAlignment="1">
      <alignment horizontal="center"/>
    </xf>
    <xf numFmtId="11" fontId="22" fillId="0" borderId="0" xfId="0" applyNumberFormat="1" applyFont="1" applyAlignment="1">
      <alignment horizontal="left" vertical="center"/>
    </xf>
    <xf numFmtId="11" fontId="3" fillId="3" borderId="1" xfId="0" applyNumberFormat="1" applyFont="1" applyFill="1" applyBorder="1" applyAlignment="1">
      <alignment horizontal="center" vertical="center"/>
    </xf>
    <xf numFmtId="11" fontId="22" fillId="0" borderId="0" xfId="0" applyNumberFormat="1" applyFont="1" applyFill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11" fontId="3" fillId="0" borderId="0" xfId="0" applyNumberFormat="1" applyFont="1" applyFill="1" applyBorder="1" applyAlignment="1">
      <alignment vertical="center"/>
    </xf>
    <xf numFmtId="2" fontId="3" fillId="3" borderId="1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2" fontId="22" fillId="0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left"/>
    </xf>
    <xf numFmtId="1" fontId="22" fillId="0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20" fillId="0" borderId="0" xfId="0" applyNumberFormat="1" applyFont="1" applyAlignment="1">
      <alignment vertical="center"/>
    </xf>
    <xf numFmtId="0" fontId="22" fillId="0" borderId="0" xfId="0" applyFont="1" applyFill="1" applyBorder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11" fontId="25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2" fontId="22" fillId="5" borderId="1" xfId="0" applyNumberFormat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0" borderId="0" xfId="0" applyFont="1" applyAlignment="1">
      <alignment horizontal="left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4" fontId="22" fillId="0" borderId="0" xfId="0" applyNumberFormat="1" applyFont="1" applyFill="1" applyBorder="1" applyAlignment="1">
      <alignment vertical="center"/>
    </xf>
    <xf numFmtId="4" fontId="22" fillId="3" borderId="1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 vertical="center"/>
    </xf>
    <xf numFmtId="166" fontId="22" fillId="0" borderId="0" xfId="0" applyNumberFormat="1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33" fillId="0" borderId="0" xfId="0" applyFont="1" applyAlignment="1">
      <alignment horizontal="right" vertical="center"/>
    </xf>
    <xf numFmtId="0" fontId="27" fillId="0" borderId="0" xfId="0" applyFont="1"/>
    <xf numFmtId="0" fontId="20" fillId="0" borderId="0" xfId="0" applyFont="1" applyFill="1" applyAlignment="1">
      <alignment horizontal="center" vertical="center"/>
    </xf>
    <xf numFmtId="4" fontId="22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4" fontId="26" fillId="0" borderId="0" xfId="0" applyNumberFormat="1" applyFont="1" applyFill="1" applyBorder="1" applyAlignment="1">
      <alignment horizontal="left"/>
    </xf>
    <xf numFmtId="0" fontId="32" fillId="0" borderId="0" xfId="0" applyFont="1" applyFill="1" applyBorder="1" applyAlignment="1">
      <alignment horizontal="left" vertical="center"/>
    </xf>
    <xf numFmtId="4" fontId="33" fillId="0" borderId="0" xfId="0" applyNumberFormat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11" fontId="34" fillId="0" borderId="0" xfId="0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10" fontId="22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167" fontId="22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right" vertical="center"/>
    </xf>
    <xf numFmtId="4" fontId="22" fillId="0" borderId="0" xfId="0" applyNumberFormat="1" applyFont="1" applyFill="1" applyAlignment="1">
      <alignment horizontal="left" vertical="center"/>
    </xf>
    <xf numFmtId="2" fontId="27" fillId="0" borderId="0" xfId="0" applyNumberFormat="1" applyFont="1" applyAlignment="1">
      <alignment horizontal="center" vertical="center"/>
    </xf>
    <xf numFmtId="4" fontId="27" fillId="0" borderId="0" xfId="0" applyNumberFormat="1" applyFont="1" applyFill="1" applyAlignment="1">
      <alignment horizontal="left" vertical="center"/>
    </xf>
    <xf numFmtId="0" fontId="26" fillId="0" borderId="0" xfId="0" applyFont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164" fontId="22" fillId="0" borderId="1" xfId="0" applyNumberFormat="1" applyFont="1" applyBorder="1" applyAlignment="1">
      <alignment horizontal="center"/>
    </xf>
    <xf numFmtId="0" fontId="34" fillId="0" borderId="0" xfId="0" applyFont="1" applyAlignment="1">
      <alignment horizontal="right" vertical="center"/>
    </xf>
    <xf numFmtId="0" fontId="40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40" fillId="0" borderId="0" xfId="0" applyFont="1" applyAlignment="1">
      <alignment vertical="center"/>
    </xf>
    <xf numFmtId="2" fontId="22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2" fillId="2" borderId="0" xfId="0" applyFont="1" applyFill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11" fontId="22" fillId="0" borderId="1" xfId="0" applyNumberFormat="1" applyFont="1" applyFill="1" applyBorder="1" applyAlignment="1">
      <alignment horizontal="center" vertical="center"/>
    </xf>
    <xf numFmtId="11" fontId="22" fillId="7" borderId="1" xfId="0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/>
    </xf>
    <xf numFmtId="11" fontId="3" fillId="7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20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11" fontId="3" fillId="3" borderId="3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left" vertical="center"/>
    </xf>
    <xf numFmtId="11" fontId="22" fillId="7" borderId="0" xfId="0" applyNumberFormat="1" applyFont="1" applyFill="1" applyAlignment="1">
      <alignment horizontal="center" vertical="center"/>
    </xf>
    <xf numFmtId="11" fontId="22" fillId="8" borderId="1" xfId="0" applyNumberFormat="1" applyFont="1" applyFill="1" applyBorder="1" applyAlignment="1">
      <alignment horizontal="center" vertical="center"/>
    </xf>
    <xf numFmtId="2" fontId="22" fillId="8" borderId="1" xfId="0" applyNumberFormat="1" applyFont="1" applyFill="1" applyBorder="1" applyAlignment="1">
      <alignment horizontal="center" vertical="center"/>
    </xf>
    <xf numFmtId="0" fontId="22" fillId="2" borderId="0" xfId="0" applyNumberFormat="1" applyFont="1" applyFill="1" applyAlignment="1">
      <alignment vertical="center"/>
    </xf>
    <xf numFmtId="0" fontId="22" fillId="3" borderId="0" xfId="0" applyNumberFormat="1" applyFont="1" applyFill="1" applyAlignment="1">
      <alignment vertical="center"/>
    </xf>
    <xf numFmtId="0" fontId="22" fillId="8" borderId="0" xfId="0" applyNumberFormat="1" applyFont="1" applyFill="1" applyAlignment="1">
      <alignment vertical="center"/>
    </xf>
    <xf numFmtId="0" fontId="22" fillId="6" borderId="0" xfId="0" applyNumberFormat="1" applyFont="1" applyFill="1" applyAlignment="1">
      <alignment vertical="center"/>
    </xf>
    <xf numFmtId="0" fontId="22" fillId="5" borderId="0" xfId="0" applyNumberFormat="1" applyFont="1" applyFill="1" applyAlignment="1">
      <alignment vertical="center"/>
    </xf>
    <xf numFmtId="0" fontId="38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  <xf numFmtId="3" fontId="22" fillId="0" borderId="1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Alignment="1">
      <alignment horizontal="center" vertical="center"/>
    </xf>
    <xf numFmtId="11" fontId="24" fillId="0" borderId="1" xfId="0" applyNumberFormat="1" applyFont="1" applyFill="1" applyBorder="1" applyAlignment="1">
      <alignment horizontal="center" vertical="center"/>
    </xf>
    <xf numFmtId="11" fontId="24" fillId="0" borderId="1" xfId="0" applyNumberFormat="1" applyFont="1" applyFill="1" applyBorder="1" applyAlignment="1">
      <alignment horizontal="center"/>
    </xf>
    <xf numFmtId="2" fontId="27" fillId="0" borderId="1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27" fillId="0" borderId="0" xfId="0" applyFont="1" applyFill="1" applyAlignment="1">
      <alignment horizontal="right" vertical="center"/>
    </xf>
    <xf numFmtId="11" fontId="3" fillId="7" borderId="1" xfId="0" applyNumberFormat="1" applyFont="1" applyFill="1" applyBorder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2" fontId="22" fillId="7" borderId="1" xfId="0" applyNumberFormat="1" applyFont="1" applyFill="1" applyBorder="1" applyAlignment="1">
      <alignment horizontal="center" vertical="center"/>
    </xf>
    <xf numFmtId="2" fontId="27" fillId="7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22" fillId="7" borderId="1" xfId="0" applyNumberFormat="1" applyFont="1" applyFill="1" applyBorder="1" applyAlignment="1">
      <alignment horizontal="center" vertical="center"/>
    </xf>
    <xf numFmtId="1" fontId="22" fillId="7" borderId="1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Alignment="1">
      <alignment vertical="center"/>
    </xf>
    <xf numFmtId="1" fontId="22" fillId="0" borderId="0" xfId="0" applyNumberFormat="1" applyFont="1" applyFill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4" fontId="10" fillId="3" borderId="1" xfId="0" applyNumberFormat="1" applyFont="1" applyFill="1" applyBorder="1" applyAlignment="1">
      <alignment horizontal="center" vertical="center"/>
    </xf>
    <xf numFmtId="4" fontId="10" fillId="7" borderId="1" xfId="0" applyNumberFormat="1" applyFont="1" applyFill="1" applyBorder="1" applyAlignment="1">
      <alignment horizontal="center" vertical="center"/>
    </xf>
    <xf numFmtId="11" fontId="3" fillId="7" borderId="0" xfId="0" applyNumberFormat="1" applyFont="1" applyFill="1" applyBorder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0" fontId="34" fillId="0" borderId="0" xfId="0" applyFont="1"/>
    <xf numFmtId="0" fontId="2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9" fontId="20" fillId="0" borderId="0" xfId="0" applyNumberFormat="1" applyFont="1" applyFill="1" applyAlignment="1">
      <alignment horizontal="right" vertical="center"/>
    </xf>
    <xf numFmtId="4" fontId="3" fillId="3" borderId="7" xfId="0" applyNumberFormat="1" applyFont="1" applyFill="1" applyBorder="1" applyAlignment="1">
      <alignment horizontal="center"/>
    </xf>
    <xf numFmtId="0" fontId="24" fillId="0" borderId="0" xfId="0" applyFont="1" applyFill="1"/>
    <xf numFmtId="0" fontId="24" fillId="0" borderId="0" xfId="0" applyFont="1"/>
    <xf numFmtId="0" fontId="24" fillId="0" borderId="0" xfId="0" applyFont="1" applyFill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27" fillId="0" borderId="0" xfId="0" applyFont="1" applyFill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11" fontId="22" fillId="0" borderId="0" xfId="0" applyNumberFormat="1" applyFont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/>
    </xf>
    <xf numFmtId="11" fontId="20" fillId="0" borderId="0" xfId="0" applyNumberFormat="1" applyFont="1" applyFill="1" applyAlignment="1">
      <alignment horizontal="center" vertical="center"/>
    </xf>
    <xf numFmtId="11" fontId="20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66" fontId="22" fillId="0" borderId="0" xfId="0" applyNumberFormat="1" applyFont="1" applyFill="1" applyBorder="1" applyAlignment="1">
      <alignment horizontal="left"/>
    </xf>
    <xf numFmtId="11" fontId="3" fillId="3" borderId="0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right" vertical="center"/>
    </xf>
    <xf numFmtId="3" fontId="37" fillId="7" borderId="0" xfId="0" applyNumberFormat="1" applyFont="1" applyFill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11" fontId="25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right" vertical="center"/>
    </xf>
    <xf numFmtId="0" fontId="47" fillId="0" borderId="0" xfId="0" applyFont="1" applyAlignment="1">
      <alignment horizontal="right" vertical="center"/>
    </xf>
    <xf numFmtId="0" fontId="48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0" fontId="50" fillId="0" borderId="0" xfId="0" applyFont="1" applyAlignment="1">
      <alignment horizontal="right" vertical="center"/>
    </xf>
    <xf numFmtId="49" fontId="25" fillId="0" borderId="0" xfId="0" applyNumberFormat="1" applyFont="1" applyAlignment="1">
      <alignment horizontal="left" vertical="center"/>
    </xf>
    <xf numFmtId="0" fontId="51" fillId="0" borderId="0" xfId="0" applyFont="1" applyAlignment="1">
      <alignment horizontal="right" vertical="center"/>
    </xf>
    <xf numFmtId="0" fontId="52" fillId="0" borderId="0" xfId="0" applyFont="1" applyAlignment="1">
      <alignment horizontal="right" vertical="center"/>
    </xf>
    <xf numFmtId="0" fontId="53" fillId="0" borderId="0" xfId="0" applyFont="1" applyAlignment="1">
      <alignment horizontal="right" vertical="center"/>
    </xf>
    <xf numFmtId="0" fontId="54" fillId="0" borderId="0" xfId="0" applyFont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11" fontId="25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horizontal="right" vertical="center"/>
    </xf>
    <xf numFmtId="4" fontId="27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left" vertical="center" wrapText="1"/>
    </xf>
    <xf numFmtId="4" fontId="27" fillId="3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0" borderId="0" xfId="0" applyNumberFormat="1" applyFont="1" applyFill="1" applyBorder="1" applyAlignment="1">
      <alignment horizontal="center" vertical="center"/>
    </xf>
    <xf numFmtId="167" fontId="22" fillId="0" borderId="1" xfId="0" applyNumberFormat="1" applyFont="1" applyFill="1" applyBorder="1" applyAlignment="1">
      <alignment horizontal="center"/>
    </xf>
    <xf numFmtId="166" fontId="22" fillId="0" borderId="1" xfId="0" applyNumberFormat="1" applyFont="1" applyFill="1" applyBorder="1" applyAlignment="1">
      <alignment horizontal="center"/>
    </xf>
    <xf numFmtId="11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16" fillId="0" borderId="0" xfId="0" applyFont="1" applyFill="1" applyAlignment="1">
      <alignment horizontal="center" vertical="center"/>
    </xf>
    <xf numFmtId="0" fontId="34" fillId="0" borderId="0" xfId="0" applyFont="1" applyBorder="1" applyAlignment="1">
      <alignment horizontal="right" vertic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 readingOrder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1" fontId="3" fillId="0" borderId="0" xfId="0" applyNumberFormat="1" applyFont="1" applyAlignment="1">
      <alignment horizontal="center" vertical="center"/>
    </xf>
    <xf numFmtId="11" fontId="3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/>
    </xf>
    <xf numFmtId="11" fontId="3" fillId="0" borderId="0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10" fontId="34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2" fontId="24" fillId="0" borderId="0" xfId="0" applyNumberFormat="1" applyFont="1" applyAlignment="1">
      <alignment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11" fontId="27" fillId="7" borderId="1" xfId="0" applyNumberFormat="1" applyFont="1" applyFill="1" applyBorder="1" applyAlignment="1">
      <alignment horizontal="center" vertical="center"/>
    </xf>
    <xf numFmtId="11" fontId="27" fillId="7" borderId="0" xfId="0" applyNumberFormat="1" applyFont="1" applyFill="1" applyAlignment="1">
      <alignment horizontal="center" vertical="center"/>
    </xf>
    <xf numFmtId="11" fontId="20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1" fontId="22" fillId="0" borderId="0" xfId="0" applyNumberFormat="1" applyFont="1" applyAlignment="1">
      <alignment horizontal="center" vertical="center"/>
    </xf>
    <xf numFmtId="11" fontId="25" fillId="0" borderId="0" xfId="0" applyNumberFormat="1" applyFont="1" applyAlignment="1">
      <alignment horizontal="center" vertical="center"/>
    </xf>
    <xf numFmtId="4" fontId="24" fillId="0" borderId="0" xfId="0" applyNumberFormat="1" applyFont="1" applyFill="1" applyBorder="1" applyAlignment="1">
      <alignment horizontal="left"/>
    </xf>
    <xf numFmtId="0" fontId="42" fillId="0" borderId="0" xfId="0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11" fontId="24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11" fontId="32" fillId="0" borderId="0" xfId="0" applyNumberFormat="1" applyFont="1" applyAlignment="1">
      <alignment horizontal="right" vertical="center"/>
    </xf>
    <xf numFmtId="0" fontId="32" fillId="0" borderId="0" xfId="0" applyFont="1" applyAlignment="1">
      <alignment horizontal="left" vertical="center"/>
    </xf>
    <xf numFmtId="11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right" vertical="center"/>
    </xf>
    <xf numFmtId="0" fontId="23" fillId="0" borderId="0" xfId="0" applyFont="1" applyFill="1" applyAlignment="1">
      <alignment vertical="center"/>
    </xf>
    <xf numFmtId="1" fontId="22" fillId="0" borderId="0" xfId="0" applyNumberFormat="1" applyFont="1" applyAlignment="1">
      <alignment horizontal="left" vertical="center"/>
    </xf>
    <xf numFmtId="0" fontId="24" fillId="0" borderId="0" xfId="0" applyNumberFormat="1" applyFont="1" applyAlignment="1">
      <alignment vertical="center"/>
    </xf>
    <xf numFmtId="0" fontId="22" fillId="2" borderId="0" xfId="0" applyFont="1" applyFill="1" applyAlignment="1">
      <alignment horizontal="center"/>
    </xf>
    <xf numFmtId="0" fontId="55" fillId="0" borderId="0" xfId="0" applyFont="1" applyAlignment="1">
      <alignment horizontal="left" vertical="center"/>
    </xf>
    <xf numFmtId="0" fontId="27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49" fontId="27" fillId="0" borderId="0" xfId="0" applyNumberFormat="1" applyFont="1" applyAlignment="1">
      <alignment vertical="center"/>
    </xf>
    <xf numFmtId="11" fontId="24" fillId="0" borderId="0" xfId="0" applyNumberFormat="1" applyFont="1" applyFill="1" applyBorder="1" applyAlignment="1">
      <alignment vertical="center"/>
    </xf>
    <xf numFmtId="11" fontId="22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right" vertical="center"/>
    </xf>
    <xf numFmtId="11" fontId="25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>
      <alignment horizontal="center" vertical="center"/>
    </xf>
    <xf numFmtId="164" fontId="34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4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right" vertical="center"/>
    </xf>
    <xf numFmtId="1" fontId="22" fillId="0" borderId="0" xfId="0" applyNumberFormat="1" applyFont="1" applyFill="1" applyBorder="1" applyAlignment="1">
      <alignment vertical="center"/>
    </xf>
    <xf numFmtId="1" fontId="22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 wrapText="1"/>
    </xf>
    <xf numFmtId="11" fontId="32" fillId="0" borderId="0" xfId="0" applyNumberFormat="1" applyFont="1" applyFill="1" applyBorder="1" applyAlignment="1">
      <alignment horizontal="right" vertical="center"/>
    </xf>
    <xf numFmtId="11" fontId="2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24" fillId="0" borderId="0" xfId="0" applyNumberFormat="1" applyFont="1" applyFill="1" applyBorder="1" applyAlignment="1">
      <alignment vertical="center"/>
    </xf>
    <xf numFmtId="164" fontId="24" fillId="0" borderId="0" xfId="0" applyNumberFormat="1" applyFont="1" applyFill="1" applyBorder="1" applyAlignment="1">
      <alignment vertical="center"/>
    </xf>
    <xf numFmtId="164" fontId="24" fillId="0" borderId="0" xfId="0" applyNumberFormat="1" applyFont="1" applyFill="1" applyBorder="1" applyAlignment="1">
      <alignment horizontal="left" vertical="center"/>
    </xf>
    <xf numFmtId="164" fontId="25" fillId="0" borderId="0" xfId="0" applyNumberFormat="1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right" vertical="center"/>
    </xf>
    <xf numFmtId="0" fontId="32" fillId="0" borderId="0" xfId="0" applyFont="1" applyFill="1" applyBorder="1" applyAlignment="1">
      <alignment vertical="center"/>
    </xf>
    <xf numFmtId="1" fontId="27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25" fillId="0" borderId="0" xfId="0" applyFont="1" applyFill="1" applyAlignment="1">
      <alignment horizontal="right" vertical="center"/>
    </xf>
    <xf numFmtId="2" fontId="25" fillId="0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11" fontId="24" fillId="0" borderId="0" xfId="0" applyNumberFormat="1" applyFont="1" applyFill="1" applyBorder="1" applyAlignment="1">
      <alignment horizontal="center" vertical="center"/>
    </xf>
    <xf numFmtId="11" fontId="32" fillId="0" borderId="0" xfId="0" applyNumberFormat="1" applyFont="1" applyFill="1" applyBorder="1" applyAlignment="1">
      <alignment horizontal="left" vertical="center"/>
    </xf>
    <xf numFmtId="164" fontId="22" fillId="3" borderId="1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right" vertical="center"/>
    </xf>
    <xf numFmtId="4" fontId="23" fillId="0" borderId="0" xfId="0" applyNumberFormat="1" applyFont="1" applyFill="1" applyBorder="1" applyAlignment="1">
      <alignment horizontal="left" vertical="center"/>
    </xf>
    <xf numFmtId="0" fontId="48" fillId="0" borderId="0" xfId="0" applyFont="1" applyAlignment="1">
      <alignment vertical="center"/>
    </xf>
    <xf numFmtId="11" fontId="3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11" fontId="25" fillId="3" borderId="3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2" fontId="3" fillId="0" borderId="1" xfId="0" applyNumberFormat="1" applyFont="1" applyFill="1" applyBorder="1" applyAlignment="1">
      <alignment horizontal="center"/>
    </xf>
    <xf numFmtId="2" fontId="27" fillId="0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2" fontId="22" fillId="0" borderId="0" xfId="0" applyNumberFormat="1" applyFont="1" applyFill="1" applyAlignment="1">
      <alignment vertical="center"/>
    </xf>
    <xf numFmtId="11" fontId="3" fillId="7" borderId="0" xfId="0" applyNumberFormat="1" applyFont="1" applyFill="1" applyAlignment="1">
      <alignment horizontal="center" vertical="center"/>
    </xf>
    <xf numFmtId="49" fontId="32" fillId="0" borderId="0" xfId="0" applyNumberFormat="1" applyFont="1" applyFill="1" applyBorder="1" applyAlignment="1">
      <alignment horizontal="left" vertical="center"/>
    </xf>
    <xf numFmtId="168" fontId="24" fillId="0" borderId="0" xfId="0" applyNumberFormat="1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0" fontId="25" fillId="0" borderId="0" xfId="0" applyNumberFormat="1" applyFont="1" applyFill="1" applyBorder="1" applyAlignment="1">
      <alignment horizontal="center" vertical="center"/>
    </xf>
    <xf numFmtId="0" fontId="40" fillId="0" borderId="0" xfId="0" applyFont="1"/>
    <xf numFmtId="2" fontId="22" fillId="0" borderId="0" xfId="0" applyNumberFormat="1" applyFont="1" applyFill="1" applyBorder="1" applyAlignment="1">
      <alignment horizontal="center"/>
    </xf>
    <xf numFmtId="0" fontId="32" fillId="0" borderId="0" xfId="0" applyFont="1" applyFill="1" applyAlignment="1">
      <alignment horizontal="left" vertical="center"/>
    </xf>
    <xf numFmtId="0" fontId="3" fillId="0" borderId="0" xfId="0" applyFont="1" applyFill="1"/>
    <xf numFmtId="10" fontId="2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1" fontId="20" fillId="0" borderId="0" xfId="0" applyNumberFormat="1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11" fontId="10" fillId="0" borderId="0" xfId="0" applyNumberFormat="1" applyFont="1" applyFill="1" applyBorder="1" applyAlignment="1">
      <alignment horizontal="center" vertical="center"/>
    </xf>
    <xf numFmtId="11" fontId="25" fillId="0" borderId="0" xfId="0" applyNumberFormat="1" applyFont="1" applyFill="1" applyBorder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4" fillId="0" borderId="0" xfId="0" applyNumberFormat="1" applyFont="1" applyAlignment="1">
      <alignment horizontal="center" vertical="center"/>
    </xf>
    <xf numFmtId="11" fontId="34" fillId="0" borderId="0" xfId="0" applyNumberFormat="1" applyFont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65" fontId="3" fillId="8" borderId="1" xfId="0" applyNumberFormat="1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20" fillId="0" borderId="0" xfId="0" applyFont="1" applyAlignment="1">
      <alignment horizontal="center" vertical="center"/>
    </xf>
    <xf numFmtId="169" fontId="22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1" fontId="3" fillId="0" borderId="1" xfId="0" applyNumberFormat="1" applyFont="1" applyFill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11" fontId="3" fillId="7" borderId="0" xfId="0" applyNumberFormat="1" applyFont="1" applyFill="1" applyBorder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1" fontId="26" fillId="3" borderId="0" xfId="0" applyNumberFormat="1" applyFont="1" applyFill="1" applyAlignment="1">
      <alignment horizontal="center" vertical="center"/>
    </xf>
    <xf numFmtId="11" fontId="26" fillId="7" borderId="0" xfId="0" applyNumberFormat="1" applyFont="1" applyFill="1" applyAlignment="1">
      <alignment horizontal="center" vertical="center"/>
    </xf>
    <xf numFmtId="11" fontId="26" fillId="0" borderId="0" xfId="0" applyNumberFormat="1" applyFont="1" applyAlignment="1">
      <alignment horizontal="center" vertical="center"/>
    </xf>
    <xf numFmtId="11" fontId="26" fillId="0" borderId="0" xfId="0" applyNumberFormat="1" applyFont="1" applyFill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22" fillId="9" borderId="1" xfId="0" applyNumberFormat="1" applyFont="1" applyFill="1" applyBorder="1" applyAlignment="1">
      <alignment horizontal="center" vertical="center"/>
    </xf>
    <xf numFmtId="2" fontId="22" fillId="0" borderId="0" xfId="0" applyNumberFormat="1" applyFont="1" applyAlignment="1">
      <alignment horizontal="left" vertical="center"/>
    </xf>
    <xf numFmtId="2" fontId="24" fillId="0" borderId="1" xfId="0" applyNumberFormat="1" applyFont="1" applyFill="1" applyBorder="1" applyAlignment="1">
      <alignment horizontal="center" vertical="center"/>
    </xf>
    <xf numFmtId="2" fontId="24" fillId="0" borderId="0" xfId="0" applyNumberFormat="1" applyFont="1" applyFill="1" applyAlignment="1">
      <alignment vertical="center"/>
    </xf>
    <xf numFmtId="2" fontId="24" fillId="0" borderId="0" xfId="0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vertical="center"/>
    </xf>
    <xf numFmtId="2" fontId="3" fillId="7" borderId="1" xfId="0" applyNumberFormat="1" applyFont="1" applyFill="1" applyBorder="1" applyAlignment="1">
      <alignment horizontal="center" vertical="center"/>
    </xf>
    <xf numFmtId="0" fontId="55" fillId="0" borderId="0" xfId="0" applyFont="1" applyFill="1" applyAlignment="1">
      <alignment horizontal="left" vertical="center"/>
    </xf>
    <xf numFmtId="11" fontId="24" fillId="0" borderId="0" xfId="0" applyNumberFormat="1" applyFont="1" applyFill="1" applyAlignment="1">
      <alignment horizontal="left" vertical="center"/>
    </xf>
    <xf numFmtId="164" fontId="24" fillId="0" borderId="0" xfId="0" applyNumberFormat="1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4" fontId="3" fillId="7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readingOrder="1"/>
    </xf>
    <xf numFmtId="2" fontId="3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166" fontId="22" fillId="0" borderId="1" xfId="0" applyNumberFormat="1" applyFont="1" applyFill="1" applyBorder="1" applyAlignment="1">
      <alignment horizontal="center" vertical="center"/>
    </xf>
    <xf numFmtId="11" fontId="24" fillId="0" borderId="0" xfId="0" applyNumberFormat="1" applyFont="1" applyAlignment="1">
      <alignment horizontal="left" vertical="center"/>
    </xf>
    <xf numFmtId="164" fontId="22" fillId="0" borderId="0" xfId="0" applyNumberFormat="1" applyFont="1" applyAlignment="1">
      <alignment horizontal="left" vertical="center"/>
    </xf>
    <xf numFmtId="167" fontId="22" fillId="0" borderId="1" xfId="0" applyNumberFormat="1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/>
    </xf>
    <xf numFmtId="2" fontId="24" fillId="0" borderId="0" xfId="0" applyNumberFormat="1" applyFont="1" applyFill="1" applyBorder="1" applyAlignment="1">
      <alignment horizontal="left" vertical="center"/>
    </xf>
    <xf numFmtId="4" fontId="32" fillId="0" borderId="0" xfId="0" applyNumberFormat="1" applyFont="1" applyFill="1" applyBorder="1" applyAlignment="1">
      <alignment horizontal="left" vertical="center"/>
    </xf>
    <xf numFmtId="4" fontId="27" fillId="0" borderId="0" xfId="0" applyNumberFormat="1" applyFont="1" applyFill="1" applyBorder="1" applyAlignment="1">
      <alignment horizontal="left" vertical="center"/>
    </xf>
    <xf numFmtId="166" fontId="22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165" fontId="20" fillId="0" borderId="1" xfId="0" applyNumberFormat="1" applyFont="1" applyFill="1" applyBorder="1" applyAlignment="1">
      <alignment horizontal="center" vertical="center"/>
    </xf>
    <xf numFmtId="4" fontId="10" fillId="3" borderId="9" xfId="0" applyNumberFormat="1" applyFont="1" applyFill="1" applyBorder="1" applyAlignment="1">
      <alignment horizontal="center" vertical="center"/>
    </xf>
    <xf numFmtId="4" fontId="27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167" fontId="22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1" fontId="23" fillId="0" borderId="0" xfId="0" applyNumberFormat="1" applyFont="1" applyAlignment="1">
      <alignment horizontal="left" vertical="center"/>
    </xf>
    <xf numFmtId="173" fontId="22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1" fontId="24" fillId="0" borderId="0" xfId="0" applyNumberFormat="1" applyFont="1" applyFill="1" applyBorder="1" applyAlignment="1">
      <alignment horizontal="left" vertical="center"/>
    </xf>
    <xf numFmtId="2" fontId="25" fillId="0" borderId="1" xfId="0" applyNumberFormat="1" applyFont="1" applyBorder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11" fontId="32" fillId="0" borderId="0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Border="1" applyAlignment="1">
      <alignment horizontal="center" vertical="center"/>
    </xf>
    <xf numFmtId="169" fontId="22" fillId="0" borderId="0" xfId="0" applyNumberFormat="1" applyFont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0" fontId="34" fillId="0" borderId="0" xfId="0" applyFont="1" applyFill="1" applyAlignment="1">
      <alignment vertical="center"/>
    </xf>
    <xf numFmtId="11" fontId="24" fillId="0" borderId="0" xfId="0" applyNumberFormat="1" applyFont="1" applyAlignment="1">
      <alignment horizontal="right" vertical="center"/>
    </xf>
    <xf numFmtId="0" fontId="56" fillId="0" borderId="0" xfId="0" applyFont="1" applyAlignment="1">
      <alignment vertical="center"/>
    </xf>
    <xf numFmtId="2" fontId="27" fillId="2" borderId="1" xfId="0" applyNumberFormat="1" applyFont="1" applyFill="1" applyBorder="1" applyAlignment="1">
      <alignment horizontal="center" vertical="center"/>
    </xf>
    <xf numFmtId="2" fontId="20" fillId="2" borderId="1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3" fontId="22" fillId="0" borderId="1" xfId="0" applyNumberFormat="1" applyFont="1" applyFill="1" applyBorder="1" applyAlignment="1">
      <alignment horizontal="center" vertical="center"/>
    </xf>
    <xf numFmtId="11" fontId="22" fillId="5" borderId="1" xfId="0" applyNumberFormat="1" applyFont="1" applyFill="1" applyBorder="1" applyAlignment="1">
      <alignment horizontal="center" vertical="center"/>
    </xf>
    <xf numFmtId="11" fontId="27" fillId="0" borderId="0" xfId="0" applyNumberFormat="1" applyFont="1" applyAlignment="1">
      <alignment horizontal="center" vertical="center"/>
    </xf>
    <xf numFmtId="2" fontId="24" fillId="0" borderId="0" xfId="0" applyNumberFormat="1" applyFont="1" applyFill="1" applyBorder="1" applyAlignment="1">
      <alignment horizontal="center" vertical="center"/>
    </xf>
    <xf numFmtId="11" fontId="10" fillId="0" borderId="0" xfId="0" applyNumberFormat="1" applyFont="1" applyAlignment="1">
      <alignment horizontal="right" vertical="center"/>
    </xf>
    <xf numFmtId="11" fontId="3" fillId="0" borderId="0" xfId="0" applyNumberFormat="1" applyFont="1" applyAlignment="1">
      <alignment vertical="center"/>
    </xf>
    <xf numFmtId="10" fontId="3" fillId="0" borderId="0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9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68" fontId="22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Alignment="1">
      <alignment horizontal="center" vertical="center"/>
    </xf>
    <xf numFmtId="3" fontId="22" fillId="0" borderId="0" xfId="0" applyNumberFormat="1" applyFont="1" applyAlignment="1">
      <alignment vertical="center"/>
    </xf>
    <xf numFmtId="11" fontId="3" fillId="3" borderId="7" xfId="0" applyNumberFormat="1" applyFont="1" applyFill="1" applyBorder="1" applyAlignment="1">
      <alignment horizontal="center" vertical="center"/>
    </xf>
    <xf numFmtId="11" fontId="24" fillId="0" borderId="0" xfId="0" applyNumberFormat="1" applyFont="1" applyFill="1" applyAlignment="1">
      <alignment horizontal="right" vertical="center"/>
    </xf>
    <xf numFmtId="164" fontId="3" fillId="3" borderId="1" xfId="0" applyNumberFormat="1" applyFont="1" applyFill="1" applyBorder="1" applyAlignment="1">
      <alignment horizontal="center"/>
    </xf>
    <xf numFmtId="11" fontId="3" fillId="8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right" vertical="center" readingOrder="1"/>
    </xf>
    <xf numFmtId="49" fontId="3" fillId="0" borderId="0" xfId="0" applyNumberFormat="1" applyFont="1" applyFill="1" applyBorder="1" applyAlignment="1">
      <alignment vertical="center"/>
    </xf>
    <xf numFmtId="2" fontId="25" fillId="0" borderId="0" xfId="0" applyNumberFormat="1" applyFont="1" applyAlignment="1">
      <alignment horizontal="right" vertical="center"/>
    </xf>
    <xf numFmtId="0" fontId="42" fillId="0" borderId="0" xfId="0" applyFont="1" applyFill="1" applyAlignment="1">
      <alignment vertical="center"/>
    </xf>
    <xf numFmtId="2" fontId="20" fillId="9" borderId="1" xfId="0" applyNumberFormat="1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left" vertical="center"/>
    </xf>
    <xf numFmtId="164" fontId="3" fillId="0" borderId="0" xfId="0" applyNumberFormat="1" applyFont="1" applyFill="1" applyBorder="1" applyAlignment="1">
      <alignment horizontal="center"/>
    </xf>
    <xf numFmtId="2" fontId="20" fillId="0" borderId="0" xfId="0" applyNumberFormat="1" applyFont="1" applyAlignment="1">
      <alignment horizontal="left" vertical="center"/>
    </xf>
    <xf numFmtId="10" fontId="20" fillId="0" borderId="0" xfId="0" applyNumberFormat="1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4" fontId="20" fillId="7" borderId="1" xfId="0" applyNumberFormat="1" applyFont="1" applyFill="1" applyBorder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11" fontId="33" fillId="0" borderId="0" xfId="0" applyNumberFormat="1" applyFont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right"/>
    </xf>
    <xf numFmtId="164" fontId="58" fillId="0" borderId="0" xfId="0" applyNumberFormat="1" applyFont="1" applyFill="1" applyAlignment="1">
      <alignment horizontal="center" vertical="center"/>
    </xf>
    <xf numFmtId="10" fontId="22" fillId="0" borderId="0" xfId="0" applyNumberFormat="1" applyFont="1" applyAlignment="1">
      <alignment vertical="center"/>
    </xf>
    <xf numFmtId="11" fontId="10" fillId="0" borderId="0" xfId="0" applyNumberFormat="1" applyFont="1" applyFill="1" applyAlignment="1">
      <alignment horizontal="center" vertical="center"/>
    </xf>
    <xf numFmtId="2" fontId="34" fillId="7" borderId="0" xfId="0" applyNumberFormat="1" applyFont="1" applyFill="1" applyAlignment="1">
      <alignment vertical="center"/>
    </xf>
    <xf numFmtId="2" fontId="34" fillId="0" borderId="0" xfId="0" applyNumberFormat="1" applyFont="1" applyAlignment="1">
      <alignment horizontal="left" vertical="center"/>
    </xf>
    <xf numFmtId="2" fontId="34" fillId="0" borderId="0" xfId="0" applyNumberFormat="1" applyFont="1" applyFill="1" applyAlignment="1">
      <alignment horizontal="left" vertical="center"/>
    </xf>
    <xf numFmtId="2" fontId="22" fillId="7" borderId="0" xfId="0" applyNumberFormat="1" applyFont="1" applyFill="1" applyAlignment="1">
      <alignment vertical="center"/>
    </xf>
    <xf numFmtId="4" fontId="3" fillId="0" borderId="0" xfId="0" applyNumberFormat="1" applyFont="1" applyAlignment="1">
      <alignment horizontal="center" vertical="center"/>
    </xf>
    <xf numFmtId="2" fontId="22" fillId="0" borderId="0" xfId="0" applyNumberFormat="1" applyFont="1" applyFill="1" applyAlignment="1">
      <alignment horizontal="left" vertical="center"/>
    </xf>
    <xf numFmtId="0" fontId="22" fillId="7" borderId="0" xfId="0" applyFont="1" applyFill="1" applyAlignment="1">
      <alignment horizontal="right" vertical="center"/>
    </xf>
    <xf numFmtId="2" fontId="34" fillId="7" borderId="0" xfId="0" applyNumberFormat="1" applyFont="1" applyFill="1" applyAlignment="1">
      <alignment horizontal="center" vertical="center"/>
    </xf>
    <xf numFmtId="0" fontId="34" fillId="7" borderId="0" xfId="0" applyFont="1" applyFill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165" fontId="3" fillId="0" borderId="1" xfId="0" applyNumberFormat="1" applyFont="1" applyFill="1" applyBorder="1" applyAlignment="1">
      <alignment horizontal="center" vertical="center"/>
    </xf>
    <xf numFmtId="3" fontId="27" fillId="0" borderId="8" xfId="0" applyNumberFormat="1" applyFont="1" applyFill="1" applyBorder="1" applyAlignment="1">
      <alignment horizontal="center" vertical="center"/>
    </xf>
    <xf numFmtId="2" fontId="34" fillId="0" borderId="0" xfId="0" applyNumberFormat="1" applyFont="1" applyAlignment="1">
      <alignment vertical="center"/>
    </xf>
    <xf numFmtId="3" fontId="19" fillId="0" borderId="0" xfId="0" applyNumberFormat="1" applyFont="1" applyFill="1" applyBorder="1" applyAlignment="1">
      <alignment vertical="center"/>
    </xf>
    <xf numFmtId="2" fontId="3" fillId="0" borderId="0" xfId="0" applyNumberFormat="1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2" fontId="24" fillId="0" borderId="0" xfId="0" applyNumberFormat="1" applyFont="1" applyAlignment="1">
      <alignment horizontal="left" vertical="center"/>
    </xf>
    <xf numFmtId="2" fontId="3" fillId="0" borderId="0" xfId="0" applyNumberFormat="1" applyFont="1" applyFill="1" applyAlignment="1">
      <alignment horizontal="left" vertical="center"/>
    </xf>
    <xf numFmtId="2" fontId="10" fillId="0" borderId="0" xfId="0" applyNumberFormat="1" applyFont="1" applyFill="1" applyBorder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171" fontId="22" fillId="0" borderId="0" xfId="0" applyNumberFormat="1" applyFont="1" applyAlignment="1">
      <alignment horizontal="center" vertical="center"/>
    </xf>
    <xf numFmtId="4" fontId="22" fillId="3" borderId="3" xfId="0" applyNumberFormat="1" applyFont="1" applyFill="1" applyBorder="1" applyAlignment="1">
      <alignment horizontal="center" vertical="center"/>
    </xf>
    <xf numFmtId="4" fontId="22" fillId="0" borderId="2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/>
    </xf>
    <xf numFmtId="167" fontId="20" fillId="0" borderId="1" xfId="0" applyNumberFormat="1" applyFont="1" applyFill="1" applyBorder="1" applyAlignment="1">
      <alignment horizontal="center" vertical="center"/>
    </xf>
    <xf numFmtId="176" fontId="20" fillId="0" borderId="1" xfId="0" applyNumberFormat="1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11" fontId="24" fillId="0" borderId="0" xfId="0" applyNumberFormat="1" applyFont="1" applyFill="1" applyAlignment="1">
      <alignment vertical="center"/>
    </xf>
    <xf numFmtId="10" fontId="24" fillId="0" borderId="0" xfId="0" applyNumberFormat="1" applyFont="1" applyAlignment="1">
      <alignment horizontal="center" vertical="center"/>
    </xf>
    <xf numFmtId="9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11" fontId="3" fillId="6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1" fontId="22" fillId="0" borderId="0" xfId="0" applyNumberFormat="1" applyFont="1" applyFill="1" applyAlignment="1">
      <alignment horizontal="left" vertical="center"/>
    </xf>
    <xf numFmtId="11" fontId="22" fillId="5" borderId="0" xfId="0" applyNumberFormat="1" applyFont="1" applyFill="1" applyAlignment="1">
      <alignment horizontal="left" vertical="center"/>
    </xf>
    <xf numFmtId="0" fontId="20" fillId="7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4" fontId="22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 vertical="center"/>
    </xf>
    <xf numFmtId="2" fontId="22" fillId="5" borderId="0" xfId="0" applyNumberFormat="1" applyFont="1" applyFill="1" applyAlignment="1">
      <alignment horizontal="center" vertical="center"/>
    </xf>
    <xf numFmtId="11" fontId="3" fillId="5" borderId="1" xfId="0" applyNumberFormat="1" applyFont="1" applyFill="1" applyBorder="1" applyAlignment="1">
      <alignment horizontal="center"/>
    </xf>
    <xf numFmtId="3" fontId="22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/>
    </xf>
    <xf numFmtId="11" fontId="22" fillId="5" borderId="0" xfId="0" applyNumberFormat="1" applyFont="1" applyFill="1" applyAlignment="1">
      <alignment horizontal="center" vertical="center"/>
    </xf>
    <xf numFmtId="4" fontId="3" fillId="5" borderId="1" xfId="0" applyNumberFormat="1" applyFont="1" applyFill="1" applyBorder="1" applyAlignment="1">
      <alignment horizontal="center"/>
    </xf>
    <xf numFmtId="11" fontId="3" fillId="5" borderId="0" xfId="0" applyNumberFormat="1" applyFont="1" applyFill="1" applyAlignment="1">
      <alignment horizontal="center" vertical="center"/>
    </xf>
    <xf numFmtId="11" fontId="3" fillId="5" borderId="0" xfId="0" applyNumberFormat="1" applyFont="1" applyFill="1" applyBorder="1" applyAlignment="1">
      <alignment horizontal="center" vertical="center"/>
    </xf>
    <xf numFmtId="4" fontId="10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/>
    </xf>
    <xf numFmtId="4" fontId="3" fillId="5" borderId="7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25" fillId="5" borderId="0" xfId="0" applyNumberFormat="1" applyFont="1" applyFill="1" applyAlignment="1">
      <alignment horizontal="center" vertical="center"/>
    </xf>
    <xf numFmtId="1" fontId="3" fillId="7" borderId="1" xfId="0" applyNumberFormat="1" applyFont="1" applyFill="1" applyBorder="1" applyAlignment="1">
      <alignment horizontal="center"/>
    </xf>
    <xf numFmtId="11" fontId="3" fillId="8" borderId="1" xfId="0" applyNumberFormat="1" applyFont="1" applyFill="1" applyBorder="1" applyAlignment="1">
      <alignment horizontal="center"/>
    </xf>
    <xf numFmtId="1" fontId="24" fillId="0" borderId="0" xfId="0" applyNumberFormat="1" applyFont="1" applyAlignment="1">
      <alignment vertical="center"/>
    </xf>
    <xf numFmtId="1" fontId="24" fillId="0" borderId="0" xfId="0" applyNumberFormat="1" applyFont="1" applyFill="1" applyAlignment="1">
      <alignment vertical="center"/>
    </xf>
    <xf numFmtId="2" fontId="3" fillId="0" borderId="0" xfId="0" applyNumberFormat="1" applyFont="1" applyFill="1" applyBorder="1" applyAlignment="1">
      <alignment horizontal="center"/>
    </xf>
    <xf numFmtId="11" fontId="24" fillId="9" borderId="0" xfId="0" applyNumberFormat="1" applyFont="1" applyFill="1" applyAlignment="1">
      <alignment horizontal="center" vertical="center"/>
    </xf>
    <xf numFmtId="164" fontId="20" fillId="7" borderId="1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76" fontId="3" fillId="3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176" fontId="3" fillId="7" borderId="1" xfId="0" applyNumberFormat="1" applyFont="1" applyFill="1" applyBorder="1" applyAlignment="1">
      <alignment horizontal="center"/>
    </xf>
    <xf numFmtId="11" fontId="3" fillId="5" borderId="1" xfId="0" applyNumberFormat="1" applyFont="1" applyFill="1" applyBorder="1" applyAlignment="1">
      <alignment horizontal="center" vertical="center"/>
    </xf>
    <xf numFmtId="164" fontId="22" fillId="5" borderId="1" xfId="0" applyNumberFormat="1" applyFont="1" applyFill="1" applyBorder="1" applyAlignment="1">
      <alignment horizontal="center" vertical="center"/>
    </xf>
    <xf numFmtId="11" fontId="10" fillId="0" borderId="4" xfId="0" applyNumberFormat="1" applyFont="1" applyFill="1" applyBorder="1" applyAlignment="1">
      <alignment horizontal="center" vertical="center"/>
    </xf>
    <xf numFmtId="11" fontId="3" fillId="5" borderId="7" xfId="0" applyNumberFormat="1" applyFont="1" applyFill="1" applyBorder="1" applyAlignment="1">
      <alignment horizontal="center" vertical="center"/>
    </xf>
    <xf numFmtId="2" fontId="3" fillId="5" borderId="7" xfId="0" applyNumberFormat="1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4" fontId="20" fillId="0" borderId="0" xfId="0" applyNumberFormat="1" applyFont="1" applyFill="1" applyAlignment="1">
      <alignment vertical="center"/>
    </xf>
    <xf numFmtId="4" fontId="22" fillId="7" borderId="3" xfId="0" applyNumberFormat="1" applyFont="1" applyFill="1" applyBorder="1" applyAlignment="1">
      <alignment horizontal="center" vertical="center"/>
    </xf>
    <xf numFmtId="4" fontId="22" fillId="5" borderId="3" xfId="0" applyNumberFormat="1" applyFont="1" applyFill="1" applyBorder="1" applyAlignment="1">
      <alignment horizontal="center" vertical="center"/>
    </xf>
    <xf numFmtId="4" fontId="22" fillId="7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center"/>
    </xf>
    <xf numFmtId="0" fontId="25" fillId="0" borderId="0" xfId="0" applyFont="1" applyFill="1" applyAlignment="1">
      <alignment vertical="center"/>
    </xf>
    <xf numFmtId="3" fontId="3" fillId="5" borderId="1" xfId="0" applyNumberFormat="1" applyFont="1" applyFill="1" applyBorder="1" applyAlignment="1">
      <alignment horizontal="center" vertical="center"/>
    </xf>
    <xf numFmtId="164" fontId="25" fillId="7" borderId="0" xfId="0" applyNumberFormat="1" applyFont="1" applyFill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11" fontId="22" fillId="7" borderId="3" xfId="0" applyNumberFormat="1" applyFont="1" applyFill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  <xf numFmtId="11" fontId="65" fillId="0" borderId="0" xfId="0" applyNumberFormat="1" applyFont="1" applyAlignment="1">
      <alignment vertical="center"/>
    </xf>
    <xf numFmtId="0" fontId="65" fillId="0" borderId="0" xfId="0" applyFont="1" applyAlignment="1">
      <alignment horizontal="left" vertical="center"/>
    </xf>
    <xf numFmtId="178" fontId="22" fillId="0" borderId="0" xfId="0" applyNumberFormat="1" applyFont="1" applyAlignment="1">
      <alignment horizontal="left" vertical="center"/>
    </xf>
    <xf numFmtId="164" fontId="20" fillId="5" borderId="1" xfId="0" applyNumberFormat="1" applyFont="1" applyFill="1" applyBorder="1" applyAlignment="1">
      <alignment horizontal="center"/>
    </xf>
    <xf numFmtId="171" fontId="24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11" fontId="10" fillId="7" borderId="1" xfId="0" applyNumberFormat="1" applyFont="1" applyFill="1" applyBorder="1" applyAlignment="1">
      <alignment horizontal="center" vertical="center"/>
    </xf>
    <xf numFmtId="10" fontId="22" fillId="7" borderId="1" xfId="0" applyNumberFormat="1" applyFont="1" applyFill="1" applyBorder="1" applyAlignment="1">
      <alignment horizontal="center" vertical="center"/>
    </xf>
    <xf numFmtId="10" fontId="22" fillId="7" borderId="0" xfId="0" applyNumberFormat="1" applyFont="1" applyFill="1" applyBorder="1" applyAlignment="1">
      <alignment horizontal="center" vertical="center"/>
    </xf>
    <xf numFmtId="10" fontId="27" fillId="7" borderId="0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/>
    </xf>
    <xf numFmtId="3" fontId="36" fillId="3" borderId="0" xfId="0" applyNumberFormat="1" applyFont="1" applyFill="1" applyAlignment="1">
      <alignment vertical="center"/>
    </xf>
    <xf numFmtId="3" fontId="37" fillId="5" borderId="0" xfId="0" applyNumberFormat="1" applyFont="1" applyFill="1" applyAlignment="1">
      <alignment horizontal="center" vertical="center"/>
    </xf>
    <xf numFmtId="3" fontId="37" fillId="3" borderId="0" xfId="0" applyNumberFormat="1" applyFont="1" applyFill="1" applyAlignment="1">
      <alignment horizontal="center" vertical="center"/>
    </xf>
    <xf numFmtId="3" fontId="36" fillId="5" borderId="0" xfId="0" applyNumberFormat="1" applyFont="1" applyFill="1" applyAlignment="1">
      <alignment horizontal="center" vertical="center"/>
    </xf>
    <xf numFmtId="3" fontId="36" fillId="7" borderId="0" xfId="0" applyNumberFormat="1" applyFont="1" applyFill="1" applyAlignment="1">
      <alignment vertical="center"/>
    </xf>
    <xf numFmtId="0" fontId="60" fillId="0" borderId="0" xfId="0" applyFont="1" applyFill="1" applyAlignment="1">
      <alignment horizontal="left" vertical="center"/>
    </xf>
    <xf numFmtId="1" fontId="10" fillId="0" borderId="10" xfId="0" applyNumberFormat="1" applyFont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2" fontId="26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1" fontId="3" fillId="5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 vertical="center"/>
    </xf>
    <xf numFmtId="164" fontId="22" fillId="0" borderId="0" xfId="0" applyNumberFormat="1" applyFont="1" applyAlignment="1">
      <alignment vertical="center"/>
    </xf>
    <xf numFmtId="2" fontId="3" fillId="11" borderId="1" xfId="0" applyNumberFormat="1" applyFont="1" applyFill="1" applyBorder="1" applyAlignment="1">
      <alignment horizontal="center" vertical="center"/>
    </xf>
    <xf numFmtId="2" fontId="22" fillId="11" borderId="1" xfId="0" applyNumberFormat="1" applyFont="1" applyFill="1" applyBorder="1" applyAlignment="1">
      <alignment horizontal="center" vertical="center"/>
    </xf>
    <xf numFmtId="11" fontId="22" fillId="11" borderId="1" xfId="0" applyNumberFormat="1" applyFont="1" applyFill="1" applyBorder="1" applyAlignment="1">
      <alignment horizontal="center" vertical="center"/>
    </xf>
    <xf numFmtId="2" fontId="22" fillId="11" borderId="0" xfId="0" applyNumberFormat="1" applyFont="1" applyFill="1" applyAlignment="1">
      <alignment horizontal="center" vertical="center"/>
    </xf>
    <xf numFmtId="2" fontId="24" fillId="11" borderId="1" xfId="0" applyNumberFormat="1" applyFont="1" applyFill="1" applyBorder="1" applyAlignment="1">
      <alignment horizontal="center" vertical="center"/>
    </xf>
    <xf numFmtId="11" fontId="3" fillId="11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/>
    </xf>
    <xf numFmtId="2" fontId="20" fillId="0" borderId="0" xfId="0" applyNumberFormat="1" applyFont="1" applyAlignment="1">
      <alignment vertical="center"/>
    </xf>
    <xf numFmtId="1" fontId="24" fillId="0" borderId="0" xfId="0" applyNumberFormat="1" applyFont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165" fontId="24" fillId="0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/>
    <xf numFmtId="0" fontId="24" fillId="0" borderId="0" xfId="0" applyNumberFormat="1" applyFont="1" applyAlignment="1">
      <alignment horizontal="left" readingOrder="1"/>
    </xf>
    <xf numFmtId="0" fontId="22" fillId="0" borderId="0" xfId="0" applyFont="1" applyAlignment="1">
      <alignment horizontal="left" readingOrder="1"/>
    </xf>
    <xf numFmtId="0" fontId="24" fillId="0" borderId="0" xfId="0" applyFont="1" applyFill="1" applyAlignment="1">
      <alignment horizontal="center" readingOrder="1"/>
    </xf>
    <xf numFmtId="0" fontId="3" fillId="9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11" fontId="10" fillId="5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76" fontId="3" fillId="8" borderId="1" xfId="0" applyNumberFormat="1" applyFont="1" applyFill="1" applyBorder="1" applyAlignment="1">
      <alignment horizontal="center"/>
    </xf>
    <xf numFmtId="11" fontId="3" fillId="0" borderId="0" xfId="0" applyNumberFormat="1" applyFont="1" applyAlignment="1">
      <alignment horizontal="left"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9" fontId="3" fillId="7" borderId="1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vertical="center"/>
    </xf>
    <xf numFmtId="11" fontId="60" fillId="0" borderId="0" xfId="0" applyNumberFormat="1" applyFont="1" applyAlignment="1">
      <alignment horizontal="center" vertical="center"/>
    </xf>
    <xf numFmtId="11" fontId="67" fillId="0" borderId="0" xfId="0" applyNumberFormat="1" applyFont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175" fontId="24" fillId="0" borderId="0" xfId="0" applyNumberFormat="1" applyFont="1" applyFill="1" applyBorder="1" applyAlignment="1">
      <alignment vertical="center"/>
    </xf>
    <xf numFmtId="0" fontId="20" fillId="2" borderId="1" xfId="0" quotePrefix="1" applyFont="1" applyFill="1" applyBorder="1" applyAlignment="1">
      <alignment horizontal="center" vertical="center"/>
    </xf>
    <xf numFmtId="10" fontId="20" fillId="2" borderId="1" xfId="0" quotePrefix="1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Fill="1" applyAlignment="1">
      <alignment horizontal="right" vertical="center"/>
    </xf>
    <xf numFmtId="2" fontId="22" fillId="7" borderId="0" xfId="0" applyNumberFormat="1" applyFont="1" applyFill="1" applyAlignment="1">
      <alignment horizontal="right" vertical="center"/>
    </xf>
    <xf numFmtId="2" fontId="34" fillId="7" borderId="0" xfId="0" applyNumberFormat="1" applyFont="1" applyFill="1" applyAlignment="1">
      <alignment horizontal="right" vertical="center"/>
    </xf>
    <xf numFmtId="0" fontId="32" fillId="0" borderId="0" xfId="0" applyFont="1" applyFill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11" fontId="3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176" fontId="34" fillId="7" borderId="0" xfId="0" applyNumberFormat="1" applyFont="1" applyFill="1" applyAlignment="1">
      <alignment horizontal="right" vertical="center"/>
    </xf>
    <xf numFmtId="176" fontId="34" fillId="0" borderId="0" xfId="0" applyNumberFormat="1" applyFont="1" applyAlignment="1">
      <alignment horizontal="left" vertical="center"/>
    </xf>
    <xf numFmtId="176" fontId="22" fillId="7" borderId="0" xfId="0" applyNumberFormat="1" applyFont="1" applyFill="1" applyAlignment="1">
      <alignment horizontal="right" vertical="center"/>
    </xf>
    <xf numFmtId="176" fontId="22" fillId="0" borderId="0" xfId="0" applyNumberFormat="1" applyFont="1" applyAlignment="1">
      <alignment horizontal="left" vertical="center"/>
    </xf>
    <xf numFmtId="176" fontId="22" fillId="0" borderId="0" xfId="0" applyNumberFormat="1" applyFont="1" applyAlignment="1">
      <alignment vertical="center"/>
    </xf>
    <xf numFmtId="0" fontId="25" fillId="0" borderId="0" xfId="0" applyFont="1" applyAlignment="1">
      <alignment horizontal="right"/>
    </xf>
    <xf numFmtId="164" fontId="26" fillId="3" borderId="0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164" fontId="26" fillId="7" borderId="0" xfId="0" applyNumberFormat="1" applyFont="1" applyFill="1" applyBorder="1" applyAlignment="1">
      <alignment horizontal="center" vertical="center"/>
    </xf>
    <xf numFmtId="11" fontId="27" fillId="0" borderId="0" xfId="0" applyNumberFormat="1" applyFont="1" applyFill="1" applyAlignment="1">
      <alignment horizontal="left" vertical="center"/>
    </xf>
    <xf numFmtId="0" fontId="38" fillId="0" borderId="0" xfId="0" applyFont="1" applyFill="1" applyAlignment="1">
      <alignment horizontal="right" vertical="center"/>
    </xf>
    <xf numFmtId="176" fontId="20" fillId="0" borderId="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11" fontId="10" fillId="9" borderId="2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left" vertical="center"/>
    </xf>
    <xf numFmtId="11" fontId="23" fillId="0" borderId="0" xfId="0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center" vertical="center"/>
    </xf>
    <xf numFmtId="10" fontId="10" fillId="12" borderId="0" xfId="0" applyNumberFormat="1" applyFont="1" applyFill="1" applyAlignment="1">
      <alignment horizontal="center" vertical="center"/>
    </xf>
    <xf numFmtId="10" fontId="3" fillId="12" borderId="0" xfId="0" applyNumberFormat="1" applyFont="1" applyFill="1" applyAlignment="1">
      <alignment horizontal="center" vertical="center"/>
    </xf>
    <xf numFmtId="11" fontId="27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" fontId="27" fillId="3" borderId="1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Alignment="1">
      <alignment horizontal="right" vertical="center"/>
    </xf>
    <xf numFmtId="164" fontId="23" fillId="0" borderId="0" xfId="0" applyNumberFormat="1" applyFont="1" applyFill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left" vertical="center"/>
    </xf>
    <xf numFmtId="11" fontId="23" fillId="0" borderId="0" xfId="0" applyNumberFormat="1" applyFont="1" applyFill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11" fontId="56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1" fontId="34" fillId="0" borderId="0" xfId="0" applyNumberFormat="1" applyFont="1" applyFill="1" applyAlignment="1">
      <alignment horizontal="center"/>
    </xf>
    <xf numFmtId="11" fontId="20" fillId="0" borderId="0" xfId="0" applyNumberFormat="1" applyFont="1" applyFill="1" applyAlignment="1">
      <alignment horizontal="left" vertical="center"/>
    </xf>
    <xf numFmtId="11" fontId="48" fillId="0" borderId="0" xfId="0" applyNumberFormat="1" applyFont="1" applyFill="1" applyAlignment="1">
      <alignment horizontal="center" vertical="center"/>
    </xf>
    <xf numFmtId="0" fontId="48" fillId="0" borderId="0" xfId="0" applyFont="1" applyAlignment="1">
      <alignment horizontal="center" vertical="center"/>
    </xf>
    <xf numFmtId="2" fontId="48" fillId="0" borderId="0" xfId="0" applyNumberFormat="1" applyFont="1" applyBorder="1" applyAlignment="1">
      <alignment horizontal="left" vertical="center"/>
    </xf>
    <xf numFmtId="0" fontId="48" fillId="0" borderId="0" xfId="0" applyFont="1" applyFill="1" applyAlignment="1">
      <alignment vertical="center"/>
    </xf>
    <xf numFmtId="0" fontId="48" fillId="0" borderId="0" xfId="0" applyFont="1" applyFill="1" applyAlignment="1">
      <alignment horizontal="center" vertical="center"/>
    </xf>
    <xf numFmtId="4" fontId="48" fillId="0" borderId="0" xfId="0" applyNumberFormat="1" applyFont="1" applyFill="1" applyBorder="1" applyAlignment="1">
      <alignment horizontal="center" vertical="center"/>
    </xf>
    <xf numFmtId="11" fontId="48" fillId="0" borderId="0" xfId="0" applyNumberFormat="1" applyFont="1" applyAlignment="1">
      <alignment vertical="center"/>
    </xf>
    <xf numFmtId="11" fontId="48" fillId="0" borderId="0" xfId="0" applyNumberFormat="1" applyFont="1" applyBorder="1" applyAlignment="1">
      <alignment horizontal="right" vertical="center"/>
    </xf>
    <xf numFmtId="4" fontId="48" fillId="0" borderId="0" xfId="0" applyNumberFormat="1" applyFont="1" applyAlignment="1">
      <alignment horizontal="center" vertical="center"/>
    </xf>
    <xf numFmtId="11" fontId="22" fillId="5" borderId="0" xfId="0" applyNumberFormat="1" applyFont="1" applyFill="1" applyBorder="1" applyAlignment="1">
      <alignment horizontal="center"/>
    </xf>
    <xf numFmtId="11" fontId="22" fillId="7" borderId="0" xfId="0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11" fontId="22" fillId="0" borderId="0" xfId="0" applyNumberFormat="1" applyFont="1" applyFill="1" applyBorder="1" applyAlignment="1">
      <alignment horizontal="center"/>
    </xf>
    <xf numFmtId="11" fontId="20" fillId="0" borderId="0" xfId="0" applyNumberFormat="1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0" fillId="0" borderId="0" xfId="0" applyNumberFormat="1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35" fillId="6" borderId="0" xfId="0" applyFont="1" applyFill="1" applyBorder="1" applyAlignment="1">
      <alignment horizontal="center"/>
    </xf>
    <xf numFmtId="0" fontId="35" fillId="1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22" fillId="5" borderId="0" xfId="0" applyFont="1" applyFill="1" applyBorder="1" applyAlignment="1">
      <alignment horizontal="center"/>
    </xf>
    <xf numFmtId="10" fontId="3" fillId="3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3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right"/>
    </xf>
    <xf numFmtId="0" fontId="25" fillId="0" borderId="0" xfId="0" applyFont="1" applyBorder="1" applyAlignment="1">
      <alignment horizontal="center"/>
    </xf>
    <xf numFmtId="9" fontId="22" fillId="0" borderId="0" xfId="0" applyNumberFormat="1" applyFont="1" applyBorder="1" applyAlignment="1">
      <alignment horizontal="center"/>
    </xf>
    <xf numFmtId="9" fontId="25" fillId="0" borderId="0" xfId="0" applyNumberFormat="1" applyFont="1" applyBorder="1" applyAlignment="1">
      <alignment horizontal="center"/>
    </xf>
    <xf numFmtId="10" fontId="24" fillId="0" borderId="0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2" fontId="65" fillId="0" borderId="0" xfId="0" applyNumberFormat="1" applyFont="1" applyAlignment="1">
      <alignment vertical="center"/>
    </xf>
    <xf numFmtId="2" fontId="65" fillId="0" borderId="0" xfId="0" applyNumberFormat="1" applyFont="1" applyAlignment="1">
      <alignment horizontal="left" vertical="center"/>
    </xf>
    <xf numFmtId="2" fontId="46" fillId="0" borderId="0" xfId="0" applyNumberFormat="1" applyFont="1" applyAlignment="1">
      <alignment horizontal="center" vertical="center"/>
    </xf>
    <xf numFmtId="4" fontId="24" fillId="0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9" fontId="22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>
      <alignment horizontal="center" vertical="center"/>
    </xf>
    <xf numFmtId="11" fontId="34" fillId="0" borderId="0" xfId="0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right" vertical="center"/>
    </xf>
    <xf numFmtId="10" fontId="35" fillId="0" borderId="0" xfId="0" applyNumberFormat="1" applyFont="1" applyFill="1" applyBorder="1" applyAlignment="1">
      <alignment vertical="center"/>
    </xf>
    <xf numFmtId="11" fontId="35" fillId="0" borderId="0" xfId="0" applyNumberFormat="1" applyFont="1" applyFill="1" applyBorder="1" applyAlignment="1">
      <alignment horizontal="right" vertical="center"/>
    </xf>
    <xf numFmtId="2" fontId="35" fillId="0" borderId="0" xfId="0" applyNumberFormat="1" applyFont="1" applyFill="1" applyBorder="1" applyAlignment="1">
      <alignment horizontal="right" vertical="center"/>
    </xf>
    <xf numFmtId="0" fontId="35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vertical="center"/>
    </xf>
    <xf numFmtId="10" fontId="22" fillId="0" borderId="0" xfId="0" applyNumberFormat="1" applyFont="1" applyFill="1" applyAlignment="1">
      <alignment horizontal="left" vertical="center"/>
    </xf>
    <xf numFmtId="10" fontId="27" fillId="0" borderId="0" xfId="0" applyNumberFormat="1" applyFont="1" applyAlignment="1">
      <alignment vertical="center"/>
    </xf>
    <xf numFmtId="10" fontId="26" fillId="0" borderId="0" xfId="0" applyNumberFormat="1" applyFont="1" applyFill="1" applyAlignment="1">
      <alignment horizontal="right" vertical="center"/>
    </xf>
    <xf numFmtId="10" fontId="27" fillId="0" borderId="0" xfId="0" applyNumberFormat="1" applyFont="1" applyFill="1" applyAlignment="1">
      <alignment horizontal="right" vertical="center"/>
    </xf>
    <xf numFmtId="174" fontId="27" fillId="0" borderId="0" xfId="0" applyNumberFormat="1" applyFont="1" applyAlignment="1">
      <alignment horizontal="left" vertical="center"/>
    </xf>
    <xf numFmtId="174" fontId="22" fillId="0" borderId="2" xfId="0" applyNumberFormat="1" applyFont="1" applyBorder="1" applyAlignment="1">
      <alignment horizontal="left" vertical="center"/>
    </xf>
    <xf numFmtId="174" fontId="25" fillId="0" borderId="0" xfId="0" applyNumberFormat="1" applyFont="1" applyAlignment="1">
      <alignment horizontal="left"/>
    </xf>
    <xf numFmtId="174" fontId="22" fillId="0" borderId="0" xfId="0" applyNumberFormat="1" applyFont="1" applyAlignment="1">
      <alignment horizontal="left"/>
    </xf>
    <xf numFmtId="174" fontId="22" fillId="0" borderId="2" xfId="0" applyNumberFormat="1" applyFont="1" applyBorder="1" applyAlignment="1">
      <alignment horizontal="right" vertical="center"/>
    </xf>
    <xf numFmtId="174" fontId="10" fillId="0" borderId="0" xfId="0" applyNumberFormat="1" applyFont="1" applyAlignment="1">
      <alignment vertical="center"/>
    </xf>
    <xf numFmtId="10" fontId="22" fillId="0" borderId="0" xfId="0" applyNumberFormat="1" applyFont="1"/>
    <xf numFmtId="2" fontId="27" fillId="0" borderId="0" xfId="0" applyNumberFormat="1" applyFont="1" applyAlignment="1">
      <alignment horizontal="center"/>
    </xf>
    <xf numFmtId="2" fontId="27" fillId="0" borderId="0" xfId="0" applyNumberFormat="1" applyFont="1" applyFill="1" applyAlignment="1">
      <alignment horizontal="center"/>
    </xf>
    <xf numFmtId="10" fontId="27" fillId="0" borderId="0" xfId="0" applyNumberFormat="1" applyFont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0" fontId="58" fillId="0" borderId="0" xfId="0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left" vertical="center"/>
    </xf>
    <xf numFmtId="0" fontId="34" fillId="0" borderId="0" xfId="0" applyNumberFormat="1" applyFont="1" applyFill="1" applyBorder="1" applyAlignment="1">
      <alignment vertical="center"/>
    </xf>
    <xf numFmtId="164" fontId="20" fillId="0" borderId="1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9" fontId="3" fillId="0" borderId="0" xfId="0" applyNumberFormat="1" applyFont="1" applyFill="1" applyAlignment="1">
      <alignment horizontal="right" vertical="center"/>
    </xf>
    <xf numFmtId="2" fontId="34" fillId="0" borderId="0" xfId="0" applyNumberFormat="1" applyFont="1" applyFill="1" applyAlignment="1">
      <alignment horizontal="right" vertical="center"/>
    </xf>
    <xf numFmtId="1" fontId="3" fillId="0" borderId="0" xfId="0" applyNumberFormat="1" applyFont="1" applyFill="1" applyBorder="1" applyAlignment="1">
      <alignment vertical="center"/>
    </xf>
    <xf numFmtId="164" fontId="20" fillId="2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vertical="center"/>
    </xf>
    <xf numFmtId="4" fontId="24" fillId="0" borderId="0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left" vertical="center"/>
    </xf>
    <xf numFmtId="172" fontId="3" fillId="0" borderId="1" xfId="0" applyNumberFormat="1" applyFont="1" applyFill="1" applyBorder="1" applyAlignment="1">
      <alignment horizontal="center" vertical="center"/>
    </xf>
    <xf numFmtId="3" fontId="27" fillId="0" borderId="1" xfId="0" applyNumberFormat="1" applyFont="1" applyFill="1" applyBorder="1" applyAlignment="1">
      <alignment horizontal="center" vertical="center"/>
    </xf>
    <xf numFmtId="4" fontId="22" fillId="0" borderId="0" xfId="0" applyNumberFormat="1" applyFont="1" applyBorder="1" applyAlignment="1">
      <alignment vertical="center"/>
    </xf>
    <xf numFmtId="3" fontId="24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Border="1" applyAlignment="1">
      <alignment vertical="center"/>
    </xf>
    <xf numFmtId="1" fontId="3" fillId="0" borderId="0" xfId="0" applyNumberFormat="1" applyFont="1" applyAlignment="1">
      <alignment horizontal="right" vertical="center"/>
    </xf>
    <xf numFmtId="11" fontId="22" fillId="0" borderId="0" xfId="0" applyNumberFormat="1" applyFont="1"/>
    <xf numFmtId="11" fontId="25" fillId="0" borderId="0" xfId="0" applyNumberFormat="1" applyFont="1" applyAlignment="1">
      <alignment horizontal="right" vertical="center"/>
    </xf>
    <xf numFmtId="0" fontId="26" fillId="2" borderId="1" xfId="0" applyFont="1" applyFill="1" applyBorder="1" applyAlignment="1">
      <alignment horizontal="center" vertical="center"/>
    </xf>
    <xf numFmtId="11" fontId="22" fillId="9" borderId="1" xfId="0" applyNumberFormat="1" applyFont="1" applyFill="1" applyBorder="1" applyAlignment="1">
      <alignment horizontal="center" vertical="center"/>
    </xf>
    <xf numFmtId="11" fontId="3" fillId="7" borderId="3" xfId="0" applyNumberFormat="1" applyFont="1" applyFill="1" applyBorder="1" applyAlignment="1">
      <alignment horizontal="center" vertical="center"/>
    </xf>
    <xf numFmtId="176" fontId="3" fillId="7" borderId="3" xfId="0" applyNumberFormat="1" applyFont="1" applyFill="1" applyBorder="1" applyAlignment="1">
      <alignment horizontal="center" vertical="center"/>
    </xf>
    <xf numFmtId="11" fontId="3" fillId="3" borderId="7" xfId="0" applyNumberFormat="1" applyFont="1" applyFill="1" applyBorder="1" applyAlignment="1">
      <alignment horizontal="center"/>
    </xf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horizontal="center" vertical="center"/>
    </xf>
    <xf numFmtId="11" fontId="60" fillId="0" borderId="0" xfId="0" applyNumberFormat="1" applyFont="1" applyFill="1" applyAlignment="1">
      <alignment horizontal="center" vertical="center"/>
    </xf>
    <xf numFmtId="168" fontId="22" fillId="0" borderId="0" xfId="0" applyNumberFormat="1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horizontal="left" vertical="center"/>
    </xf>
    <xf numFmtId="164" fontId="20" fillId="0" borderId="0" xfId="0" applyNumberFormat="1" applyFont="1" applyFill="1" applyBorder="1" applyAlignment="1">
      <alignment horizontal="left" vertical="center"/>
    </xf>
    <xf numFmtId="3" fontId="20" fillId="3" borderId="0" xfId="0" applyNumberFormat="1" applyFont="1" applyFill="1" applyBorder="1" applyAlignment="1">
      <alignment horizontal="center"/>
    </xf>
    <xf numFmtId="10" fontId="20" fillId="0" borderId="0" xfId="0" applyNumberFormat="1" applyFont="1" applyBorder="1" applyAlignment="1">
      <alignment horizontal="center" vertical="center"/>
    </xf>
    <xf numFmtId="10" fontId="40" fillId="0" borderId="0" xfId="0" applyNumberFormat="1" applyFont="1" applyAlignment="1">
      <alignment horizontal="right" vertical="center"/>
    </xf>
    <xf numFmtId="10" fontId="34" fillId="0" borderId="0" xfId="0" applyNumberFormat="1" applyFont="1" applyFill="1" applyBorder="1" applyAlignment="1">
      <alignment vertical="center"/>
    </xf>
    <xf numFmtId="10" fontId="34" fillId="0" borderId="0" xfId="0" applyNumberFormat="1" applyFont="1" applyFill="1" applyBorder="1" applyAlignment="1">
      <alignment horizontal="right" vertical="center"/>
    </xf>
    <xf numFmtId="10" fontId="40" fillId="0" borderId="0" xfId="0" applyNumberFormat="1" applyFont="1" applyFill="1" applyBorder="1" applyAlignment="1">
      <alignment horizontal="right" vertical="center"/>
    </xf>
    <xf numFmtId="9" fontId="22" fillId="0" borderId="0" xfId="0" applyNumberFormat="1" applyFont="1" applyAlignment="1">
      <alignment vertical="center"/>
    </xf>
    <xf numFmtId="174" fontId="22" fillId="0" borderId="0" xfId="0" applyNumberFormat="1" applyFont="1"/>
    <xf numFmtId="11" fontId="34" fillId="0" borderId="0" xfId="0" applyNumberFormat="1" applyFont="1" applyAlignment="1">
      <alignment horizontal="right" vertical="center"/>
    </xf>
    <xf numFmtId="11" fontId="40" fillId="0" borderId="0" xfId="0" applyNumberFormat="1" applyFont="1" applyFill="1" applyBorder="1" applyAlignment="1">
      <alignment horizontal="center" vertical="center"/>
    </xf>
    <xf numFmtId="10" fontId="34" fillId="0" borderId="0" xfId="0" applyNumberFormat="1" applyFont="1" applyAlignment="1">
      <alignment horizontal="right" vertical="center"/>
    </xf>
    <xf numFmtId="10" fontId="22" fillId="0" borderId="0" xfId="0" applyNumberFormat="1" applyFont="1" applyAlignment="1">
      <alignment horizontal="right" vertical="center"/>
    </xf>
    <xf numFmtId="11" fontId="60" fillId="0" borderId="0" xfId="0" applyNumberFormat="1" applyFont="1" applyFill="1" applyBorder="1" applyAlignment="1">
      <alignment horizontal="center" vertical="center"/>
    </xf>
    <xf numFmtId="11" fontId="68" fillId="0" borderId="0" xfId="0" applyNumberFormat="1" applyFont="1" applyFill="1" applyBorder="1" applyAlignment="1">
      <alignment horizontal="center" vertical="center"/>
    </xf>
    <xf numFmtId="11" fontId="66" fillId="0" borderId="0" xfId="0" applyNumberFormat="1" applyFont="1" applyFill="1" applyBorder="1" applyAlignment="1">
      <alignment horizontal="center" vertical="center"/>
    </xf>
    <xf numFmtId="10" fontId="24" fillId="0" borderId="0" xfId="0" applyNumberFormat="1" applyFont="1" applyBorder="1" applyAlignment="1">
      <alignment horizontal="center" vertical="center"/>
    </xf>
    <xf numFmtId="10" fontId="25" fillId="0" borderId="0" xfId="0" applyNumberFormat="1" applyFont="1" applyAlignment="1">
      <alignment vertical="center"/>
    </xf>
    <xf numFmtId="10" fontId="40" fillId="0" borderId="0" xfId="0" applyNumberFormat="1" applyFont="1" applyFill="1" applyAlignment="1">
      <alignment horizontal="right" vertical="center"/>
    </xf>
    <xf numFmtId="0" fontId="26" fillId="0" borderId="0" xfId="0" applyFont="1" applyFill="1" applyAlignment="1">
      <alignment horizontal="left" vertical="center"/>
    </xf>
    <xf numFmtId="0" fontId="28" fillId="0" borderId="0" xfId="0" applyFont="1" applyAlignment="1"/>
    <xf numFmtId="0" fontId="26" fillId="0" borderId="0" xfId="0" quotePrefix="1" applyFont="1" applyFill="1" applyAlignment="1">
      <alignment horizontal="left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vertical="center"/>
    </xf>
    <xf numFmtId="2" fontId="26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22" fillId="0" borderId="0" xfId="0" applyFont="1" applyAlignment="1">
      <alignment horizontal="center" vertical="center"/>
    </xf>
    <xf numFmtId="167" fontId="22" fillId="0" borderId="0" xfId="0" applyNumberFormat="1" applyFont="1" applyFill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167" fontId="22" fillId="0" borderId="0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22" fillId="0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168" fontId="22" fillId="0" borderId="0" xfId="0" applyNumberFormat="1" applyFont="1" applyAlignment="1">
      <alignment vertical="center"/>
    </xf>
    <xf numFmtId="0" fontId="63" fillId="0" borderId="0" xfId="0" applyFont="1" applyBorder="1" applyAlignment="1">
      <alignment horizontal="left"/>
    </xf>
    <xf numFmtId="11" fontId="63" fillId="0" borderId="0" xfId="0" applyNumberFormat="1" applyFont="1" applyBorder="1" applyAlignment="1">
      <alignment horizontal="left"/>
    </xf>
    <xf numFmtId="164" fontId="24" fillId="0" borderId="0" xfId="0" applyNumberFormat="1" applyFont="1" applyAlignment="1">
      <alignment horizontal="center"/>
    </xf>
    <xf numFmtId="0" fontId="29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64" fontId="20" fillId="0" borderId="0" xfId="0" applyNumberFormat="1" applyFont="1" applyAlignment="1">
      <alignment horizontal="center"/>
    </xf>
    <xf numFmtId="3" fontId="59" fillId="0" borderId="0" xfId="0" applyNumberFormat="1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2" fontId="40" fillId="0" borderId="0" xfId="0" applyNumberFormat="1" applyFont="1" applyFill="1" applyBorder="1" applyAlignment="1">
      <alignment horizontal="center"/>
    </xf>
    <xf numFmtId="3" fontId="22" fillId="5" borderId="0" xfId="0" applyNumberFormat="1" applyFont="1" applyFill="1" applyBorder="1" applyAlignment="1">
      <alignment horizontal="center"/>
    </xf>
    <xf numFmtId="3" fontId="22" fillId="3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2" fillId="0" borderId="0" xfId="0" applyFont="1" applyBorder="1" applyAlignment="1">
      <alignment horizontal="right"/>
    </xf>
    <xf numFmtId="10" fontId="22" fillId="0" borderId="0" xfId="0" applyNumberFormat="1" applyFont="1" applyAlignment="1">
      <alignment horizontal="left"/>
    </xf>
    <xf numFmtId="168" fontId="10" fillId="0" borderId="0" xfId="0" applyNumberFormat="1" applyFont="1" applyFill="1" applyBorder="1" applyAlignment="1">
      <alignment horizontal="center"/>
    </xf>
    <xf numFmtId="9" fontId="22" fillId="0" borderId="0" xfId="0" applyNumberFormat="1" applyFont="1" applyBorder="1" applyAlignment="1">
      <alignment horizontal="left"/>
    </xf>
    <xf numFmtId="10" fontId="27" fillId="0" borderId="0" xfId="0" applyNumberFormat="1" applyFont="1" applyBorder="1" applyAlignment="1">
      <alignment vertical="center"/>
    </xf>
    <xf numFmtId="10" fontId="22" fillId="0" borderId="0" xfId="0" applyNumberFormat="1" applyFont="1" applyFill="1" applyBorder="1" applyAlignment="1">
      <alignment horizontal="left" vertical="center"/>
    </xf>
    <xf numFmtId="10" fontId="27" fillId="0" borderId="0" xfId="0" applyNumberFormat="1" applyFont="1" applyFill="1" applyBorder="1" applyAlignment="1">
      <alignment horizontal="right" vertical="center"/>
    </xf>
    <xf numFmtId="174" fontId="25" fillId="0" borderId="0" xfId="0" applyNumberFormat="1" applyFont="1" applyBorder="1" applyAlignment="1">
      <alignment horizontal="left"/>
    </xf>
    <xf numFmtId="10" fontId="22" fillId="0" borderId="0" xfId="0" applyNumberFormat="1" applyFont="1" applyBorder="1" applyAlignment="1">
      <alignment vertical="center"/>
    </xf>
    <xf numFmtId="10" fontId="26" fillId="0" borderId="0" xfId="0" applyNumberFormat="1" applyFont="1" applyFill="1" applyBorder="1" applyAlignment="1">
      <alignment horizontal="right" vertical="center"/>
    </xf>
    <xf numFmtId="174" fontId="22" fillId="0" borderId="0" xfId="0" applyNumberFormat="1" applyFont="1" applyBorder="1" applyAlignment="1">
      <alignment horizontal="left"/>
    </xf>
    <xf numFmtId="2" fontId="10" fillId="0" borderId="0" xfId="0" applyNumberFormat="1" applyFont="1" applyBorder="1" applyAlignment="1">
      <alignment horizontal="center"/>
    </xf>
    <xf numFmtId="9" fontId="59" fillId="0" borderId="0" xfId="0" applyNumberFormat="1" applyFont="1" applyFill="1" applyBorder="1" applyAlignment="1">
      <alignment horizontal="center"/>
    </xf>
    <xf numFmtId="168" fontId="22" fillId="0" borderId="0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 vertical="center"/>
    </xf>
    <xf numFmtId="168" fontId="25" fillId="0" borderId="0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1" fontId="20" fillId="3" borderId="0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right"/>
    </xf>
    <xf numFmtId="0" fontId="32" fillId="0" borderId="0" xfId="0" applyFont="1" applyBorder="1" applyAlignment="1">
      <alignment horizontal="left"/>
    </xf>
    <xf numFmtId="0" fontId="26" fillId="0" borderId="0" xfId="0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1" fontId="22" fillId="9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60" fillId="0" borderId="0" xfId="0" applyFont="1" applyFill="1" applyAlignment="1">
      <alignment horizontal="right"/>
    </xf>
    <xf numFmtId="0" fontId="31" fillId="0" borderId="0" xfId="0" applyFont="1" applyFill="1" applyBorder="1" applyAlignment="1">
      <alignment horizontal="center"/>
    </xf>
    <xf numFmtId="11" fontId="25" fillId="9" borderId="2" xfId="0" applyNumberFormat="1" applyFont="1" applyFill="1" applyBorder="1" applyAlignment="1">
      <alignment horizontal="center" vertical="center"/>
    </xf>
    <xf numFmtId="11" fontId="49" fillId="0" borderId="0" xfId="0" applyNumberFormat="1" applyFont="1" applyAlignment="1">
      <alignment horizontal="right" vertical="center"/>
    </xf>
    <xf numFmtId="0" fontId="3" fillId="0" borderId="0" xfId="0" applyFont="1" applyFill="1" applyAlignment="1">
      <alignment horizontal="center"/>
    </xf>
    <xf numFmtId="10" fontId="22" fillId="4" borderId="0" xfId="0" applyNumberFormat="1" applyFont="1" applyFill="1" applyBorder="1" applyAlignment="1">
      <alignment horizontal="center"/>
    </xf>
    <xf numFmtId="10" fontId="22" fillId="13" borderId="0" xfId="0" applyNumberFormat="1" applyFont="1" applyFill="1" applyBorder="1" applyAlignment="1">
      <alignment horizontal="center"/>
    </xf>
    <xf numFmtId="11" fontId="22" fillId="9" borderId="0" xfId="0" applyNumberFormat="1" applyFont="1" applyFill="1" applyBorder="1" applyAlignment="1">
      <alignment horizontal="center"/>
    </xf>
    <xf numFmtId="0" fontId="68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3" fillId="9" borderId="1" xfId="0" applyNumberFormat="1" applyFont="1" applyFill="1" applyBorder="1" applyAlignment="1">
      <alignment horizontal="center"/>
    </xf>
    <xf numFmtId="11" fontId="26" fillId="0" borderId="1" xfId="0" applyNumberFormat="1" applyFont="1" applyFill="1" applyBorder="1" applyAlignment="1">
      <alignment horizontal="center" vertical="center"/>
    </xf>
    <xf numFmtId="11" fontId="10" fillId="0" borderId="0" xfId="0" applyNumberFormat="1" applyFont="1" applyFill="1" applyBorder="1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center"/>
    </xf>
    <xf numFmtId="3" fontId="27" fillId="7" borderId="1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left"/>
    </xf>
    <xf numFmtId="0" fontId="9" fillId="0" borderId="0" xfId="0" applyFont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2" fontId="24" fillId="0" borderId="0" xfId="0" applyNumberFormat="1" applyFont="1" applyAlignment="1">
      <alignment horizontal="right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26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1" fontId="24" fillId="0" borderId="0" xfId="0" applyNumberFormat="1" applyFont="1" applyAlignment="1">
      <alignment horizontal="left" vertical="center"/>
    </xf>
    <xf numFmtId="11" fontId="34" fillId="0" borderId="0" xfId="0" applyNumberFormat="1" applyFont="1" applyFill="1" applyAlignment="1">
      <alignment horizontal="left"/>
    </xf>
    <xf numFmtId="164" fontId="10" fillId="7" borderId="1" xfId="0" applyNumberFormat="1" applyFont="1" applyFill="1" applyBorder="1" applyAlignment="1">
      <alignment horizontal="center" vertical="center"/>
    </xf>
    <xf numFmtId="179" fontId="10" fillId="7" borderId="1" xfId="0" applyNumberFormat="1" applyFont="1" applyFill="1" applyBorder="1" applyAlignment="1">
      <alignment horizontal="center"/>
    </xf>
    <xf numFmtId="0" fontId="39" fillId="9" borderId="0" xfId="0" applyFont="1" applyFill="1" applyBorder="1" applyAlignment="1">
      <alignment horizontal="center"/>
    </xf>
    <xf numFmtId="0" fontId="31" fillId="5" borderId="0" xfId="0" applyFont="1" applyFill="1" applyAlignment="1">
      <alignment horizontal="center" vertical="center"/>
    </xf>
    <xf numFmtId="2" fontId="27" fillId="0" borderId="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8" fillId="0" borderId="0" xfId="0" applyFont="1" applyAlignment="1">
      <alignment horizontal="right" vertical="center"/>
    </xf>
    <xf numFmtId="2" fontId="20" fillId="0" borderId="2" xfId="0" applyNumberFormat="1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11" fontId="34" fillId="0" borderId="2" xfId="0" applyNumberFormat="1" applyFont="1" applyFill="1" applyBorder="1" applyAlignment="1">
      <alignment horizontal="center" vertical="center"/>
    </xf>
    <xf numFmtId="11" fontId="22" fillId="6" borderId="0" xfId="0" applyNumberFormat="1" applyFont="1" applyFill="1" applyBorder="1" applyAlignment="1">
      <alignment horizontal="center"/>
    </xf>
    <xf numFmtId="11" fontId="22" fillId="6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" fontId="22" fillId="0" borderId="1" xfId="0" applyNumberFormat="1" applyFont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9" fontId="10" fillId="0" borderId="0" xfId="0" applyNumberFormat="1" applyFont="1" applyFill="1" applyAlignment="1">
      <alignment horizontal="center"/>
    </xf>
    <xf numFmtId="164" fontId="20" fillId="7" borderId="0" xfId="0" applyNumberFormat="1" applyFont="1" applyFill="1" applyAlignment="1">
      <alignment horizontal="right" vertical="center"/>
    </xf>
    <xf numFmtId="164" fontId="34" fillId="0" borderId="0" xfId="0" applyNumberFormat="1" applyFont="1" applyAlignment="1">
      <alignment horizontal="left" vertical="center"/>
    </xf>
    <xf numFmtId="164" fontId="22" fillId="7" borderId="0" xfId="0" applyNumberFormat="1" applyFont="1" applyFill="1" applyAlignment="1">
      <alignment horizontal="right" vertical="center"/>
    </xf>
    <xf numFmtId="164" fontId="34" fillId="0" borderId="0" xfId="0" applyNumberFormat="1" applyFont="1" applyAlignment="1">
      <alignment horizontal="center" vertical="center"/>
    </xf>
    <xf numFmtId="164" fontId="34" fillId="7" borderId="0" xfId="0" applyNumberFormat="1" applyFont="1" applyFill="1" applyAlignment="1">
      <alignment horizontal="center" vertical="center"/>
    </xf>
    <xf numFmtId="2" fontId="65" fillId="0" borderId="0" xfId="0" applyNumberFormat="1" applyFont="1" applyAlignment="1">
      <alignment horizontal="right" vertical="center"/>
    </xf>
    <xf numFmtId="2" fontId="34" fillId="0" borderId="0" xfId="0" applyNumberFormat="1" applyFont="1" applyAlignment="1">
      <alignment horizontal="right" vertical="center"/>
    </xf>
    <xf numFmtId="2" fontId="65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68" fontId="22" fillId="0" borderId="0" xfId="0" applyNumberFormat="1" applyFont="1" applyAlignment="1">
      <alignment horizontal="center" vertical="center"/>
    </xf>
    <xf numFmtId="2" fontId="64" fillId="0" borderId="0" xfId="0" applyNumberFormat="1" applyFont="1" applyAlignment="1">
      <alignment vertical="center"/>
    </xf>
    <xf numFmtId="0" fontId="80" fillId="0" borderId="0" xfId="0" applyFont="1" applyAlignment="1">
      <alignment horizontal="center"/>
    </xf>
    <xf numFmtId="168" fontId="25" fillId="0" borderId="0" xfId="0" applyNumberFormat="1" applyFont="1" applyAlignment="1">
      <alignment horizontal="center" vertical="center"/>
    </xf>
    <xf numFmtId="168" fontId="64" fillId="0" borderId="0" xfId="0" applyNumberFormat="1" applyFont="1" applyAlignment="1">
      <alignment horizontal="center" vertical="center"/>
    </xf>
    <xf numFmtId="168" fontId="25" fillId="0" borderId="0" xfId="0" applyNumberFormat="1" applyFont="1" applyFill="1" applyAlignment="1">
      <alignment horizontal="center" vertical="center"/>
    </xf>
    <xf numFmtId="11" fontId="65" fillId="0" borderId="0" xfId="0" applyNumberFormat="1" applyFont="1" applyAlignment="1">
      <alignment horizontal="center" vertical="center"/>
    </xf>
    <xf numFmtId="170" fontId="3" fillId="11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Alignment="1">
      <alignment horizontal="center" vertical="center"/>
    </xf>
    <xf numFmtId="171" fontId="27" fillId="0" borderId="0" xfId="0" applyNumberFormat="1" applyFont="1" applyAlignment="1">
      <alignment horizontal="center" vertical="center"/>
    </xf>
    <xf numFmtId="9" fontId="22" fillId="0" borderId="0" xfId="0" applyNumberFormat="1" applyFont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10" fontId="22" fillId="3" borderId="0" xfId="0" applyNumberFormat="1" applyFont="1" applyFill="1" applyAlignment="1">
      <alignment horizontal="center"/>
    </xf>
    <xf numFmtId="10" fontId="22" fillId="5" borderId="0" xfId="0" applyNumberFormat="1" applyFont="1" applyFill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10" fillId="6" borderId="0" xfId="0" applyFont="1" applyFill="1" applyAlignment="1">
      <alignment horizontal="center" vertical="center"/>
    </xf>
    <xf numFmtId="168" fontId="27" fillId="2" borderId="1" xfId="0" applyNumberFormat="1" applyFont="1" applyFill="1" applyBorder="1" applyAlignment="1">
      <alignment horizontal="center"/>
    </xf>
    <xf numFmtId="0" fontId="33" fillId="0" borderId="0" xfId="0" applyFont="1" applyAlignment="1">
      <alignment horizontal="right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/>
    </xf>
    <xf numFmtId="11" fontId="25" fillId="9" borderId="1" xfId="0" applyNumberFormat="1" applyFont="1" applyFill="1" applyBorder="1" applyAlignment="1">
      <alignment horizontal="center"/>
    </xf>
    <xf numFmtId="168" fontId="10" fillId="9" borderId="1" xfId="0" applyNumberFormat="1" applyFont="1" applyFill="1" applyBorder="1" applyAlignment="1">
      <alignment horizontal="center"/>
    </xf>
    <xf numFmtId="10" fontId="22" fillId="7" borderId="0" xfId="0" applyNumberFormat="1" applyFont="1" applyFill="1" applyAlignment="1">
      <alignment horizontal="center"/>
    </xf>
    <xf numFmtId="49" fontId="25" fillId="0" borderId="0" xfId="0" applyNumberFormat="1" applyFont="1" applyFill="1" applyAlignment="1">
      <alignment horizontal="center"/>
    </xf>
    <xf numFmtId="164" fontId="40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164" fontId="34" fillId="0" borderId="0" xfId="0" applyNumberFormat="1" applyFont="1" applyFill="1" applyAlignment="1">
      <alignment horizontal="center"/>
    </xf>
    <xf numFmtId="164" fontId="24" fillId="0" borderId="0" xfId="0" applyNumberFormat="1" applyFont="1" applyFill="1" applyAlignment="1">
      <alignment horizontal="center"/>
    </xf>
    <xf numFmtId="164" fontId="27" fillId="0" borderId="0" xfId="0" applyNumberFormat="1" applyFont="1" applyFill="1" applyAlignment="1">
      <alignment horizontal="center"/>
    </xf>
    <xf numFmtId="0" fontId="68" fillId="0" borderId="0" xfId="0" applyFont="1" applyFill="1" applyAlignment="1">
      <alignment horizontal="center"/>
    </xf>
    <xf numFmtId="164" fontId="79" fillId="0" borderId="0" xfId="0" applyNumberFormat="1" applyFont="1" applyFill="1" applyAlignment="1">
      <alignment horizontal="center"/>
    </xf>
    <xf numFmtId="2" fontId="25" fillId="0" borderId="0" xfId="0" applyNumberFormat="1" applyFont="1" applyFill="1" applyAlignment="1">
      <alignment horizontal="center"/>
    </xf>
    <xf numFmtId="0" fontId="60" fillId="0" borderId="0" xfId="0" applyFont="1" applyFill="1"/>
    <xf numFmtId="9" fontId="25" fillId="0" borderId="0" xfId="0" applyNumberFormat="1" applyFont="1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64" fontId="31" fillId="0" borderId="0" xfId="0" applyNumberFormat="1" applyFont="1" applyAlignment="1">
      <alignment vertical="center"/>
    </xf>
    <xf numFmtId="4" fontId="3" fillId="9" borderId="1" xfId="0" applyNumberFormat="1" applyFont="1" applyFill="1" applyBorder="1" applyAlignment="1">
      <alignment horizontal="center" vertical="center"/>
    </xf>
    <xf numFmtId="168" fontId="3" fillId="9" borderId="1" xfId="0" applyNumberFormat="1" applyFont="1" applyFill="1" applyBorder="1" applyAlignment="1">
      <alignment horizontal="center" vertical="center"/>
    </xf>
    <xf numFmtId="171" fontId="3" fillId="3" borderId="1" xfId="0" applyNumberFormat="1" applyFont="1" applyFill="1" applyBorder="1" applyAlignment="1">
      <alignment horizontal="center"/>
    </xf>
    <xf numFmtId="171" fontId="3" fillId="5" borderId="1" xfId="0" applyNumberFormat="1" applyFont="1" applyFill="1" applyBorder="1" applyAlignment="1">
      <alignment horizontal="center"/>
    </xf>
    <xf numFmtId="171" fontId="3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9" fontId="22" fillId="0" borderId="0" xfId="0" applyNumberFormat="1" applyFont="1" applyFill="1" applyAlignment="1">
      <alignment horizontal="center" vertical="center"/>
    </xf>
    <xf numFmtId="171" fontId="24" fillId="0" borderId="0" xfId="0" applyNumberFormat="1" applyFont="1" applyFill="1" applyAlignment="1">
      <alignment horizontal="center" vertical="center"/>
    </xf>
    <xf numFmtId="2" fontId="16" fillId="0" borderId="0" xfId="0" applyNumberFormat="1" applyFont="1" applyFill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2" fontId="22" fillId="4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horizontal="left"/>
    </xf>
    <xf numFmtId="2" fontId="60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9" fontId="20" fillId="2" borderId="1" xfId="0" quotePrefix="1" applyNumberFormat="1" applyFont="1" applyFill="1" applyBorder="1" applyAlignment="1">
      <alignment horizontal="center" vertical="center"/>
    </xf>
    <xf numFmtId="0" fontId="24" fillId="0" borderId="0" xfId="0" applyFont="1" applyBorder="1"/>
    <xf numFmtId="10" fontId="34" fillId="0" borderId="0" xfId="0" applyNumberFormat="1" applyFont="1" applyAlignment="1">
      <alignment horizontal="center"/>
    </xf>
    <xf numFmtId="9" fontId="40" fillId="0" borderId="0" xfId="0" applyNumberFormat="1" applyFont="1" applyBorder="1" applyAlignment="1">
      <alignment horizontal="center"/>
    </xf>
    <xf numFmtId="0" fontId="26" fillId="0" borderId="0" xfId="0" applyFont="1" applyBorder="1"/>
    <xf numFmtId="9" fontId="40" fillId="0" borderId="0" xfId="0" applyNumberFormat="1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2" fontId="22" fillId="0" borderId="0" xfId="0" applyNumberFormat="1" applyFont="1" applyFill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/>
    </xf>
    <xf numFmtId="164" fontId="61" fillId="0" borderId="0" xfId="0" applyNumberFormat="1" applyFont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49" fontId="25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1" fontId="22" fillId="0" borderId="0" xfId="0" applyNumberFormat="1" applyFont="1" applyFill="1" applyBorder="1"/>
    <xf numFmtId="168" fontId="22" fillId="0" borderId="0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2" fontId="22" fillId="0" borderId="0" xfId="0" applyNumberFormat="1" applyFont="1" applyFill="1" applyBorder="1" applyAlignment="1">
      <alignment horizontal="left"/>
    </xf>
    <xf numFmtId="0" fontId="82" fillId="0" borderId="0" xfId="0" applyFont="1" applyFill="1" applyAlignment="1">
      <alignment horizontal="center" vertical="center"/>
    </xf>
    <xf numFmtId="2" fontId="82" fillId="0" borderId="0" xfId="0" applyNumberFormat="1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/>
    </xf>
    <xf numFmtId="0" fontId="83" fillId="0" borderId="0" xfId="0" applyFont="1" applyBorder="1" applyAlignment="1">
      <alignment horizontal="left"/>
    </xf>
    <xf numFmtId="0" fontId="29" fillId="0" borderId="0" xfId="0" applyFont="1" applyAlignment="1">
      <alignment vertical="center"/>
    </xf>
    <xf numFmtId="0" fontId="83" fillId="0" borderId="0" xfId="0" applyFont="1" applyBorder="1" applyAlignment="1">
      <alignment horizontal="right"/>
    </xf>
    <xf numFmtId="0" fontId="27" fillId="0" borderId="0" xfId="0" applyFont="1" applyBorder="1" applyAlignment="1">
      <alignment horizontal="center"/>
    </xf>
    <xf numFmtId="2" fontId="27" fillId="0" borderId="0" xfId="0" applyNumberFormat="1" applyFont="1" applyBorder="1" applyAlignment="1">
      <alignment horizontal="center"/>
    </xf>
    <xf numFmtId="0" fontId="22" fillId="3" borderId="0" xfId="0" applyFont="1" applyFill="1" applyAlignment="1">
      <alignment vertical="center"/>
    </xf>
    <xf numFmtId="11" fontId="24" fillId="0" borderId="1" xfId="0" applyNumberFormat="1" applyFont="1" applyBorder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26" fillId="9" borderId="0" xfId="0" applyFont="1" applyFill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1" fontId="20" fillId="0" borderId="2" xfId="0" applyNumberFormat="1" applyFont="1" applyFill="1" applyBorder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3" fillId="4" borderId="0" xfId="0" applyNumberFormat="1" applyFont="1" applyFill="1" applyAlignment="1">
      <alignment horizontal="center" vertical="center"/>
    </xf>
    <xf numFmtId="168" fontId="33" fillId="0" borderId="0" xfId="0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0" fontId="29" fillId="0" borderId="0" xfId="0" applyFont="1" applyBorder="1" applyAlignment="1">
      <alignment horizontal="right"/>
    </xf>
    <xf numFmtId="2" fontId="27" fillId="2" borderId="0" xfId="0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48" fillId="0" borderId="0" xfId="0" applyFont="1" applyBorder="1" applyAlignment="1">
      <alignment horizontal="right"/>
    </xf>
    <xf numFmtId="0" fontId="85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180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11" fontId="61" fillId="0" borderId="0" xfId="0" applyNumberFormat="1" applyFont="1" applyAlignment="1">
      <alignment vertical="center"/>
    </xf>
    <xf numFmtId="0" fontId="22" fillId="4" borderId="0" xfId="0" applyFont="1" applyFill="1" applyAlignment="1">
      <alignment vertical="center"/>
    </xf>
    <xf numFmtId="2" fontId="20" fillId="3" borderId="0" xfId="0" applyNumberFormat="1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/>
    </xf>
    <xf numFmtId="2" fontId="20" fillId="7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right"/>
    </xf>
    <xf numFmtId="11" fontId="61" fillId="0" borderId="0" xfId="0" applyNumberFormat="1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61" fillId="0" borderId="0" xfId="0" applyNumberFormat="1" applyFont="1" applyFill="1" applyBorder="1" applyAlignment="1">
      <alignment horizontal="center" vertical="center"/>
    </xf>
    <xf numFmtId="164" fontId="61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10" fontId="40" fillId="0" borderId="0" xfId="0" applyNumberFormat="1" applyFont="1" applyFill="1" applyAlignment="1">
      <alignment vertical="center"/>
    </xf>
    <xf numFmtId="0" fontId="69" fillId="0" borderId="0" xfId="0" applyFont="1" applyFill="1" applyAlignment="1">
      <alignment horizontal="center" vertical="center"/>
    </xf>
    <xf numFmtId="11" fontId="27" fillId="0" borderId="0" xfId="0" applyNumberFormat="1" applyFont="1" applyFill="1" applyAlignment="1">
      <alignment vertical="center"/>
    </xf>
    <xf numFmtId="0" fontId="69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vertical="center"/>
    </xf>
    <xf numFmtId="0" fontId="68" fillId="0" borderId="0" xfId="0" applyFont="1" applyFill="1" applyBorder="1" applyAlignment="1">
      <alignment horizontal="left" vertical="center"/>
    </xf>
    <xf numFmtId="0" fontId="68" fillId="0" borderId="0" xfId="0" applyFont="1" applyFill="1" applyAlignment="1">
      <alignment vertical="center"/>
    </xf>
    <xf numFmtId="0" fontId="68" fillId="0" borderId="0" xfId="0" applyFont="1" applyFill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10" fontId="26" fillId="0" borderId="0" xfId="0" applyNumberFormat="1" applyFont="1" applyFill="1" applyBorder="1" applyAlignment="1">
      <alignment horizontal="left" vertical="center"/>
    </xf>
    <xf numFmtId="11" fontId="20" fillId="0" borderId="0" xfId="0" quotePrefix="1" applyNumberFormat="1" applyFont="1" applyFill="1" applyBorder="1" applyAlignment="1">
      <alignment horizontal="center" vertical="center"/>
    </xf>
    <xf numFmtId="11" fontId="34" fillId="0" borderId="0" xfId="0" applyNumberFormat="1" applyFont="1" applyFill="1" applyAlignment="1">
      <alignment horizontal="center" vertical="center"/>
    </xf>
    <xf numFmtId="164" fontId="34" fillId="0" borderId="0" xfId="0" applyNumberFormat="1" applyFont="1" applyFill="1" applyAlignment="1">
      <alignment horizontal="center" vertical="center"/>
    </xf>
    <xf numFmtId="11" fontId="34" fillId="0" borderId="0" xfId="0" applyNumberFormat="1" applyFont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164" fontId="40" fillId="0" borderId="0" xfId="0" applyNumberFormat="1" applyFont="1" applyFill="1" applyAlignment="1">
      <alignment horizontal="center" vertical="center"/>
    </xf>
    <xf numFmtId="164" fontId="40" fillId="0" borderId="0" xfId="0" applyNumberFormat="1" applyFont="1" applyAlignment="1">
      <alignment horizontal="center" vertical="center"/>
    </xf>
    <xf numFmtId="0" fontId="40" fillId="4" borderId="0" xfId="0" applyFont="1" applyFill="1" applyAlignment="1">
      <alignment horizontal="right" vertical="center"/>
    </xf>
    <xf numFmtId="11" fontId="34" fillId="4" borderId="0" xfId="0" applyNumberFormat="1" applyFont="1" applyFill="1" applyBorder="1" applyAlignment="1">
      <alignment horizontal="center" vertical="center"/>
    </xf>
    <xf numFmtId="11" fontId="27" fillId="4" borderId="0" xfId="0" applyNumberFormat="1" applyFont="1" applyFill="1" applyAlignment="1">
      <alignment horizontal="center" vertical="center"/>
    </xf>
    <xf numFmtId="11" fontId="22" fillId="4" borderId="0" xfId="0" applyNumberFormat="1" applyFont="1" applyFill="1" applyAlignment="1">
      <alignment horizontal="center" vertical="center"/>
    </xf>
    <xf numFmtId="0" fontId="27" fillId="4" borderId="0" xfId="0" applyFont="1" applyFill="1" applyAlignment="1">
      <alignment horizontal="left" vertical="center"/>
    </xf>
    <xf numFmtId="0" fontId="27" fillId="4" borderId="0" xfId="0" applyFont="1" applyFill="1" applyAlignment="1">
      <alignment vertical="center"/>
    </xf>
    <xf numFmtId="11" fontId="34" fillId="4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2" fontId="22" fillId="4" borderId="0" xfId="0" applyNumberFormat="1" applyFont="1" applyFill="1" applyBorder="1" applyAlignment="1">
      <alignment horizontal="center" vertical="center"/>
    </xf>
    <xf numFmtId="10" fontId="22" fillId="4" borderId="0" xfId="0" applyNumberFormat="1" applyFont="1" applyFill="1" applyAlignment="1">
      <alignment horizontal="center" vertical="center"/>
    </xf>
    <xf numFmtId="11" fontId="20" fillId="4" borderId="0" xfId="0" applyNumberFormat="1" applyFont="1" applyFill="1" applyBorder="1" applyAlignment="1">
      <alignment horizontal="left" vertical="center"/>
    </xf>
    <xf numFmtId="0" fontId="26" fillId="4" borderId="0" xfId="0" applyFont="1" applyFill="1" applyAlignment="1">
      <alignment vertical="center"/>
    </xf>
    <xf numFmtId="0" fontId="24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center" vertical="center"/>
    </xf>
    <xf numFmtId="2" fontId="24" fillId="4" borderId="0" xfId="0" applyNumberFormat="1" applyFont="1" applyFill="1" applyBorder="1" applyAlignment="1">
      <alignment horizontal="center" vertical="center"/>
    </xf>
    <xf numFmtId="0" fontId="24" fillId="4" borderId="0" xfId="0" applyFont="1" applyFill="1" applyAlignment="1">
      <alignment vertical="center"/>
    </xf>
    <xf numFmtId="11" fontId="24" fillId="4" borderId="0" xfId="0" applyNumberFormat="1" applyFont="1" applyFill="1" applyAlignment="1">
      <alignment horizontal="center" vertical="center"/>
    </xf>
    <xf numFmtId="11" fontId="24" fillId="4" borderId="0" xfId="0" applyNumberFormat="1" applyFont="1" applyFill="1" applyAlignment="1">
      <alignment horizontal="left" vertical="center"/>
    </xf>
    <xf numFmtId="11" fontId="24" fillId="4" borderId="0" xfId="0" applyNumberFormat="1" applyFont="1" applyFill="1" applyBorder="1" applyAlignment="1">
      <alignment horizontal="left" vertical="center"/>
    </xf>
    <xf numFmtId="11" fontId="22" fillId="4" borderId="0" xfId="0" applyNumberFormat="1" applyFont="1" applyFill="1" applyBorder="1" applyAlignment="1">
      <alignment horizontal="center" vertical="center"/>
    </xf>
    <xf numFmtId="11" fontId="20" fillId="4" borderId="0" xfId="0" applyNumberFormat="1" applyFont="1" applyFill="1" applyAlignment="1">
      <alignment horizontal="center" vertical="center"/>
    </xf>
    <xf numFmtId="11" fontId="22" fillId="4" borderId="0" xfId="0" applyNumberFormat="1" applyFont="1" applyFill="1" applyBorder="1" applyAlignment="1">
      <alignment horizontal="left" vertical="center"/>
    </xf>
    <xf numFmtId="0" fontId="86" fillId="0" borderId="0" xfId="0" applyFont="1" applyAlignment="1">
      <alignment horizontal="left" vertical="center"/>
    </xf>
    <xf numFmtId="2" fontId="34" fillId="7" borderId="0" xfId="0" applyNumberFormat="1" applyFont="1" applyFill="1" applyAlignment="1">
      <alignment horizontal="left" vertical="center"/>
    </xf>
    <xf numFmtId="2" fontId="22" fillId="7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2" fontId="3" fillId="0" borderId="0" xfId="0" applyNumberFormat="1" applyFont="1" applyFill="1" applyAlignment="1">
      <alignment horizontal="right" vertical="center"/>
    </xf>
    <xf numFmtId="3" fontId="22" fillId="0" borderId="0" xfId="0" applyNumberFormat="1" applyFont="1" applyFill="1" applyAlignment="1">
      <alignment vertical="center"/>
    </xf>
    <xf numFmtId="170" fontId="34" fillId="0" borderId="0" xfId="0" applyNumberFormat="1" applyFont="1" applyAlignment="1">
      <alignment horizontal="right" vertical="center"/>
    </xf>
    <xf numFmtId="170" fontId="24" fillId="0" borderId="0" xfId="0" applyNumberFormat="1" applyFont="1" applyAlignment="1">
      <alignment horizontal="right" vertical="center"/>
    </xf>
    <xf numFmtId="170" fontId="65" fillId="0" borderId="0" xfId="0" applyNumberFormat="1" applyFont="1" applyAlignment="1">
      <alignment horizontal="right" vertical="center"/>
    </xf>
    <xf numFmtId="11" fontId="24" fillId="0" borderId="0" xfId="0" applyNumberFormat="1" applyFont="1" applyBorder="1" applyAlignment="1">
      <alignment horizontal="left" vertical="center"/>
    </xf>
    <xf numFmtId="2" fontId="3" fillId="4" borderId="0" xfId="0" applyNumberFormat="1" applyFont="1" applyFill="1" applyBorder="1" applyAlignment="1">
      <alignment horizontal="left" vertical="center"/>
    </xf>
    <xf numFmtId="0" fontId="25" fillId="4" borderId="0" xfId="0" applyFont="1" applyFill="1" applyAlignment="1">
      <alignment horizontal="center" vertical="center"/>
    </xf>
    <xf numFmtId="11" fontId="34" fillId="0" borderId="0" xfId="0" applyNumberFormat="1" applyFont="1" applyAlignment="1">
      <alignment vertical="center"/>
    </xf>
    <xf numFmtId="11" fontId="60" fillId="0" borderId="0" xfId="0" applyNumberFormat="1" applyFont="1" applyAlignment="1">
      <alignment vertical="center"/>
    </xf>
    <xf numFmtId="0" fontId="60" fillId="0" borderId="0" xfId="0" applyFont="1" applyAlignment="1">
      <alignment horizontal="right" vertical="center"/>
    </xf>
    <xf numFmtId="11" fontId="79" fillId="0" borderId="0" xfId="0" applyNumberFormat="1" applyFont="1" applyAlignment="1">
      <alignment horizontal="center" vertical="center"/>
    </xf>
    <xf numFmtId="11" fontId="79" fillId="0" borderId="0" xfId="0" applyNumberFormat="1" applyFont="1" applyAlignment="1">
      <alignment vertical="center"/>
    </xf>
    <xf numFmtId="0" fontId="79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164" fontId="22" fillId="2" borderId="1" xfId="0" applyNumberFormat="1" applyFont="1" applyFill="1" applyBorder="1" applyAlignment="1">
      <alignment horizontal="center"/>
    </xf>
    <xf numFmtId="0" fontId="60" fillId="0" borderId="0" xfId="0" applyFont="1" applyFill="1" applyAlignment="1">
      <alignment vertical="center"/>
    </xf>
    <xf numFmtId="11" fontId="88" fillId="0" borderId="0" xfId="0" applyNumberFormat="1" applyFont="1" applyFill="1" applyBorder="1" applyAlignment="1">
      <alignment horizontal="center" vertical="center"/>
    </xf>
    <xf numFmtId="11" fontId="79" fillId="0" borderId="0" xfId="0" applyNumberFormat="1" applyFont="1" applyFill="1" applyBorder="1" applyAlignment="1">
      <alignment horizontal="center" vertical="center"/>
    </xf>
    <xf numFmtId="11" fontId="79" fillId="0" borderId="0" xfId="0" applyNumberFormat="1" applyFont="1" applyFill="1" applyBorder="1" applyAlignment="1">
      <alignment vertical="center"/>
    </xf>
    <xf numFmtId="0" fontId="88" fillId="0" borderId="0" xfId="0" applyFont="1" applyFill="1" applyBorder="1" applyAlignment="1">
      <alignment vertical="center"/>
    </xf>
    <xf numFmtId="0" fontId="79" fillId="0" borderId="0" xfId="0" applyFont="1" applyFill="1" applyBorder="1" applyAlignment="1">
      <alignment vertical="center"/>
    </xf>
    <xf numFmtId="0" fontId="79" fillId="0" borderId="0" xfId="0" applyFont="1" applyFill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88" fillId="0" borderId="0" xfId="0" applyFont="1" applyAlignment="1">
      <alignment horizontal="center" vertical="center"/>
    </xf>
    <xf numFmtId="49" fontId="79" fillId="0" borderId="0" xfId="0" applyNumberFormat="1" applyFont="1" applyAlignment="1">
      <alignment horizontal="right" vertical="center"/>
    </xf>
    <xf numFmtId="11" fontId="22" fillId="0" borderId="0" xfId="0" applyNumberFormat="1" applyFont="1" applyBorder="1" applyAlignment="1">
      <alignment vertical="center"/>
    </xf>
    <xf numFmtId="4" fontId="22" fillId="0" borderId="0" xfId="0" applyNumberFormat="1" applyFont="1" applyBorder="1" applyAlignment="1">
      <alignment horizontal="center" vertical="center"/>
    </xf>
    <xf numFmtId="11" fontId="20" fillId="0" borderId="0" xfId="0" applyNumberFormat="1" applyFont="1" applyFill="1" applyBorder="1" applyAlignment="1">
      <alignment vertical="center"/>
    </xf>
    <xf numFmtId="11" fontId="79" fillId="0" borderId="2" xfId="0" applyNumberFormat="1" applyFont="1" applyFill="1" applyBorder="1" applyAlignment="1">
      <alignment horizontal="center" vertical="center"/>
    </xf>
    <xf numFmtId="164" fontId="64" fillId="0" borderId="0" xfId="0" applyNumberFormat="1" applyFont="1" applyFill="1" applyBorder="1" applyAlignment="1">
      <alignment horizontal="center" vertical="center"/>
    </xf>
    <xf numFmtId="2" fontId="64" fillId="0" borderId="0" xfId="0" applyNumberFormat="1" applyFont="1" applyFill="1" applyAlignment="1">
      <alignment horizontal="center" vertical="center"/>
    </xf>
    <xf numFmtId="11" fontId="64" fillId="0" borderId="0" xfId="0" applyNumberFormat="1" applyFont="1" applyAlignment="1">
      <alignment horizontal="center" vertical="center"/>
    </xf>
    <xf numFmtId="0" fontId="64" fillId="0" borderId="0" xfId="0" applyFont="1" applyAlignment="1">
      <alignment horizontal="left" vertical="center"/>
    </xf>
    <xf numFmtId="11" fontId="88" fillId="0" borderId="0" xfId="0" applyNumberFormat="1" applyFont="1" applyAlignment="1">
      <alignment horizontal="center" vertical="center"/>
    </xf>
    <xf numFmtId="11" fontId="79" fillId="0" borderId="0" xfId="0" applyNumberFormat="1" applyFont="1" applyFill="1" applyAlignment="1">
      <alignment horizontal="left" vertical="center"/>
    </xf>
    <xf numFmtId="2" fontId="79" fillId="0" borderId="0" xfId="0" applyNumberFormat="1" applyFont="1" applyFill="1" applyBorder="1" applyAlignment="1">
      <alignment horizontal="center" vertical="center"/>
    </xf>
    <xf numFmtId="10" fontId="88" fillId="0" borderId="0" xfId="0" applyNumberFormat="1" applyFont="1" applyAlignment="1">
      <alignment horizontal="center" vertical="center"/>
    </xf>
    <xf numFmtId="10" fontId="79" fillId="0" borderId="0" xfId="0" applyNumberFormat="1" applyFont="1" applyAlignment="1">
      <alignment horizontal="center" vertical="center"/>
    </xf>
    <xf numFmtId="2" fontId="79" fillId="0" borderId="0" xfId="0" applyNumberFormat="1" applyFont="1" applyFill="1" applyAlignment="1">
      <alignment vertical="center"/>
    </xf>
    <xf numFmtId="2" fontId="25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right" vertical="center"/>
    </xf>
    <xf numFmtId="11" fontId="24" fillId="0" borderId="0" xfId="0" applyNumberFormat="1" applyFont="1" applyFill="1" applyBorder="1" applyAlignment="1">
      <alignment horizontal="right" vertical="center"/>
    </xf>
    <xf numFmtId="10" fontId="22" fillId="0" borderId="0" xfId="0" applyNumberFormat="1" applyFont="1" applyFill="1" applyAlignment="1">
      <alignment horizontal="center"/>
    </xf>
    <xf numFmtId="0" fontId="60" fillId="0" borderId="0" xfId="0" applyFont="1" applyFill="1" applyAlignment="1">
      <alignment horizontal="center" vertical="center"/>
    </xf>
    <xf numFmtId="11" fontId="26" fillId="0" borderId="0" xfId="0" applyNumberFormat="1" applyFont="1" applyFill="1" applyAlignment="1">
      <alignment horizontal="right" vertical="center"/>
    </xf>
    <xf numFmtId="11" fontId="60" fillId="0" borderId="0" xfId="0" applyNumberFormat="1" applyFont="1" applyFill="1" applyAlignment="1">
      <alignment vertical="center"/>
    </xf>
    <xf numFmtId="4" fontId="60" fillId="0" borderId="0" xfId="0" applyNumberFormat="1" applyFont="1" applyFill="1" applyAlignment="1">
      <alignment horizontal="center" vertical="center"/>
    </xf>
    <xf numFmtId="11" fontId="27" fillId="0" borderId="0" xfId="0" applyNumberFormat="1" applyFont="1" applyFill="1" applyAlignment="1">
      <alignment horizontal="right"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166" fontId="64" fillId="0" borderId="0" xfId="0" applyNumberFormat="1" applyFont="1" applyAlignment="1">
      <alignment vertical="center"/>
    </xf>
    <xf numFmtId="11" fontId="64" fillId="0" borderId="0" xfId="0" applyNumberFormat="1" applyFont="1" applyAlignment="1">
      <alignment vertical="center"/>
    </xf>
    <xf numFmtId="1" fontId="64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left" vertical="center"/>
    </xf>
    <xf numFmtId="164" fontId="20" fillId="5" borderId="0" xfId="0" applyNumberFormat="1" applyFont="1" applyFill="1" applyAlignment="1">
      <alignment horizontal="center" vertical="center"/>
    </xf>
    <xf numFmtId="4" fontId="60" fillId="0" borderId="0" xfId="0" applyNumberFormat="1" applyFont="1" applyAlignment="1">
      <alignment horizontal="left" vertical="center"/>
    </xf>
    <xf numFmtId="2" fontId="60" fillId="0" borderId="0" xfId="0" applyNumberFormat="1" applyFont="1" applyAlignment="1">
      <alignment horizontal="center" vertical="center"/>
    </xf>
    <xf numFmtId="4" fontId="60" fillId="0" borderId="0" xfId="0" applyNumberFormat="1" applyFont="1" applyAlignment="1">
      <alignment horizontal="center" vertical="center"/>
    </xf>
    <xf numFmtId="164" fontId="60" fillId="0" borderId="0" xfId="0" applyNumberFormat="1" applyFont="1" applyFill="1" applyAlignment="1">
      <alignment horizontal="center" vertical="center"/>
    </xf>
    <xf numFmtId="169" fontId="22" fillId="5" borderId="1" xfId="0" applyNumberFormat="1" applyFont="1" applyFill="1" applyBorder="1" applyAlignment="1">
      <alignment horizontal="center" vertical="center"/>
    </xf>
    <xf numFmtId="169" fontId="22" fillId="7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/>
    </xf>
    <xf numFmtId="11" fontId="64" fillId="0" borderId="0" xfId="0" applyNumberFormat="1" applyFont="1" applyFill="1" applyBorder="1" applyAlignment="1">
      <alignment horizontal="center" vertical="center"/>
    </xf>
    <xf numFmtId="4" fontId="24" fillId="0" borderId="0" xfId="0" applyNumberFormat="1" applyFont="1" applyAlignment="1">
      <alignment horizontal="right" vertical="center"/>
    </xf>
    <xf numFmtId="0" fontId="58" fillId="0" borderId="0" xfId="0" applyFont="1" applyAlignment="1">
      <alignment horizontal="right" vertical="center"/>
    </xf>
    <xf numFmtId="11" fontId="34" fillId="0" borderId="0" xfId="0" applyNumberFormat="1" applyFont="1" applyFill="1" applyBorder="1" applyAlignment="1">
      <alignment horizontal="center"/>
    </xf>
    <xf numFmtId="11" fontId="64" fillId="0" borderId="0" xfId="0" applyNumberFormat="1" applyFont="1" applyFill="1" applyAlignment="1">
      <alignment horizontal="center" vertical="center"/>
    </xf>
    <xf numFmtId="11" fontId="64" fillId="0" borderId="0" xfId="0" applyNumberFormat="1" applyFont="1" applyFill="1" applyAlignment="1">
      <alignment horizontal="left" vertical="center"/>
    </xf>
    <xf numFmtId="4" fontId="64" fillId="0" borderId="0" xfId="0" applyNumberFormat="1" applyFont="1" applyAlignment="1">
      <alignment horizontal="left" vertical="center"/>
    </xf>
    <xf numFmtId="0" fontId="64" fillId="0" borderId="0" xfId="0" applyFont="1" applyFill="1" applyAlignment="1">
      <alignment vertical="center"/>
    </xf>
    <xf numFmtId="11" fontId="64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11" fontId="27" fillId="0" borderId="0" xfId="0" applyNumberFormat="1" applyFont="1" applyFill="1" applyBorder="1" applyAlignment="1">
      <alignment vertical="center"/>
    </xf>
    <xf numFmtId="0" fontId="89" fillId="0" borderId="0" xfId="0" applyFont="1" applyAlignment="1">
      <alignment horizontal="center" vertical="center"/>
    </xf>
    <xf numFmtId="11" fontId="40" fillId="0" borderId="0" xfId="0" applyNumberFormat="1" applyFont="1" applyFill="1" applyAlignment="1">
      <alignment horizontal="center" vertical="center"/>
    </xf>
    <xf numFmtId="11" fontId="26" fillId="0" borderId="0" xfId="0" applyNumberFormat="1" applyFont="1" applyFill="1" applyAlignment="1">
      <alignment horizontal="left" vertical="center"/>
    </xf>
    <xf numFmtId="11" fontId="68" fillId="0" borderId="0" xfId="0" applyNumberFormat="1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2" fontId="20" fillId="4" borderId="0" xfId="0" applyNumberFormat="1" applyFont="1" applyFill="1" applyAlignment="1">
      <alignment horizontal="center" vertical="center"/>
    </xf>
    <xf numFmtId="2" fontId="24" fillId="4" borderId="0" xfId="0" applyNumberFormat="1" applyFont="1" applyFill="1" applyAlignment="1">
      <alignment horizontal="center" vertical="center"/>
    </xf>
    <xf numFmtId="10" fontId="61" fillId="0" borderId="0" xfId="0" applyNumberFormat="1" applyFont="1" applyAlignment="1">
      <alignment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71" fontId="34" fillId="0" borderId="1" xfId="0" applyNumberFormat="1" applyFont="1" applyBorder="1" applyAlignment="1">
      <alignment horizontal="center" vertical="center"/>
    </xf>
    <xf numFmtId="171" fontId="34" fillId="0" borderId="1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right" vertical="center"/>
    </xf>
    <xf numFmtId="2" fontId="34" fillId="0" borderId="0" xfId="0" applyNumberFormat="1" applyFont="1" applyBorder="1" applyAlignment="1">
      <alignment horizontal="center" vertical="center"/>
    </xf>
    <xf numFmtId="3" fontId="27" fillId="4" borderId="1" xfId="0" applyNumberFormat="1" applyFont="1" applyFill="1" applyBorder="1" applyAlignment="1">
      <alignment horizontal="center" vertical="center"/>
    </xf>
    <xf numFmtId="11" fontId="27" fillId="0" borderId="0" xfId="0" applyNumberFormat="1" applyFont="1" applyAlignment="1">
      <alignment vertical="center"/>
    </xf>
    <xf numFmtId="0" fontId="19" fillId="0" borderId="0" xfId="0" applyFont="1" applyFill="1" applyAlignment="1">
      <alignment horizontal="left" vertical="center"/>
    </xf>
    <xf numFmtId="1" fontId="34" fillId="0" borderId="0" xfId="0" applyNumberFormat="1" applyFont="1" applyFill="1" applyAlignment="1">
      <alignment horizontal="center" vertical="center"/>
    </xf>
    <xf numFmtId="0" fontId="34" fillId="0" borderId="0" xfId="0" applyFont="1" applyFill="1" applyAlignment="1">
      <alignment horizontal="right" vertical="center"/>
    </xf>
    <xf numFmtId="0" fontId="60" fillId="0" borderId="0" xfId="0" applyFont="1" applyAlignment="1">
      <alignment horizontal="left" vertical="center"/>
    </xf>
    <xf numFmtId="2" fontId="40" fillId="7" borderId="0" xfId="0" applyNumberFormat="1" applyFont="1" applyFill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10" fontId="24" fillId="0" borderId="0" xfId="0" applyNumberFormat="1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3" fontId="20" fillId="3" borderId="0" xfId="0" applyNumberFormat="1" applyFont="1" applyFill="1" applyBorder="1" applyAlignment="1">
      <alignment horizontal="center" vertical="center"/>
    </xf>
    <xf numFmtId="3" fontId="3" fillId="5" borderId="0" xfId="0" applyNumberFormat="1" applyFont="1" applyFill="1" applyBorder="1" applyAlignment="1">
      <alignment horizontal="center" vertical="center"/>
    </xf>
    <xf numFmtId="3" fontId="34" fillId="7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4" fillId="0" borderId="0" xfId="0" applyNumberFormat="1" applyFont="1" applyFill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/>
    </xf>
    <xf numFmtId="3" fontId="40" fillId="0" borderId="0" xfId="0" applyNumberFormat="1" applyFont="1" applyFill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right" vertical="center"/>
    </xf>
    <xf numFmtId="0" fontId="22" fillId="0" borderId="0" xfId="0" applyFont="1" applyBorder="1" applyAlignment="1">
      <alignment horizontal="right" vertical="center"/>
    </xf>
    <xf numFmtId="1" fontId="22" fillId="0" borderId="0" xfId="0" applyNumberFormat="1" applyFont="1" applyBorder="1" applyAlignment="1">
      <alignment horizontal="right" vertical="center"/>
    </xf>
    <xf numFmtId="9" fontId="34" fillId="0" borderId="0" xfId="0" applyNumberFormat="1" applyFont="1" applyBorder="1" applyAlignment="1">
      <alignment horizontal="center" vertical="center"/>
    </xf>
    <xf numFmtId="9" fontId="25" fillId="0" borderId="0" xfId="0" applyNumberFormat="1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3" fontId="3" fillId="7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9" fontId="24" fillId="0" borderId="0" xfId="0" applyNumberFormat="1" applyFont="1" applyFill="1" applyBorder="1" applyAlignment="1">
      <alignment horizontal="left" vertical="center"/>
    </xf>
    <xf numFmtId="0" fontId="44" fillId="0" borderId="0" xfId="0" applyFont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11" fontId="22" fillId="7" borderId="0" xfId="0" applyNumberFormat="1" applyFont="1" applyFill="1" applyAlignment="1">
      <alignment horizontal="left" vertical="center"/>
    </xf>
    <xf numFmtId="164" fontId="3" fillId="5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2" fontId="25" fillId="5" borderId="0" xfId="0" applyNumberFormat="1" applyFont="1" applyFill="1" applyAlignment="1">
      <alignment horizontal="center" vertical="center"/>
    </xf>
    <xf numFmtId="11" fontId="22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77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1" fontId="3" fillId="2" borderId="1" xfId="0" applyNumberFormat="1" applyFont="1" applyFill="1" applyBorder="1" applyAlignment="1">
      <alignment horizontal="center" vertical="center"/>
    </xf>
    <xf numFmtId="168" fontId="3" fillId="5" borderId="1" xfId="0" applyNumberFormat="1" applyFont="1" applyFill="1" applyBorder="1" applyAlignment="1">
      <alignment horizontal="center" vertical="center"/>
    </xf>
    <xf numFmtId="168" fontId="3" fillId="7" borderId="1" xfId="0" applyNumberFormat="1" applyFont="1" applyFill="1" applyBorder="1" applyAlignment="1">
      <alignment horizontal="center" vertical="center"/>
    </xf>
    <xf numFmtId="11" fontId="68" fillId="14" borderId="0" xfId="0" applyNumberFormat="1" applyFont="1" applyFill="1" applyAlignment="1">
      <alignment horizontal="center" vertical="center"/>
    </xf>
    <xf numFmtId="11" fontId="26" fillId="14" borderId="0" xfId="0" applyNumberFormat="1" applyFont="1" applyFill="1" applyAlignment="1">
      <alignment horizontal="center" vertical="center"/>
    </xf>
    <xf numFmtId="11" fontId="34" fillId="14" borderId="0" xfId="0" applyNumberFormat="1" applyFont="1" applyFill="1" applyAlignment="1">
      <alignment horizontal="center" vertical="center"/>
    </xf>
    <xf numFmtId="11" fontId="24" fillId="14" borderId="0" xfId="0" applyNumberFormat="1" applyFont="1" applyFill="1" applyAlignment="1">
      <alignment horizontal="center" vertical="center"/>
    </xf>
    <xf numFmtId="0" fontId="54" fillId="0" borderId="0" xfId="0" applyFont="1" applyFill="1" applyBorder="1" applyAlignment="1">
      <alignment horizontal="center"/>
    </xf>
    <xf numFmtId="0" fontId="31" fillId="7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left" vertical="center"/>
    </xf>
    <xf numFmtId="10" fontId="3" fillId="0" borderId="1" xfId="0" applyNumberFormat="1" applyFont="1" applyBorder="1" applyAlignment="1">
      <alignment horizontal="center" vertical="center"/>
    </xf>
    <xf numFmtId="3" fontId="40" fillId="0" borderId="1" xfId="0" applyNumberFormat="1" applyFont="1" applyFill="1" applyBorder="1" applyAlignment="1">
      <alignment horizontal="center" vertical="center"/>
    </xf>
    <xf numFmtId="168" fontId="20" fillId="5" borderId="1" xfId="0" applyNumberFormat="1" applyFont="1" applyFill="1" applyBorder="1" applyAlignment="1">
      <alignment horizontal="center" vertical="center"/>
    </xf>
    <xf numFmtId="168" fontId="20" fillId="7" borderId="1" xfId="0" applyNumberFormat="1" applyFont="1" applyFill="1" applyBorder="1" applyAlignment="1">
      <alignment horizontal="center" vertical="center"/>
    </xf>
    <xf numFmtId="3" fontId="26" fillId="0" borderId="0" xfId="0" applyNumberFormat="1" applyFont="1" applyFill="1" applyBorder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0" fontId="20" fillId="0" borderId="0" xfId="0" applyFont="1" applyBorder="1"/>
    <xf numFmtId="0" fontId="2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left"/>
    </xf>
    <xf numFmtId="49" fontId="22" fillId="0" borderId="0" xfId="0" applyNumberFormat="1" applyFont="1" applyAlignment="1">
      <alignment horizontal="center"/>
    </xf>
    <xf numFmtId="11" fontId="20" fillId="0" borderId="0" xfId="0" applyNumberFormat="1" applyFont="1" applyAlignment="1">
      <alignment horizontal="center"/>
    </xf>
    <xf numFmtId="164" fontId="79" fillId="0" borderId="0" xfId="0" applyNumberFormat="1" applyFont="1" applyAlignment="1">
      <alignment horizontal="center"/>
    </xf>
    <xf numFmtId="0" fontId="27" fillId="9" borderId="1" xfId="0" applyFont="1" applyFill="1" applyBorder="1" applyAlignment="1">
      <alignment horizontal="center"/>
    </xf>
    <xf numFmtId="168" fontId="27" fillId="9" borderId="1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center" vertical="center"/>
    </xf>
    <xf numFmtId="2" fontId="64" fillId="0" borderId="0" xfId="0" applyNumberFormat="1" applyFont="1" applyAlignment="1">
      <alignment horizontal="center" vertical="center"/>
    </xf>
    <xf numFmtId="2" fontId="89" fillId="0" borderId="0" xfId="0" applyNumberFormat="1" applyFont="1" applyFill="1" applyBorder="1" applyAlignment="1">
      <alignment horizontal="center" vertical="center"/>
    </xf>
    <xf numFmtId="11" fontId="20" fillId="0" borderId="0" xfId="0" applyNumberFormat="1" applyFont="1" applyFill="1" applyAlignment="1">
      <alignment vertical="center"/>
    </xf>
    <xf numFmtId="3" fontId="36" fillId="7" borderId="0" xfId="0" applyNumberFormat="1" applyFont="1" applyFill="1" applyAlignment="1">
      <alignment horizontal="center" vertical="center"/>
    </xf>
    <xf numFmtId="11" fontId="24" fillId="0" borderId="0" xfId="0" applyNumberFormat="1" applyFont="1"/>
    <xf numFmtId="0" fontId="25" fillId="0" borderId="0" xfId="0" applyFont="1" applyAlignment="1">
      <alignment horizontal="center" vertical="center"/>
    </xf>
    <xf numFmtId="11" fontId="22" fillId="9" borderId="0" xfId="0" applyNumberFormat="1" applyFont="1" applyFill="1" applyAlignment="1">
      <alignment vertical="center"/>
    </xf>
    <xf numFmtId="168" fontId="3" fillId="2" borderId="1" xfId="0" applyNumberFormat="1" applyFont="1" applyFill="1" applyBorder="1" applyAlignment="1">
      <alignment horizontal="center"/>
    </xf>
    <xf numFmtId="10" fontId="34" fillId="0" borderId="0" xfId="0" applyNumberFormat="1" applyFont="1" applyFill="1" applyAlignment="1">
      <alignment horizontal="center" vertical="center"/>
    </xf>
    <xf numFmtId="11" fontId="60" fillId="0" borderId="0" xfId="0" applyNumberFormat="1" applyFont="1" applyFill="1" applyBorder="1" applyAlignment="1">
      <alignment horizontal="left" vertical="center"/>
    </xf>
    <xf numFmtId="11" fontId="61" fillId="0" borderId="0" xfId="0" applyNumberFormat="1" applyFont="1" applyFill="1" applyBorder="1" applyAlignment="1">
      <alignment horizontal="left" vertical="center"/>
    </xf>
    <xf numFmtId="10" fontId="79" fillId="0" borderId="0" xfId="0" applyNumberFormat="1" applyFont="1" applyAlignment="1">
      <alignment horizontal="left" vertical="center"/>
    </xf>
    <xf numFmtId="168" fontId="3" fillId="0" borderId="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/>
    </xf>
    <xf numFmtId="2" fontId="90" fillId="0" borderId="0" xfId="0" applyNumberFormat="1" applyFont="1" applyAlignment="1">
      <alignment horizontal="center" vertical="center" wrapText="1"/>
    </xf>
    <xf numFmtId="2" fontId="91" fillId="0" borderId="0" xfId="0" applyNumberFormat="1" applyFont="1" applyAlignment="1">
      <alignment horizontal="center" vertical="center" wrapText="1"/>
    </xf>
    <xf numFmtId="2" fontId="9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/>
    </xf>
    <xf numFmtId="3" fontId="20" fillId="0" borderId="0" xfId="0" applyNumberFormat="1" applyFont="1" applyAlignment="1">
      <alignment horizontal="center" vertical="center"/>
    </xf>
    <xf numFmtId="9" fontId="22" fillId="0" borderId="0" xfId="0" applyNumberFormat="1" applyFont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/>
    </xf>
    <xf numFmtId="11" fontId="22" fillId="0" borderId="1" xfId="0" applyNumberFormat="1" applyFont="1" applyFill="1" applyBorder="1" applyAlignment="1">
      <alignment horizontal="center"/>
    </xf>
    <xf numFmtId="2" fontId="60" fillId="0" borderId="1" xfId="0" applyNumberFormat="1" applyFont="1" applyBorder="1" applyAlignment="1">
      <alignment horizontal="center"/>
    </xf>
    <xf numFmtId="0" fontId="60" fillId="0" borderId="0" xfId="0" applyFont="1" applyAlignment="1">
      <alignment horizontal="left" vertical="top"/>
    </xf>
    <xf numFmtId="10" fontId="20" fillId="0" borderId="0" xfId="0" applyNumberFormat="1" applyFont="1" applyFill="1" applyBorder="1" applyAlignment="1">
      <alignment horizontal="right"/>
    </xf>
    <xf numFmtId="11" fontId="2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Fill="1" applyAlignment="1">
      <alignment horizontal="center" vertical="center"/>
    </xf>
    <xf numFmtId="11" fontId="3" fillId="0" borderId="1" xfId="0" applyNumberFormat="1" applyFont="1" applyFill="1" applyBorder="1" applyAlignment="1">
      <alignment horizontal="center"/>
    </xf>
    <xf numFmtId="11" fontId="3" fillId="0" borderId="1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 vertical="center"/>
    </xf>
    <xf numFmtId="11" fontId="20" fillId="0" borderId="0" xfId="0" applyNumberFormat="1" applyFont="1" applyBorder="1" applyAlignment="1">
      <alignment horizontal="right"/>
    </xf>
    <xf numFmtId="1" fontId="22" fillId="9" borderId="1" xfId="0" applyNumberFormat="1" applyFont="1" applyFill="1" applyBorder="1" applyAlignment="1">
      <alignment horizontal="center" vertical="center"/>
    </xf>
    <xf numFmtId="2" fontId="20" fillId="0" borderId="2" xfId="0" applyNumberFormat="1" applyFont="1" applyFill="1" applyBorder="1" applyAlignment="1">
      <alignment horizontal="center" vertical="center"/>
    </xf>
    <xf numFmtId="2" fontId="33" fillId="0" borderId="0" xfId="0" applyNumberFormat="1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/>
    </xf>
    <xf numFmtId="11" fontId="20" fillId="0" borderId="0" xfId="0" applyNumberFormat="1" applyFont="1" applyFill="1" applyAlignment="1">
      <alignment horizontal="right" vertical="center"/>
    </xf>
    <xf numFmtId="11" fontId="22" fillId="0" borderId="0" xfId="0" applyNumberFormat="1" applyFont="1" applyFill="1" applyAlignment="1">
      <alignment horizontal="center"/>
    </xf>
    <xf numFmtId="11" fontId="20" fillId="0" borderId="0" xfId="0" applyNumberFormat="1" applyFont="1" applyFill="1" applyAlignment="1">
      <alignment horizontal="center"/>
    </xf>
    <xf numFmtId="10" fontId="20" fillId="0" borderId="0" xfId="0" applyNumberFormat="1" applyFont="1" applyFill="1" applyAlignment="1">
      <alignment horizontal="center"/>
    </xf>
    <xf numFmtId="11" fontId="59" fillId="0" borderId="0" xfId="0" applyNumberFormat="1" applyFont="1" applyAlignment="1">
      <alignment horizontal="left"/>
    </xf>
    <xf numFmtId="11" fontId="24" fillId="0" borderId="0" xfId="0" applyNumberFormat="1" applyFont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164" fontId="40" fillId="6" borderId="0" xfId="0" applyNumberFormat="1" applyFont="1" applyFill="1" applyAlignment="1">
      <alignment horizontal="center" vertical="center"/>
    </xf>
    <xf numFmtId="11" fontId="22" fillId="3" borderId="3" xfId="0" applyNumberFormat="1" applyFont="1" applyFill="1" applyBorder="1" applyAlignment="1">
      <alignment horizontal="center" vertical="center"/>
    </xf>
    <xf numFmtId="11" fontId="22" fillId="5" borderId="3" xfId="0" applyNumberFormat="1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right" vertical="center"/>
    </xf>
    <xf numFmtId="0" fontId="19" fillId="0" borderId="0" xfId="0" applyFont="1" applyBorder="1" applyAlignment="1">
      <alignment horizontal="left" vertical="center" indent="1" readingOrder="1"/>
    </xf>
    <xf numFmtId="0" fontId="19" fillId="0" borderId="0" xfId="0" applyFont="1" applyBorder="1" applyAlignment="1">
      <alignment horizontal="left" vertical="center" readingOrder="1"/>
    </xf>
    <xf numFmtId="0" fontId="41" fillId="0" borderId="0" xfId="0" applyFont="1" applyBorder="1" applyAlignment="1">
      <alignment horizontal="left" vertical="center" readingOrder="1"/>
    </xf>
    <xf numFmtId="3" fontId="22" fillId="0" borderId="11" xfId="0" applyNumberFormat="1" applyFont="1" applyBorder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 wrapText="1"/>
    </xf>
    <xf numFmtId="172" fontId="22" fillId="0" borderId="0" xfId="0" applyNumberFormat="1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4" fontId="2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0" fontId="97" fillId="0" borderId="12" xfId="0" applyNumberFormat="1" applyFont="1" applyBorder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9" fontId="3" fillId="4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10" fontId="3" fillId="4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0" fontId="3" fillId="5" borderId="0" xfId="0" applyNumberFormat="1" applyFont="1" applyFill="1" applyBorder="1" applyAlignment="1">
      <alignment horizontal="center"/>
    </xf>
    <xf numFmtId="10" fontId="3" fillId="7" borderId="0" xfId="0" applyNumberFormat="1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 vertical="center"/>
    </xf>
    <xf numFmtId="11" fontId="3" fillId="6" borderId="0" xfId="0" applyNumberFormat="1" applyFont="1" applyFill="1" applyAlignment="1">
      <alignment horizontal="center" vertical="center"/>
    </xf>
    <xf numFmtId="10" fontId="10" fillId="13" borderId="0" xfId="0" applyNumberFormat="1" applyFont="1" applyFill="1" applyBorder="1" applyAlignment="1">
      <alignment horizontal="center"/>
    </xf>
    <xf numFmtId="10" fontId="10" fillId="0" borderId="0" xfId="0" applyNumberFormat="1" applyFont="1" applyFill="1" applyBorder="1" applyAlignment="1">
      <alignment horizontal="center"/>
    </xf>
    <xf numFmtId="10" fontId="3" fillId="13" borderId="0" xfId="0" applyNumberFormat="1" applyFont="1" applyFill="1" applyBorder="1" applyAlignment="1">
      <alignment horizontal="center"/>
    </xf>
    <xf numFmtId="164" fontId="64" fillId="0" borderId="0" xfId="0" applyNumberFormat="1" applyFont="1" applyAlignment="1">
      <alignment horizontal="center" vertical="center"/>
    </xf>
    <xf numFmtId="10" fontId="64" fillId="0" borderId="0" xfId="0" applyNumberFormat="1" applyFont="1" applyAlignment="1">
      <alignment horizontal="center" vertical="center"/>
    </xf>
    <xf numFmtId="10" fontId="89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3" fontId="24" fillId="0" borderId="1" xfId="0" applyNumberFormat="1" applyFont="1" applyFill="1" applyBorder="1" applyAlignment="1">
      <alignment horizontal="center" vertical="center"/>
    </xf>
    <xf numFmtId="168" fontId="22" fillId="9" borderId="0" xfId="0" applyNumberFormat="1" applyFont="1" applyFill="1" applyAlignment="1">
      <alignment horizontal="center" vertical="center"/>
    </xf>
    <xf numFmtId="2" fontId="22" fillId="9" borderId="0" xfId="0" applyNumberFormat="1" applyFont="1" applyFill="1" applyAlignment="1">
      <alignment horizontal="center" vertical="center"/>
    </xf>
    <xf numFmtId="0" fontId="61" fillId="0" borderId="0" xfId="0" applyFont="1" applyAlignment="1">
      <alignment vertical="center"/>
    </xf>
    <xf numFmtId="171" fontId="23" fillId="0" borderId="0" xfId="0" applyNumberFormat="1" applyFont="1" applyAlignment="1">
      <alignment horizontal="center" vertical="center"/>
    </xf>
    <xf numFmtId="1" fontId="24" fillId="0" borderId="0" xfId="0" applyNumberFormat="1" applyFont="1" applyAlignment="1">
      <alignment horizontal="right" vertical="center"/>
    </xf>
    <xf numFmtId="4" fontId="26" fillId="0" borderId="1" xfId="0" applyNumberFormat="1" applyFont="1" applyBorder="1" applyAlignment="1">
      <alignment horizontal="center" vertical="center"/>
    </xf>
    <xf numFmtId="171" fontId="22" fillId="0" borderId="0" xfId="0" applyNumberFormat="1" applyFont="1" applyAlignment="1">
      <alignment vertical="center"/>
    </xf>
    <xf numFmtId="171" fontId="32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00FF"/>
      <color rgb="FFFFCC99"/>
      <color rgb="FFD3832B"/>
      <color rgb="FFFFABAB"/>
      <color rgb="FFABE286"/>
      <color rgb="FFFF99FF"/>
      <color rgb="FF599EA7"/>
      <color rgb="FFE49E88"/>
      <color rgb="FFA481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1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2227487830951349E-2"/>
          <c:y val="6.4528253631892143E-2"/>
          <c:w val="0.93085656795504357"/>
          <c:h val="0.87094349273621585"/>
        </c:manualLayout>
      </c:layout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-1.5598005680074517E-2"/>
                  <c:y val="0.122961951934716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4014195795222629E-2"/>
                  <c:y val="-2.95688786214148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'баланс протий'!$A$151:$A$152</c:f>
              <c:strCache>
                <c:ptCount val="2"/>
                <c:pt idx="0">
                  <c:v>Система депротизации топливной смеси   </c:v>
                </c:pt>
                <c:pt idx="1">
                  <c:v>Система детритизации нейтрального инжектора   </c:v>
                </c:pt>
              </c:strCache>
            </c:strRef>
          </c:cat>
          <c:val>
            <c:numRef>
              <c:f>'баланс протий'!$H$151:$H$152</c:f>
              <c:numCache>
                <c:formatCode>0.00</c:formatCode>
                <c:ptCount val="2"/>
                <c:pt idx="0">
                  <c:v>0.66436775782305757</c:v>
                </c:pt>
                <c:pt idx="1">
                  <c:v>11.776000000000009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3112229058802"/>
          <c:y val="0.10306345511701639"/>
          <c:w val="0.8260097204737743"/>
          <c:h val="0.8254204846995847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результаты!$BB$113</c:f>
              <c:strCache>
                <c:ptCount val="1"/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результаты!$AZ$124:$AZ$130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результаты!$BC$119:$BC$134</c:f>
              <c:numCache>
                <c:formatCode>0.00</c:formatCode>
                <c:ptCount val="16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результаты!$BI$113</c:f>
              <c:strCache>
                <c:ptCount val="1"/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результаты!$AZ$124:$AZ$130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результаты!$BD$119:$BD$134</c:f>
              <c:numCache>
                <c:formatCode>0.00</c:formatCode>
                <c:ptCount val="16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</c:numCache>
            </c:numRef>
          </c:yVal>
          <c:smooth val="1"/>
        </c:ser>
        <c:ser>
          <c:idx val="3"/>
          <c:order val="2"/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результаты!$AX$116:$AX$122</c:f>
              <c:numCache>
                <c:formatCode>0.0</c:formatCode>
                <c:ptCount val="7"/>
                <c:pt idx="0">
                  <c:v>447.75202589750666</c:v>
                </c:pt>
                <c:pt idx="1">
                  <c:v>352.79002589750655</c:v>
                </c:pt>
                <c:pt idx="2">
                  <c:v>257.82802589750668</c:v>
                </c:pt>
                <c:pt idx="3">
                  <c:v>162.86602589750666</c:v>
                </c:pt>
                <c:pt idx="4">
                  <c:v>67.904025897506671</c:v>
                </c:pt>
                <c:pt idx="5">
                  <c:v>-27.05797410249334</c:v>
                </c:pt>
                <c:pt idx="6">
                  <c:v>-74.538974102493327</c:v>
                </c:pt>
              </c:numCache>
            </c:numRef>
          </c:yVal>
          <c:smooth val="1"/>
        </c:ser>
        <c:ser>
          <c:idx val="4"/>
          <c:order val="3"/>
          <c:spPr>
            <a:ln>
              <a:prstDash val="lgDash"/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результаты!$AY$116:$AY$122</c:f>
              <c:numCache>
                <c:formatCode>0.0</c:formatCode>
                <c:ptCount val="7"/>
                <c:pt idx="0">
                  <c:v>192.70592131879286</c:v>
                </c:pt>
                <c:pt idx="1">
                  <c:v>152.00792131879285</c:v>
                </c:pt>
                <c:pt idx="2">
                  <c:v>111.30992131879289</c:v>
                </c:pt>
                <c:pt idx="3">
                  <c:v>70.611921318792866</c:v>
                </c:pt>
                <c:pt idx="4">
                  <c:v>29.913921318792863</c:v>
                </c:pt>
                <c:pt idx="5">
                  <c:v>-10.784078681207145</c:v>
                </c:pt>
                <c:pt idx="6">
                  <c:v>-31.133078681207145</c:v>
                </c:pt>
              </c:numCache>
            </c:numRef>
          </c:yVal>
          <c:smooth val="1"/>
        </c:ser>
        <c:ser>
          <c:idx val="7"/>
          <c:order val="4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результаты!$AX$124:$AX$130</c:f>
              <c:numCache>
                <c:formatCode>0.0</c:formatCode>
                <c:ptCount val="7"/>
                <c:pt idx="0">
                  <c:v>241.81910635727667</c:v>
                </c:pt>
                <c:pt idx="1">
                  <c:v>181.17925961398169</c:v>
                </c:pt>
                <c:pt idx="2">
                  <c:v>120.5394128706867</c:v>
                </c:pt>
                <c:pt idx="3">
                  <c:v>59.899566127391701</c:v>
                </c:pt>
                <c:pt idx="4">
                  <c:v>-0.74028061590329752</c:v>
                </c:pt>
                <c:pt idx="5">
                  <c:v>-61.380127359198326</c:v>
                </c:pt>
                <c:pt idx="6">
                  <c:v>-91.700050730845831</c:v>
                </c:pt>
              </c:numCache>
            </c:numRef>
          </c:yVal>
          <c:smooth val="1"/>
        </c:ser>
        <c:ser>
          <c:idx val="8"/>
          <c:order val="5"/>
          <c:spPr>
            <a:ln>
              <a:solidFill>
                <a:srgbClr val="599EA7"/>
              </a:solidFill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результаты!$AY$124:$AY$130</c:f>
              <c:numCache>
                <c:formatCode>0.0</c:formatCode>
                <c:ptCount val="7"/>
                <c:pt idx="0">
                  <c:v>104.44895580155148</c:v>
                </c:pt>
                <c:pt idx="1">
                  <c:v>78.460450054425024</c:v>
                </c:pt>
                <c:pt idx="2">
                  <c:v>52.471944307298592</c:v>
                </c:pt>
                <c:pt idx="3">
                  <c:v>26.483438560172161</c:v>
                </c:pt>
                <c:pt idx="4">
                  <c:v>0.49493281304572068</c:v>
                </c:pt>
                <c:pt idx="5">
                  <c:v>-25.493572934080714</c:v>
                </c:pt>
                <c:pt idx="6">
                  <c:v>-38.487825807643929</c:v>
                </c:pt>
              </c:numCache>
            </c:numRef>
          </c:yVal>
          <c:smooth val="1"/>
        </c:ser>
        <c:ser>
          <c:idx val="9"/>
          <c:order val="6"/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результаты!$AX$132:$AX$138</c:f>
              <c:numCache>
                <c:formatCode>0.0</c:formatCode>
                <c:ptCount val="7"/>
                <c:pt idx="0">
                  <c:v>145.06065089750663</c:v>
                </c:pt>
                <c:pt idx="1">
                  <c:v>100.54721339750665</c:v>
                </c:pt>
                <c:pt idx="2">
                  <c:v>56.033775897506665</c:v>
                </c:pt>
                <c:pt idx="3">
                  <c:v>11.520338397506674</c:v>
                </c:pt>
                <c:pt idx="4">
                  <c:v>-32.993099102493346</c:v>
                </c:pt>
                <c:pt idx="5">
                  <c:v>-77.506536602493341</c:v>
                </c:pt>
                <c:pt idx="6">
                  <c:v>-99.763255352493346</c:v>
                </c:pt>
              </c:numCache>
            </c:numRef>
          </c:yVal>
          <c:smooth val="1"/>
        </c:ser>
        <c:ser>
          <c:idx val="10"/>
          <c:order val="7"/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результаты!$AY$132:$AY$138</c:f>
              <c:numCache>
                <c:formatCode>0.0</c:formatCode>
                <c:ptCount val="7"/>
                <c:pt idx="0">
                  <c:v>62.981046318792863</c:v>
                </c:pt>
                <c:pt idx="1">
                  <c:v>43.903858818792834</c:v>
                </c:pt>
                <c:pt idx="2">
                  <c:v>24.826671318792858</c:v>
                </c:pt>
                <c:pt idx="3">
                  <c:v>5.7494838187928519</c:v>
                </c:pt>
                <c:pt idx="4">
                  <c:v>-13.327703681207147</c:v>
                </c:pt>
                <c:pt idx="5">
                  <c:v>-32.404891181207148</c:v>
                </c:pt>
                <c:pt idx="6">
                  <c:v>-41.943484931207145</c:v>
                </c:pt>
              </c:numCache>
            </c:numRef>
          </c:yVal>
          <c:smooth val="1"/>
        </c:ser>
        <c:ser>
          <c:idx val="11"/>
          <c:order val="8"/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результаты!$AZ$124:$AZ$130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9"/>
          <c:marker>
            <c:symbol val="none"/>
          </c:marker>
          <c:xVal>
            <c:numRef>
              <c:f>результаты!$AZ$124:$AZ$130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97248"/>
        <c:axId val="235797824"/>
      </c:scatterChart>
      <c:valAx>
        <c:axId val="235797248"/>
        <c:scaling>
          <c:orientation val="minMax"/>
          <c:max val="1.2E+20"/>
          <c:min val="1E+19"/>
        </c:scaling>
        <c:delete val="0"/>
        <c:axPos val="b"/>
        <c:numFmt formatCode="0.0E+00" sourceLinked="1"/>
        <c:majorTickMark val="out"/>
        <c:minorTickMark val="none"/>
        <c:tickLblPos val="low"/>
        <c:crossAx val="235797824"/>
        <c:crossesAt val="-100"/>
        <c:crossBetween val="midCat"/>
        <c:majorUnit val="2E+19"/>
      </c:valAx>
      <c:valAx>
        <c:axId val="235797824"/>
        <c:scaling>
          <c:orientation val="minMax"/>
          <c:max val="45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5797248"/>
        <c:crosses val="autoZero"/>
        <c:crossBetween val="midCat"/>
        <c:majorUnit val="5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45330734008015E-2"/>
          <c:y val="0.10497019010322399"/>
          <c:w val="0.8422188738266817"/>
          <c:h val="0.81526342588021783"/>
        </c:manualLayout>
      </c:layout>
      <c:scatterChart>
        <c:scatterStyle val="smoothMarker"/>
        <c:varyColors val="0"/>
        <c:ser>
          <c:idx val="5"/>
          <c:order val="0"/>
          <c:tx>
            <c:strRef>
              <c:f>результаты!$BB$113</c:f>
              <c:strCache>
                <c:ptCount val="1"/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результаты!$BC$119:$BC$134</c:f>
              <c:numCache>
                <c:formatCode>0.00</c:formatCode>
                <c:ptCount val="16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результаты!$BI$113</c:f>
              <c:strCache>
                <c:ptCount val="1"/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результаты!$BD$119:$BD$134</c:f>
              <c:numCache>
                <c:formatCode>0.00</c:formatCode>
                <c:ptCount val="16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результаты!$AW$144</c:f>
              <c:strCache>
                <c:ptCount val="1"/>
                <c:pt idx="0">
                  <c:v>тритий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результаты!$AW$145:$AW$160</c:f>
              <c:numCache>
                <c:formatCode>0.0</c:formatCode>
                <c:ptCount val="16"/>
                <c:pt idx="0">
                  <c:v>375.81831089750654</c:v>
                </c:pt>
                <c:pt idx="1">
                  <c:v>292.84526339750659</c:v>
                </c:pt>
                <c:pt idx="2">
                  <c:v>233.57880089750665</c:v>
                </c:pt>
                <c:pt idx="3">
                  <c:v>189.1289540225066</c:v>
                </c:pt>
                <c:pt idx="4">
                  <c:v>154.55685089750662</c:v>
                </c:pt>
                <c:pt idx="5">
                  <c:v>126.89916839750661</c:v>
                </c:pt>
                <c:pt idx="6">
                  <c:v>104.27015544296117</c:v>
                </c:pt>
                <c:pt idx="7">
                  <c:v>85.412644647506653</c:v>
                </c:pt>
                <c:pt idx="8">
                  <c:v>69.456289359045087</c:v>
                </c:pt>
                <c:pt idx="9">
                  <c:v>55.779413397506673</c:v>
                </c:pt>
                <c:pt idx="10">
                  <c:v>43.926120897506649</c:v>
                </c:pt>
                <c:pt idx="11">
                  <c:v>33.554489960006656</c:v>
                </c:pt>
                <c:pt idx="12">
                  <c:v>24.40305089750667</c:v>
                </c:pt>
                <c:pt idx="13">
                  <c:v>16.268438397506657</c:v>
                </c:pt>
                <c:pt idx="14">
                  <c:v>8.9901008975066556</c:v>
                </c:pt>
                <c:pt idx="15">
                  <c:v>2.4395971475066585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результаты!$AX$144</c:f>
              <c:strCache>
                <c:ptCount val="1"/>
                <c:pt idx="0">
                  <c:v>дейтерий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результаты!$AX$145:$AX$160</c:f>
              <c:numCache>
                <c:formatCode>0.0</c:formatCode>
                <c:ptCount val="16"/>
                <c:pt idx="0">
                  <c:v>161.87718631879284</c:v>
                </c:pt>
                <c:pt idx="1">
                  <c:v>126.31730881879285</c:v>
                </c:pt>
                <c:pt idx="2">
                  <c:v>100.91739631879284</c:v>
                </c:pt>
                <c:pt idx="3">
                  <c:v>81.867461943792847</c:v>
                </c:pt>
                <c:pt idx="4">
                  <c:v>67.05084631879285</c:v>
                </c:pt>
                <c:pt idx="5">
                  <c:v>55.197553818792841</c:v>
                </c:pt>
                <c:pt idx="6">
                  <c:v>45.499405409701929</c:v>
                </c:pt>
                <c:pt idx="7">
                  <c:v>37.417615068792848</c:v>
                </c:pt>
                <c:pt idx="8">
                  <c:v>30.579177088023613</c:v>
                </c:pt>
                <c:pt idx="9">
                  <c:v>24.717658818792842</c:v>
                </c:pt>
                <c:pt idx="10">
                  <c:v>19.637676318792842</c:v>
                </c:pt>
                <c:pt idx="11">
                  <c:v>15.192691631292842</c:v>
                </c:pt>
                <c:pt idx="12">
                  <c:v>11.270646318792842</c:v>
                </c:pt>
                <c:pt idx="13">
                  <c:v>7.7843838187928487</c:v>
                </c:pt>
                <c:pt idx="14">
                  <c:v>4.6650963187928465</c:v>
                </c:pt>
                <c:pt idx="15">
                  <c:v>1.8577375687928448</c:v>
                </c:pt>
              </c:numCache>
            </c:numRef>
          </c:yVal>
          <c:smooth val="1"/>
        </c:ser>
        <c:ser>
          <c:idx val="4"/>
          <c:order val="4"/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результаты!$BE$119:$BE$134</c:f>
              <c:numCache>
                <c:formatCode>0.00</c:formatCode>
                <c:ptCount val="16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</c:numCache>
            </c:numRef>
          </c:yVal>
          <c:smooth val="1"/>
        </c:ser>
        <c:ser>
          <c:idx val="7"/>
          <c:order val="5"/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результаты!$BF$119:$BF$134</c:f>
              <c:numCache>
                <c:formatCode>0.00</c:formatCode>
                <c:ptCount val="16"/>
                <c:pt idx="0">
                  <c:v>26.25</c:v>
                </c:pt>
                <c:pt idx="1">
                  <c:v>26.25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26.25</c:v>
                </c:pt>
                <c:pt idx="6">
                  <c:v>26.25</c:v>
                </c:pt>
                <c:pt idx="7">
                  <c:v>26.25</c:v>
                </c:pt>
                <c:pt idx="8">
                  <c:v>26.25</c:v>
                </c:pt>
                <c:pt idx="9">
                  <c:v>26.25</c:v>
                </c:pt>
                <c:pt idx="10">
                  <c:v>26.25</c:v>
                </c:pt>
                <c:pt idx="11">
                  <c:v>26.25</c:v>
                </c:pt>
                <c:pt idx="12">
                  <c:v>26.25</c:v>
                </c:pt>
                <c:pt idx="13">
                  <c:v>26.25</c:v>
                </c:pt>
                <c:pt idx="14">
                  <c:v>26.25</c:v>
                </c:pt>
                <c:pt idx="15">
                  <c:v>26.25</c:v>
                </c:pt>
              </c:numCache>
            </c:numRef>
          </c:yVal>
          <c:smooth val="1"/>
        </c:ser>
        <c:ser>
          <c:idx val="12"/>
          <c:order val="6"/>
          <c:spPr>
            <a:ln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результаты!$BA$145:$BA$160</c:f>
              <c:numCache>
                <c:formatCode>0.0</c:formatCode>
                <c:ptCount val="16"/>
                <c:pt idx="0">
                  <c:v>590.19502589750653</c:v>
                </c:pt>
                <c:pt idx="1">
                  <c:v>471.49252589750654</c:v>
                </c:pt>
                <c:pt idx="2">
                  <c:v>386.70502589750657</c:v>
                </c:pt>
                <c:pt idx="3">
                  <c:v>323.11440089750658</c:v>
                </c:pt>
                <c:pt idx="4">
                  <c:v>273.65502589750668</c:v>
                </c:pt>
                <c:pt idx="5">
                  <c:v>234.08752589750662</c:v>
                </c:pt>
                <c:pt idx="6">
                  <c:v>201.7141168065975</c:v>
                </c:pt>
                <c:pt idx="7">
                  <c:v>174.73627589750663</c:v>
                </c:pt>
                <c:pt idx="8">
                  <c:v>151.9088720513528</c:v>
                </c:pt>
                <c:pt idx="9">
                  <c:v>132.34252589750662</c:v>
                </c:pt>
                <c:pt idx="10">
                  <c:v>115.38502589750662</c:v>
                </c:pt>
                <c:pt idx="11">
                  <c:v>100.54721339750665</c:v>
                </c:pt>
                <c:pt idx="12">
                  <c:v>87.455025897506658</c:v>
                </c:pt>
                <c:pt idx="13">
                  <c:v>75.81752589750667</c:v>
                </c:pt>
                <c:pt idx="14">
                  <c:v>65.405025897506675</c:v>
                </c:pt>
                <c:pt idx="15">
                  <c:v>56.033775897506665</c:v>
                </c:pt>
              </c:numCache>
            </c:numRef>
          </c:yVal>
          <c:smooth val="1"/>
        </c:ser>
        <c:ser>
          <c:idx val="13"/>
          <c:order val="7"/>
          <c:spPr>
            <a:ln>
              <a:solidFill>
                <a:srgbClr val="00B0F0"/>
              </a:solidFill>
              <a:prstDash val="lgDash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результаты!$BB$145:$BB$160</c:f>
              <c:numCache>
                <c:formatCode>0.0</c:formatCode>
                <c:ptCount val="16"/>
                <c:pt idx="0">
                  <c:v>253.75292131879283</c:v>
                </c:pt>
                <c:pt idx="1">
                  <c:v>202.88042131879283</c:v>
                </c:pt>
                <c:pt idx="2">
                  <c:v>166.54292131879285</c:v>
                </c:pt>
                <c:pt idx="3">
                  <c:v>139.28979631879284</c:v>
                </c:pt>
                <c:pt idx="4">
                  <c:v>118.09292131879283</c:v>
                </c:pt>
                <c:pt idx="5">
                  <c:v>101.13542131879285</c:v>
                </c:pt>
                <c:pt idx="6">
                  <c:v>87.261103136974654</c:v>
                </c:pt>
                <c:pt idx="7">
                  <c:v>75.69917131879285</c:v>
                </c:pt>
                <c:pt idx="8">
                  <c:v>65.915998241869758</c:v>
                </c:pt>
                <c:pt idx="9">
                  <c:v>57.530421318792847</c:v>
                </c:pt>
                <c:pt idx="10">
                  <c:v>50.262921318792841</c:v>
                </c:pt>
                <c:pt idx="11">
                  <c:v>43.903858818792834</c:v>
                </c:pt>
                <c:pt idx="12">
                  <c:v>38.292921318792843</c:v>
                </c:pt>
                <c:pt idx="13">
                  <c:v>33.305421318792838</c:v>
                </c:pt>
                <c:pt idx="14">
                  <c:v>28.842921318792843</c:v>
                </c:pt>
                <c:pt idx="15">
                  <c:v>24.826671318792844</c:v>
                </c:pt>
              </c:numCache>
            </c:numRef>
          </c:yVal>
          <c:smooth val="1"/>
        </c:ser>
        <c:ser>
          <c:idx val="14"/>
          <c:order val="8"/>
          <c:spPr>
            <a:ln>
              <a:solidFill>
                <a:srgbClr val="FF00FF"/>
              </a:solidFill>
              <a:prstDash val="sysDash"/>
            </a:ln>
          </c:spPr>
          <c:marker>
            <c:symbol val="none"/>
          </c:marker>
          <c:xVal>
            <c:numRef>
              <c:f>результаты!$BG$145:$BG$149</c:f>
              <c:numCache>
                <c:formatCode>0.00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результаты!$BE$145:$BE$149</c:f>
              <c:numCache>
                <c:formatCode>0.0</c:formatCode>
                <c:ptCount val="5"/>
                <c:pt idx="0">
                  <c:v>91.644525897506668</c:v>
                </c:pt>
                <c:pt idx="1">
                  <c:v>56.033775897506693</c:v>
                </c:pt>
                <c:pt idx="2">
                  <c:v>30.597525897506692</c:v>
                </c:pt>
                <c:pt idx="3">
                  <c:v>11.520338397506674</c:v>
                </c:pt>
                <c:pt idx="4">
                  <c:v>-3.3174741024933412</c:v>
                </c:pt>
              </c:numCache>
            </c:numRef>
          </c:yVal>
          <c:smooth val="1"/>
        </c:ser>
        <c:ser>
          <c:idx val="15"/>
          <c:order val="9"/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результаты!$BG$145:$BG$149</c:f>
              <c:numCache>
                <c:formatCode>0.00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результаты!$BF$145:$BF$149</c:f>
              <c:numCache>
                <c:formatCode>0.0</c:formatCode>
                <c:ptCount val="5"/>
                <c:pt idx="0">
                  <c:v>40.088421318792861</c:v>
                </c:pt>
                <c:pt idx="1">
                  <c:v>24.826671318792858</c:v>
                </c:pt>
                <c:pt idx="2">
                  <c:v>13.925421318792866</c:v>
                </c:pt>
                <c:pt idx="3">
                  <c:v>5.7494838187928519</c:v>
                </c:pt>
                <c:pt idx="4">
                  <c:v>-0.60957868120714775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54432"/>
        <c:axId val="266955008"/>
      </c:scatterChart>
      <c:valAx>
        <c:axId val="266954432"/>
        <c:scaling>
          <c:orientation val="minMax"/>
          <c:max val="4"/>
          <c:min val="1"/>
        </c:scaling>
        <c:delete val="0"/>
        <c:axPos val="t"/>
        <c:numFmt formatCode="0.00" sourceLinked="1"/>
        <c:majorTickMark val="out"/>
        <c:minorTickMark val="none"/>
        <c:tickLblPos val="nextTo"/>
        <c:crossAx val="266955008"/>
        <c:crosses val="max"/>
        <c:crossBetween val="midCat"/>
      </c:valAx>
      <c:valAx>
        <c:axId val="266955008"/>
        <c:scaling>
          <c:orientation val="minMax"/>
          <c:max val="450"/>
          <c:min val="0"/>
        </c:scaling>
        <c:delete val="1"/>
        <c:axPos val="l"/>
        <c:numFmt formatCode="0.00" sourceLinked="1"/>
        <c:majorTickMark val="out"/>
        <c:minorTickMark val="none"/>
        <c:tickLblPos val="none"/>
        <c:crossAx val="26695443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yVal>
            <c:numRef>
              <c:f>'[2]динамика изотопов в ТЦ'!$N$6:$N$35</c:f>
              <c:numCache>
                <c:formatCode>General</c:formatCode>
                <c:ptCount val="30"/>
                <c:pt idx="0">
                  <c:v>3.9163048082686361E+21</c:v>
                </c:pt>
                <c:pt idx="1">
                  <c:v>4.0054872637940564E+21</c:v>
                </c:pt>
                <c:pt idx="2">
                  <c:v>4.0479978959006492E+21</c:v>
                </c:pt>
                <c:pt idx="3">
                  <c:v>4.0766239398207852E+21</c:v>
                </c:pt>
                <c:pt idx="4">
                  <c:v>4.0964302108374425E+21</c:v>
                </c:pt>
                <c:pt idx="5">
                  <c:v>4.1104985492999032E+21</c:v>
                </c:pt>
                <c:pt idx="6">
                  <c:v>4.1207096043946639E+21</c:v>
                </c:pt>
                <c:pt idx="7">
                  <c:v>4.1282656508355449E+21</c:v>
                </c:pt>
                <c:pt idx="8">
                  <c:v>4.1339622029362835E+21</c:v>
                </c:pt>
                <c:pt idx="9">
                  <c:v>4.1383396249982683E+21</c:v>
                </c:pt>
                <c:pt idx="10">
                  <c:v>4.1417723469777758E+21</c:v>
                </c:pt>
                <c:pt idx="11">
                  <c:v>4.1445237485127231E+21</c:v>
                </c:pt>
                <c:pt idx="12">
                  <c:v>4.1467811988995871E+21</c:v>
                </c:pt>
                <c:pt idx="13">
                  <c:v>4.1486791242523644E+21</c:v>
                </c:pt>
                <c:pt idx="14">
                  <c:v>4.1503145763386069E+21</c:v>
                </c:pt>
                <c:pt idx="15">
                  <c:v>4.1517579523648054E+21</c:v>
                </c:pt>
                <c:pt idx="16">
                  <c:v>4.1530604929259867E+21</c:v>
                </c:pt>
                <c:pt idx="17">
                  <c:v>4.1542595908438201E+21</c:v>
                </c:pt>
                <c:pt idx="18">
                  <c:v>4.1553825853927132E+21</c:v>
                </c:pt>
                <c:pt idx="19">
                  <c:v>4.1564494933954412E+21</c:v>
                </c:pt>
                <c:pt idx="20">
                  <c:v>4.1574749856484725E+21</c:v>
                </c:pt>
                <c:pt idx="21">
                  <c:v>4.1584698229736656E+21</c:v>
                </c:pt>
                <c:pt idx="22">
                  <c:v>4.159441902774371E+21</c:v>
                </c:pt>
                <c:pt idx="23">
                  <c:v>4.1603970234404548E+21</c:v>
                </c:pt>
                <c:pt idx="24">
                  <c:v>4.1613394435942116E+21</c:v>
                </c:pt>
                <c:pt idx="25">
                  <c:v>4.1622722917410537E+21</c:v>
                </c:pt>
                <c:pt idx="26">
                  <c:v>4.1631978666124457E+21</c:v>
                </c:pt>
                <c:pt idx="27">
                  <c:v>4.1641178575149487E+21</c:v>
                </c:pt>
                <c:pt idx="28">
                  <c:v>4.1650335060707561E+21</c:v>
                </c:pt>
                <c:pt idx="29">
                  <c:v>4.1659457249815471E+21</c:v>
                </c:pt>
              </c:numCache>
            </c:numRef>
          </c:yVal>
          <c:smooth val="0"/>
        </c:ser>
        <c:ser>
          <c:idx val="4"/>
          <c:order val="1"/>
          <c:marker>
            <c:symbol val="none"/>
          </c:marker>
          <c:yVal>
            <c:numRef>
              <c:f>'[2]динамика изотопов в ТЦ'!$O$6:$O$35</c:f>
              <c:numCache>
                <c:formatCode>General</c:formatCode>
                <c:ptCount val="30"/>
                <c:pt idx="0">
                  <c:v>3.9163048082686361E+21</c:v>
                </c:pt>
                <c:pt idx="1">
                  <c:v>4.0054872637940564E+21</c:v>
                </c:pt>
                <c:pt idx="2">
                  <c:v>4.0479978959006492E+21</c:v>
                </c:pt>
                <c:pt idx="3">
                  <c:v>4.0766239398207852E+21</c:v>
                </c:pt>
                <c:pt idx="4">
                  <c:v>4.0964302108374419E+21</c:v>
                </c:pt>
                <c:pt idx="5">
                  <c:v>4.1104985492999027E+21</c:v>
                </c:pt>
                <c:pt idx="6">
                  <c:v>4.1207096043946634E+21</c:v>
                </c:pt>
                <c:pt idx="7">
                  <c:v>4.1282656508355438E+21</c:v>
                </c:pt>
                <c:pt idx="8">
                  <c:v>4.1339622029362824E+21</c:v>
                </c:pt>
                <c:pt idx="9">
                  <c:v>4.1383396249982678E+21</c:v>
                </c:pt>
                <c:pt idx="10">
                  <c:v>4.1417723469777758E+21</c:v>
                </c:pt>
                <c:pt idx="11">
                  <c:v>4.1445237485127231E+21</c:v>
                </c:pt>
                <c:pt idx="12">
                  <c:v>4.1467811988995871E+21</c:v>
                </c:pt>
                <c:pt idx="13">
                  <c:v>4.1486791242523644E+21</c:v>
                </c:pt>
                <c:pt idx="14">
                  <c:v>4.1503145763386069E+21</c:v>
                </c:pt>
                <c:pt idx="15">
                  <c:v>4.1517579523648054E+21</c:v>
                </c:pt>
                <c:pt idx="16">
                  <c:v>4.1530604929259867E+21</c:v>
                </c:pt>
                <c:pt idx="17">
                  <c:v>4.1542595908438201E+21</c:v>
                </c:pt>
                <c:pt idx="18">
                  <c:v>4.1553825853927132E+21</c:v>
                </c:pt>
                <c:pt idx="19">
                  <c:v>4.1564494933954412E+21</c:v>
                </c:pt>
                <c:pt idx="20">
                  <c:v>4.1574749856484725E+21</c:v>
                </c:pt>
                <c:pt idx="21">
                  <c:v>4.1584698229736656E+21</c:v>
                </c:pt>
                <c:pt idx="22">
                  <c:v>4.159441902774371E+21</c:v>
                </c:pt>
                <c:pt idx="23">
                  <c:v>4.1603970234404548E+21</c:v>
                </c:pt>
                <c:pt idx="24">
                  <c:v>4.1613394435942116E+21</c:v>
                </c:pt>
                <c:pt idx="25">
                  <c:v>4.1622722917410537E+21</c:v>
                </c:pt>
                <c:pt idx="26">
                  <c:v>4.1631978666124457E+21</c:v>
                </c:pt>
                <c:pt idx="27">
                  <c:v>4.1641178575149487E+21</c:v>
                </c:pt>
                <c:pt idx="28">
                  <c:v>4.1650335060707561E+21</c:v>
                </c:pt>
                <c:pt idx="29">
                  <c:v>4.1659457249815471E+21</c:v>
                </c:pt>
              </c:numCache>
            </c:numRef>
          </c:yVal>
          <c:smooth val="0"/>
        </c:ser>
        <c:ser>
          <c:idx val="5"/>
          <c:order val="2"/>
          <c:marker>
            <c:symbol val="none"/>
          </c:marker>
          <c:yVal>
            <c:numRef>
              <c:f>'[2]динамика изотопов в ТЦ'!$P$6:$P$35</c:f>
              <c:numCache>
                <c:formatCode>General</c:formatCode>
                <c:ptCount val="30"/>
                <c:pt idx="0">
                  <c:v>3.9163048082686361E+21</c:v>
                </c:pt>
                <c:pt idx="1">
                  <c:v>4.0100432660958198E+21</c:v>
                </c:pt>
                <c:pt idx="2">
                  <c:v>4.0547697642639034E+21</c:v>
                </c:pt>
                <c:pt idx="3">
                  <c:v>4.0849122202755478E+21</c:v>
                </c:pt>
                <c:pt idx="4">
                  <c:v>4.1057805390549337E+21</c:v>
                </c:pt>
                <c:pt idx="5">
                  <c:v>4.1206101625133764E+21</c:v>
                </c:pt>
                <c:pt idx="6">
                  <c:v>4.1313775482409273E+21</c:v>
                </c:pt>
                <c:pt idx="7">
                  <c:v>4.1393473627814714E+21</c:v>
                </c:pt>
                <c:pt idx="8">
                  <c:v>4.1453570318628967E+21</c:v>
                </c:pt>
                <c:pt idx="9">
                  <c:v>4.1499757340432909E+21</c:v>
                </c:pt>
                <c:pt idx="10">
                  <c:v>4.1535980547408407E+21</c:v>
                </c:pt>
                <c:pt idx="11">
                  <c:v>4.1565016549413403E+21</c:v>
                </c:pt>
                <c:pt idx="12">
                  <c:v>4.1588841203785967E+21</c:v>
                </c:pt>
                <c:pt idx="13">
                  <c:v>4.1608872377086887E+21</c:v>
                </c:pt>
                <c:pt idx="14">
                  <c:v>4.1626133895947548E+21</c:v>
                </c:pt>
                <c:pt idx="15">
                  <c:v>4.1641368491752937E+21</c:v>
                </c:pt>
                <c:pt idx="16">
                  <c:v>4.1655116832070272E+21</c:v>
                </c:pt>
                <c:pt idx="17">
                  <c:v>4.1667773495904525E+21</c:v>
                </c:pt>
                <c:pt idx="18">
                  <c:v>4.1679626989119823E+21</c:v>
                </c:pt>
                <c:pt idx="19">
                  <c:v>4.1690888553109699E+21</c:v>
                </c:pt>
                <c:pt idx="20">
                  <c:v>4.170171301589051E+21</c:v>
                </c:pt>
                <c:pt idx="21">
                  <c:v>4.171221394393393E+21</c:v>
                </c:pt>
                <c:pt idx="22">
                  <c:v>4.1722474685304254E+21</c:v>
                </c:pt>
                <c:pt idx="23">
                  <c:v>4.1732556436052524E+21</c:v>
                </c:pt>
                <c:pt idx="24">
                  <c:v>4.1742504141928236E+21</c:v>
                </c:pt>
                <c:pt idx="25">
                  <c:v>4.1752350821557307E+21</c:v>
                </c:pt>
                <c:pt idx="26">
                  <c:v>4.1762120736136285E+21</c:v>
                </c:pt>
                <c:pt idx="27">
                  <c:v>4.1771831714946168E+21</c:v>
                </c:pt>
                <c:pt idx="28">
                  <c:v>4.1781496862347624E+21</c:v>
                </c:pt>
                <c:pt idx="29">
                  <c:v>4.1791125811216384E+21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57888"/>
        <c:axId val="266958464"/>
      </c:scatterChart>
      <c:valAx>
        <c:axId val="266957888"/>
        <c:scaling>
          <c:orientation val="minMax"/>
          <c:max val="30"/>
        </c:scaling>
        <c:delete val="0"/>
        <c:axPos val="b"/>
        <c:numFmt formatCode="#,##0" sourceLinked="0"/>
        <c:majorTickMark val="out"/>
        <c:minorTickMark val="none"/>
        <c:tickLblPos val="nextTo"/>
        <c:crossAx val="266958464"/>
        <c:crosses val="autoZero"/>
        <c:crossBetween val="midCat"/>
      </c:valAx>
      <c:valAx>
        <c:axId val="2669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95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92D050"/>
              </a:solidFill>
            </a:ln>
          </c:spPr>
          <c:marker>
            <c:symbol val="none"/>
          </c:marker>
          <c:yVal>
            <c:numRef>
              <c:f>'[2]динамика изотопов в ТЦ'!$J$7:$J$35</c:f>
              <c:numCache>
                <c:formatCode>General</c:formatCode>
                <c:ptCount val="29"/>
                <c:pt idx="0">
                  <c:v>6.3473440049385726E+19</c:v>
                </c:pt>
                <c:pt idx="1">
                  <c:v>6.3050337975489348E+19</c:v>
                </c:pt>
                <c:pt idx="2">
                  <c:v>6.2749024401659945E+19</c:v>
                </c:pt>
                <c:pt idx="3">
                  <c:v>6.2535818159393989E+19</c:v>
                </c:pt>
                <c:pt idx="4">
                  <c:v>6.2383232709027832E+19</c:v>
                </c:pt>
                <c:pt idx="5">
                  <c:v>6.2273191491058573E+19</c:v>
                </c:pt>
                <c:pt idx="6">
                  <c:v>6.2193396375969448E+19</c:v>
                </c:pt>
                <c:pt idx="7">
                  <c:v>6.2135305359981904E+19</c:v>
                </c:pt>
                <c:pt idx="8">
                  <c:v>6.2092894116862894E+19</c:v>
                </c:pt>
                <c:pt idx="9">
                  <c:v>6.2061866080560013E+19</c:v>
                </c:pt>
                <c:pt idx="10">
                  <c:v>6.2039131599758557E+19</c:v>
                </c:pt>
                <c:pt idx="11">
                  <c:v>6.2022455422470898E+19</c:v>
                </c:pt>
                <c:pt idx="12">
                  <c:v>6.2010213206506201E+19</c:v>
                </c:pt>
                <c:pt idx="13">
                  <c:v>6.2001220679769457E+19</c:v>
                </c:pt>
                <c:pt idx="14">
                  <c:v>6.1994612331550745E+19</c:v>
                </c:pt>
                <c:pt idx="15">
                  <c:v>6.1989754490946609E+19</c:v>
                </c:pt>
                <c:pt idx="16">
                  <c:v>6.1986182619229159E+19</c:v>
                </c:pt>
                <c:pt idx="17">
                  <c:v>6.1983555839815688E+19</c:v>
                </c:pt>
                <c:pt idx="18">
                  <c:v>6.1981623842076434E+19</c:v>
                </c:pt>
                <c:pt idx="19">
                  <c:v>6.1980202723686277E+19</c:v>
                </c:pt>
                <c:pt idx="20">
                  <c:v>6.1979157320566874E+19</c:v>
                </c:pt>
                <c:pt idx="21">
                  <c:v>6.1978388262190359E+19</c:v>
                </c:pt>
                <c:pt idx="22">
                  <c:v>6.1977822477759078E+19</c:v>
                </c:pt>
                <c:pt idx="23">
                  <c:v>6.1977406227444482E+19</c:v>
                </c:pt>
                <c:pt idx="24">
                  <c:v>6.1977099983924191E+19</c:v>
                </c:pt>
                <c:pt idx="25">
                  <c:v>6.1976874671219745E+19</c:v>
                </c:pt>
                <c:pt idx="26">
                  <c:v>6.1976708899978404E+19</c:v>
                </c:pt>
                <c:pt idx="27">
                  <c:v>6.1976586934707806E+19</c:v>
                </c:pt>
                <c:pt idx="28">
                  <c:v>6.1976497198907154E+19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ymbol val="none"/>
          </c:marker>
          <c:yVal>
            <c:numRef>
              <c:f>'[2]динамика изотопов в ТЦ'!$K$7:$K$35</c:f>
              <c:numCache>
                <c:formatCode>General</c:formatCode>
                <c:ptCount val="29"/>
                <c:pt idx="0">
                  <c:v>6.3473440049385726E+19</c:v>
                </c:pt>
                <c:pt idx="1">
                  <c:v>6.3050337975489348E+19</c:v>
                </c:pt>
                <c:pt idx="2">
                  <c:v>6.2749024401659945E+19</c:v>
                </c:pt>
                <c:pt idx="3">
                  <c:v>6.2535818159393989E+19</c:v>
                </c:pt>
                <c:pt idx="4">
                  <c:v>6.238323270902784E+19</c:v>
                </c:pt>
                <c:pt idx="5">
                  <c:v>6.2273191491058565E+19</c:v>
                </c:pt>
                <c:pt idx="6">
                  <c:v>6.2193396375969448E+19</c:v>
                </c:pt>
                <c:pt idx="7">
                  <c:v>6.2135305359981904E+19</c:v>
                </c:pt>
                <c:pt idx="8">
                  <c:v>6.2092894116862894E+19</c:v>
                </c:pt>
                <c:pt idx="9">
                  <c:v>6.2061866080560013E+19</c:v>
                </c:pt>
                <c:pt idx="10">
                  <c:v>6.2039131599758557E+19</c:v>
                </c:pt>
                <c:pt idx="11">
                  <c:v>6.2022455422470898E+19</c:v>
                </c:pt>
                <c:pt idx="12">
                  <c:v>6.2010213206506201E+19</c:v>
                </c:pt>
                <c:pt idx="13">
                  <c:v>6.2001220679769457E+19</c:v>
                </c:pt>
                <c:pt idx="14">
                  <c:v>6.1994612331550745E+19</c:v>
                </c:pt>
                <c:pt idx="15">
                  <c:v>6.1989754490946609E+19</c:v>
                </c:pt>
                <c:pt idx="16">
                  <c:v>6.1986182619229159E+19</c:v>
                </c:pt>
                <c:pt idx="17">
                  <c:v>6.1983555839815688E+19</c:v>
                </c:pt>
                <c:pt idx="18">
                  <c:v>6.1981623842076434E+19</c:v>
                </c:pt>
                <c:pt idx="19">
                  <c:v>6.1980202723686277E+19</c:v>
                </c:pt>
                <c:pt idx="20">
                  <c:v>6.1979157320566874E+19</c:v>
                </c:pt>
                <c:pt idx="21">
                  <c:v>6.1978388262190359E+19</c:v>
                </c:pt>
                <c:pt idx="22">
                  <c:v>6.1977822477759078E+19</c:v>
                </c:pt>
                <c:pt idx="23">
                  <c:v>6.1977406227444482E+19</c:v>
                </c:pt>
                <c:pt idx="24">
                  <c:v>6.1977099983924191E+19</c:v>
                </c:pt>
                <c:pt idx="25">
                  <c:v>6.1976874671219745E+19</c:v>
                </c:pt>
                <c:pt idx="26">
                  <c:v>6.1976708899978404E+19</c:v>
                </c:pt>
                <c:pt idx="27">
                  <c:v>6.1976586934707806E+19</c:v>
                </c:pt>
                <c:pt idx="28">
                  <c:v>6.1976497198907154E+19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C000"/>
              </a:solidFill>
            </a:ln>
          </c:spPr>
          <c:marker>
            <c:symbol val="none"/>
          </c:marker>
          <c:yVal>
            <c:numRef>
              <c:f>'[2]динамика изотопов в ТЦ'!$L$7:$L$35</c:f>
              <c:numCache>
                <c:formatCode>General</c:formatCode>
                <c:ptCount val="29"/>
                <c:pt idx="0">
                  <c:v>6.347344004938571E+19</c:v>
                </c:pt>
                <c:pt idx="1">
                  <c:v>6.3050337975489331E+19</c:v>
                </c:pt>
                <c:pt idx="2">
                  <c:v>6.2749024401659912E+19</c:v>
                </c:pt>
                <c:pt idx="3">
                  <c:v>6.2535818159393997E+19</c:v>
                </c:pt>
                <c:pt idx="4">
                  <c:v>6.2383232709027832E+19</c:v>
                </c:pt>
                <c:pt idx="5">
                  <c:v>6.2273191491058557E+19</c:v>
                </c:pt>
                <c:pt idx="6">
                  <c:v>6.2193396375969448E+19</c:v>
                </c:pt>
                <c:pt idx="7">
                  <c:v>6.2135305359981904E+19</c:v>
                </c:pt>
                <c:pt idx="8">
                  <c:v>6.2092894116862894E+19</c:v>
                </c:pt>
                <c:pt idx="9">
                  <c:v>6.2061866080560005E+19</c:v>
                </c:pt>
                <c:pt idx="10">
                  <c:v>6.2039131599758574E+19</c:v>
                </c:pt>
                <c:pt idx="11">
                  <c:v>6.2022455422470889E+19</c:v>
                </c:pt>
                <c:pt idx="12">
                  <c:v>6.2010213206506201E+19</c:v>
                </c:pt>
                <c:pt idx="13">
                  <c:v>6.2001220679769448E+19</c:v>
                </c:pt>
                <c:pt idx="14">
                  <c:v>6.1994612331550736E+19</c:v>
                </c:pt>
                <c:pt idx="15">
                  <c:v>6.1989754490946568E+19</c:v>
                </c:pt>
                <c:pt idx="16">
                  <c:v>6.1986182619229086E+19</c:v>
                </c:pt>
                <c:pt idx="17">
                  <c:v>6.1983555839815639E+19</c:v>
                </c:pt>
                <c:pt idx="18">
                  <c:v>6.1981623842076418E+19</c:v>
                </c:pt>
                <c:pt idx="19">
                  <c:v>6.1980202723686269E+19</c:v>
                </c:pt>
                <c:pt idx="20">
                  <c:v>6.1979157320566833E+19</c:v>
                </c:pt>
                <c:pt idx="21">
                  <c:v>6.1978388262190342E+19</c:v>
                </c:pt>
                <c:pt idx="22">
                  <c:v>6.197782247775907E+19</c:v>
                </c:pt>
                <c:pt idx="23">
                  <c:v>6.1977406227444474E+19</c:v>
                </c:pt>
                <c:pt idx="24">
                  <c:v>6.1977099983924191E+19</c:v>
                </c:pt>
                <c:pt idx="25">
                  <c:v>6.1976874671219728E+19</c:v>
                </c:pt>
                <c:pt idx="26">
                  <c:v>6.1976708899978379E+19</c:v>
                </c:pt>
                <c:pt idx="27">
                  <c:v>6.1976586934707773E+19</c:v>
                </c:pt>
                <c:pt idx="28">
                  <c:v>6.1976497198907122E+19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960192"/>
        <c:axId val="267911168"/>
      </c:scatterChart>
      <c:valAx>
        <c:axId val="266960192"/>
        <c:scaling>
          <c:orientation val="minMax"/>
          <c:max val="30"/>
        </c:scaling>
        <c:delete val="0"/>
        <c:axPos val="b"/>
        <c:numFmt formatCode="#,##0" sourceLinked="0"/>
        <c:majorTickMark val="out"/>
        <c:minorTickMark val="none"/>
        <c:tickLblPos val="nextTo"/>
        <c:crossAx val="267911168"/>
        <c:crosses val="autoZero"/>
        <c:crossBetween val="midCat"/>
      </c:valAx>
      <c:valAx>
        <c:axId val="2679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96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92D050"/>
              </a:solidFill>
            </a:ln>
          </c:spPr>
          <c:marker>
            <c:symbol val="none"/>
          </c:marker>
          <c:yVal>
            <c:numRef>
              <c:f>'[2]динамика изотопов в ТЦ'!$Q$6:$Q$35</c:f>
              <c:numCache>
                <c:formatCode>General</c:formatCode>
                <c:ptCount val="30"/>
                <c:pt idx="0">
                  <c:v>3.9163048082686361E+21</c:v>
                </c:pt>
                <c:pt idx="1">
                  <c:v>3.6767031853830976E+21</c:v>
                </c:pt>
                <c:pt idx="2">
                  <c:v>3.5829845092728261E+21</c:v>
                </c:pt>
                <c:pt idx="3">
                  <c:v>3.5178904835121181E+21</c:v>
                </c:pt>
                <c:pt idx="4">
                  <c:v>3.4722798609940129E+21</c:v>
                </c:pt>
                <c:pt idx="5">
                  <c:v>3.4397441054737359E+21</c:v>
                </c:pt>
                <c:pt idx="6">
                  <c:v>3.4162147617681551E+21</c:v>
                </c:pt>
                <c:pt idx="7">
                  <c:v>3.3990011125480376E+21</c:v>
                </c:pt>
                <c:pt idx="8">
                  <c:v>3.3862738047823265E+21</c:v>
                </c:pt>
                <c:pt idx="9">
                  <c:v>3.3767633499656479E+21</c:v>
                </c:pt>
                <c:pt idx="10">
                  <c:v>3.3695753047524025E+21</c:v>
                </c:pt>
                <c:pt idx="11">
                  <c:v>3.3640723490060548E+21</c:v>
                </c:pt>
                <c:pt idx="12">
                  <c:v>3.3597965808820662E+21</c:v>
                </c:pt>
                <c:pt idx="13">
                  <c:v>3.3564169801310814E+21</c:v>
                </c:pt>
                <c:pt idx="14">
                  <c:v>3.3536931625338908E+21</c:v>
                </c:pt>
                <c:pt idx="15">
                  <c:v>3.3514499781227813E+21</c:v>
                </c:pt>
                <c:pt idx="16">
                  <c:v>3.349559493113281E+21</c:v>
                </c:pt>
                <c:pt idx="17">
                  <c:v>3.3479280915614841E+21</c:v>
                </c:pt>
                <c:pt idx="18">
                  <c:v>3.3464871779001801E+21</c:v>
                </c:pt>
                <c:pt idx="19">
                  <c:v>3.3451864402110689E+21</c:v>
                </c:pt>
                <c:pt idx="20">
                  <c:v>3.3439889499992778E+21</c:v>
                </c:pt>
                <c:pt idx="21">
                  <c:v>3.3428675875345431E+21</c:v>
                </c:pt>
                <c:pt idx="22">
                  <c:v>3.3418024285985277E+21</c:v>
                </c:pt>
                <c:pt idx="23">
                  <c:v>3.3407788310427269E+21</c:v>
                </c:pt>
                <c:pt idx="24">
                  <c:v>3.3397860321133939E+21</c:v>
                </c:pt>
                <c:pt idx="25">
                  <c:v>3.3388161193132902E+21</c:v>
                </c:pt>
                <c:pt idx="26">
                  <c:v>3.3378632748452796E+21</c:v>
                </c:pt>
                <c:pt idx="27">
                  <c:v>3.3369232206494386E+21</c:v>
                </c:pt>
                <c:pt idx="28">
                  <c:v>3.3359928106369302E+21</c:v>
                </c:pt>
                <c:pt idx="29">
                  <c:v>3.3350697310021857E+21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ymbol val="none"/>
          </c:marker>
          <c:yVal>
            <c:numRef>
              <c:f>'[2]динамика изотопов в ТЦ'!$R$6:$R$35</c:f>
              <c:numCache>
                <c:formatCode>General</c:formatCode>
                <c:ptCount val="30"/>
                <c:pt idx="0">
                  <c:v>3.9163048082686361E+21</c:v>
                </c:pt>
                <c:pt idx="1">
                  <c:v>3.6767031853830976E+21</c:v>
                </c:pt>
                <c:pt idx="2">
                  <c:v>3.5829845092728261E+21</c:v>
                </c:pt>
                <c:pt idx="3">
                  <c:v>3.5178904835121181E+21</c:v>
                </c:pt>
                <c:pt idx="4">
                  <c:v>3.4722798609940129E+21</c:v>
                </c:pt>
                <c:pt idx="5">
                  <c:v>3.439744105473737E+21</c:v>
                </c:pt>
                <c:pt idx="6">
                  <c:v>3.4162147617681551E+21</c:v>
                </c:pt>
                <c:pt idx="7">
                  <c:v>3.3990011125480387E+21</c:v>
                </c:pt>
                <c:pt idx="8">
                  <c:v>3.3862738047823276E+21</c:v>
                </c:pt>
                <c:pt idx="9">
                  <c:v>3.3767633499656484E+21</c:v>
                </c:pt>
                <c:pt idx="10">
                  <c:v>3.3695753047524025E+21</c:v>
                </c:pt>
                <c:pt idx="11">
                  <c:v>3.3640723490060548E+21</c:v>
                </c:pt>
                <c:pt idx="12">
                  <c:v>3.3597965808820662E+21</c:v>
                </c:pt>
                <c:pt idx="13">
                  <c:v>3.3564169801310814E+21</c:v>
                </c:pt>
                <c:pt idx="14">
                  <c:v>3.3536931625338908E+21</c:v>
                </c:pt>
                <c:pt idx="15">
                  <c:v>3.3514499781227813E+21</c:v>
                </c:pt>
                <c:pt idx="16">
                  <c:v>3.349559493113281E+21</c:v>
                </c:pt>
                <c:pt idx="17">
                  <c:v>3.3479280915614841E+21</c:v>
                </c:pt>
                <c:pt idx="18">
                  <c:v>3.3464871779001801E+21</c:v>
                </c:pt>
                <c:pt idx="19">
                  <c:v>3.3451864402110689E+21</c:v>
                </c:pt>
                <c:pt idx="20">
                  <c:v>3.3439889499992778E+21</c:v>
                </c:pt>
                <c:pt idx="21">
                  <c:v>3.3428675875345431E+21</c:v>
                </c:pt>
                <c:pt idx="22">
                  <c:v>3.3418024285985277E+21</c:v>
                </c:pt>
                <c:pt idx="23">
                  <c:v>3.3407788310427269E+21</c:v>
                </c:pt>
                <c:pt idx="24">
                  <c:v>3.3397860321133939E+21</c:v>
                </c:pt>
                <c:pt idx="25">
                  <c:v>3.3388161193132902E+21</c:v>
                </c:pt>
                <c:pt idx="26">
                  <c:v>3.3378632748452796E+21</c:v>
                </c:pt>
                <c:pt idx="27">
                  <c:v>3.3369232206494386E+21</c:v>
                </c:pt>
                <c:pt idx="28">
                  <c:v>3.3359928106369302E+21</c:v>
                </c:pt>
                <c:pt idx="29">
                  <c:v>3.3350697310021857E+21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rgbClr val="FFC000"/>
              </a:solidFill>
            </a:ln>
          </c:spPr>
          <c:marker>
            <c:symbol val="none"/>
          </c:marker>
          <c:yVal>
            <c:numRef>
              <c:f>'[2]динамика изотопов в ТЦ'!$S$6:$S$35</c:f>
              <c:numCache>
                <c:formatCode>General</c:formatCode>
                <c:ptCount val="30"/>
                <c:pt idx="0">
                  <c:v>3.9163048082686361E+21</c:v>
                </c:pt>
                <c:pt idx="1">
                  <c:v>3.6721471830813327E+21</c:v>
                </c:pt>
                <c:pt idx="2">
                  <c:v>3.5762126409095709E+21</c:v>
                </c:pt>
                <c:pt idx="3">
                  <c:v>3.5096022030573518E+21</c:v>
                </c:pt>
                <c:pt idx="4">
                  <c:v>3.4629295327765222E+21</c:v>
                </c:pt>
                <c:pt idx="5">
                  <c:v>3.4296324922602616E+21</c:v>
                </c:pt>
                <c:pt idx="6">
                  <c:v>3.4055468179218901E+21</c:v>
                </c:pt>
                <c:pt idx="7">
                  <c:v>3.3879194006021105E+21</c:v>
                </c:pt>
                <c:pt idx="8">
                  <c:v>3.3748789758557128E+21</c:v>
                </c:pt>
                <c:pt idx="9">
                  <c:v>3.3651272409206243E+21</c:v>
                </c:pt>
                <c:pt idx="10">
                  <c:v>3.3577495969893366E+21</c:v>
                </c:pt>
                <c:pt idx="11">
                  <c:v>3.3520944425774398E+21</c:v>
                </c:pt>
                <c:pt idx="12">
                  <c:v>3.3476936594030555E+21</c:v>
                </c:pt>
                <c:pt idx="13">
                  <c:v>3.3442088666747571E+21</c:v>
                </c:pt>
                <c:pt idx="14">
                  <c:v>3.3413943492777413E+21</c:v>
                </c:pt>
                <c:pt idx="15">
                  <c:v>3.3390710813122919E+21</c:v>
                </c:pt>
                <c:pt idx="16">
                  <c:v>3.3371083028322357E+21</c:v>
                </c:pt>
                <c:pt idx="17">
                  <c:v>3.3354103328148438E+21</c:v>
                </c:pt>
                <c:pt idx="18">
                  <c:v>3.3339070643809037E+21</c:v>
                </c:pt>
                <c:pt idx="19">
                  <c:v>3.3325470782955386E+21</c:v>
                </c:pt>
                <c:pt idx="20">
                  <c:v>3.3312926340586983E+21</c:v>
                </c:pt>
                <c:pt idx="21">
                  <c:v>3.330116016114811E+21</c:v>
                </c:pt>
                <c:pt idx="22">
                  <c:v>3.3289968628424722E+21</c:v>
                </c:pt>
                <c:pt idx="23">
                  <c:v>3.3279202108779277E+21</c:v>
                </c:pt>
                <c:pt idx="24">
                  <c:v>3.3268750615147813E+21</c:v>
                </c:pt>
                <c:pt idx="25">
                  <c:v>3.3258533288986133E+21</c:v>
                </c:pt>
                <c:pt idx="26">
                  <c:v>3.3248490678440957E+21</c:v>
                </c:pt>
                <c:pt idx="27">
                  <c:v>3.3238579066697668E+21</c:v>
                </c:pt>
                <c:pt idx="28">
                  <c:v>3.3228766304729191E+21</c:v>
                </c:pt>
                <c:pt idx="29">
                  <c:v>3.3219028748620907E+21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17504"/>
        <c:axId val="267918080"/>
      </c:scatterChart>
      <c:valAx>
        <c:axId val="267917504"/>
        <c:scaling>
          <c:orientation val="minMax"/>
          <c:max val="30"/>
        </c:scaling>
        <c:delete val="0"/>
        <c:axPos val="b"/>
        <c:numFmt formatCode="#,##0" sourceLinked="0"/>
        <c:majorTickMark val="out"/>
        <c:minorTickMark val="none"/>
        <c:tickLblPos val="nextTo"/>
        <c:crossAx val="267918080"/>
        <c:crosses val="autoZero"/>
        <c:crossBetween val="midCat"/>
      </c:valAx>
      <c:valAx>
        <c:axId val="2679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1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2490290940846"/>
          <c:y val="7.3843024525486745E-2"/>
          <c:w val="0.55175310739787153"/>
          <c:h val="0.85599177103971791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результаты!$AB$10</c:f>
              <c:strCache>
                <c:ptCount val="1"/>
                <c:pt idx="0">
                  <c:v>ST_nb</c:v>
                </c:pt>
              </c:strCache>
            </c:strRef>
          </c:tx>
          <c:invertIfNegative val="0"/>
          <c:val>
            <c:numRef>
              <c:f>результаты!$AG$10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результаты!$AB$11</c:f>
              <c:strCache>
                <c:ptCount val="1"/>
                <c:pt idx="0">
                  <c:v>SD_nb</c:v>
                </c:pt>
              </c:strCache>
            </c:strRef>
          </c:tx>
          <c:invertIfNegative val="0"/>
          <c:val>
            <c:numRef>
              <c:f>результаты!$AG$11</c:f>
              <c:numCache>
                <c:formatCode>0.00</c:formatCode>
                <c:ptCount val="1"/>
                <c:pt idx="0">
                  <c:v>37.5</c:v>
                </c:pt>
              </c:numCache>
            </c:numRef>
          </c:val>
        </c:ser>
        <c:ser>
          <c:idx val="1"/>
          <c:order val="2"/>
          <c:tx>
            <c:strRef>
              <c:f>результаты!$AB$12</c:f>
              <c:strCache>
                <c:ptCount val="1"/>
                <c:pt idx="0">
                  <c:v>ST_pel</c:v>
                </c:pt>
              </c:strCache>
            </c:strRef>
          </c:tx>
          <c:invertIfNegative val="0"/>
          <c:val>
            <c:numRef>
              <c:f>результаты!$AG$12</c:f>
              <c:numCache>
                <c:formatCode>0.00</c:formatCode>
                <c:ptCount val="1"/>
                <c:pt idx="0">
                  <c:v>729.8566143404978</c:v>
                </c:pt>
              </c:numCache>
            </c:numRef>
          </c:val>
        </c:ser>
        <c:ser>
          <c:idx val="2"/>
          <c:order val="3"/>
          <c:tx>
            <c:strRef>
              <c:f>результаты!$AB$13</c:f>
              <c:strCache>
                <c:ptCount val="1"/>
                <c:pt idx="0">
                  <c:v>SD_pel</c:v>
                </c:pt>
              </c:strCache>
            </c:strRef>
          </c:tx>
          <c:invertIfNegative val="0"/>
          <c:val>
            <c:numRef>
              <c:f>результаты!$AG$13</c:f>
              <c:numCache>
                <c:formatCode>0.00</c:formatCode>
                <c:ptCount val="1"/>
                <c:pt idx="0">
                  <c:v>664.13581219734738</c:v>
                </c:pt>
              </c:numCache>
            </c:numRef>
          </c:val>
        </c:ser>
        <c:ser>
          <c:idx val="3"/>
          <c:order val="4"/>
          <c:tx>
            <c:strRef>
              <c:f>результаты!$AB$16</c:f>
              <c:strCache>
                <c:ptCount val="1"/>
                <c:pt idx="0">
                  <c:v>ST_sep</c:v>
                </c:pt>
              </c:strCache>
            </c:strRef>
          </c:tx>
          <c:invertIfNegative val="0"/>
          <c:val>
            <c:numRef>
              <c:f>результаты!$AG$16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ser>
          <c:idx val="4"/>
          <c:order val="5"/>
          <c:tx>
            <c:strRef>
              <c:f>результаты!$AB$17</c:f>
              <c:strCache>
                <c:ptCount val="1"/>
                <c:pt idx="0">
                  <c:v>SD_sep</c:v>
                </c:pt>
              </c:strCache>
            </c:strRef>
          </c:tx>
          <c:invertIfNegative val="0"/>
          <c:val>
            <c:numRef>
              <c:f>результаты!$AG$17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ser>
          <c:idx val="5"/>
          <c:order val="6"/>
          <c:tx>
            <c:v>ST_out</c:v>
          </c:tx>
          <c:invertIfNegative val="0"/>
          <c:val>
            <c:numRef>
              <c:f>результаты!$AG$20</c:f>
              <c:numCache>
                <c:formatCode>0.00</c:formatCode>
                <c:ptCount val="1"/>
                <c:pt idx="0">
                  <c:v>840.30759641203849</c:v>
                </c:pt>
              </c:numCache>
            </c:numRef>
          </c:val>
        </c:ser>
        <c:ser>
          <c:idx val="6"/>
          <c:order val="7"/>
          <c:tx>
            <c:v>SD_out</c:v>
          </c:tx>
          <c:invertIfNegative val="0"/>
          <c:val>
            <c:numRef>
              <c:f>результаты!$AG$21</c:f>
              <c:numCache>
                <c:formatCode>0.00</c:formatCode>
                <c:ptCount val="1"/>
                <c:pt idx="0">
                  <c:v>812.08679426888807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246080"/>
        <c:axId val="278766144"/>
      </c:barChart>
      <c:catAx>
        <c:axId val="26724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78766144"/>
        <c:crosses val="autoZero"/>
        <c:auto val="1"/>
        <c:lblAlgn val="ctr"/>
        <c:lblOffset val="100"/>
        <c:noMultiLvlLbl val="0"/>
      </c:catAx>
      <c:valAx>
        <c:axId val="278766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7246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08965173433685"/>
          <c:y val="6.5753923967901265E-2"/>
          <c:w val="0.24091034826566313"/>
          <c:h val="0.81250458830012218"/>
        </c:manualLayout>
      </c:layout>
      <c:overlay val="0"/>
    </c:legend>
    <c:plotVisOnly val="1"/>
    <c:dispBlanksAs val="gap"/>
    <c:showDLblsOverMax val="0"/>
  </c:chart>
  <c:spPr>
    <a:ln w="28575">
      <a:solidFill>
        <a:srgbClr val="FFC000"/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2490290940846"/>
          <c:y val="7.3843024525486745E-2"/>
          <c:w val="0.53451230906360692"/>
          <c:h val="0.85599177103971791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результаты!$AB$10</c:f>
              <c:strCache>
                <c:ptCount val="1"/>
                <c:pt idx="0">
                  <c:v>ST_nb</c:v>
                </c:pt>
              </c:strCache>
            </c:strRef>
          </c:tx>
          <c:invertIfNegative val="0"/>
          <c:val>
            <c:numRef>
              <c:f>результаты!$AC$10</c:f>
              <c:numCache>
                <c:formatCode>0.00</c:formatCode>
                <c:ptCount val="1"/>
                <c:pt idx="0">
                  <c:v>18.75</c:v>
                </c:pt>
              </c:numCache>
            </c:numRef>
          </c:val>
        </c:ser>
        <c:ser>
          <c:idx val="0"/>
          <c:order val="1"/>
          <c:tx>
            <c:strRef>
              <c:f>результаты!$AB$11</c:f>
              <c:strCache>
                <c:ptCount val="1"/>
                <c:pt idx="0">
                  <c:v>SD_nb</c:v>
                </c:pt>
              </c:strCache>
            </c:strRef>
          </c:tx>
          <c:invertIfNegative val="0"/>
          <c:val>
            <c:numRef>
              <c:f>результаты!$AC$11</c:f>
              <c:numCache>
                <c:formatCode>0.00</c:formatCode>
                <c:ptCount val="1"/>
                <c:pt idx="0">
                  <c:v>18.75</c:v>
                </c:pt>
              </c:numCache>
            </c:numRef>
          </c:val>
        </c:ser>
        <c:ser>
          <c:idx val="1"/>
          <c:order val="2"/>
          <c:tx>
            <c:strRef>
              <c:f>результаты!$AB$12</c:f>
              <c:strCache>
                <c:ptCount val="1"/>
                <c:pt idx="0">
                  <c:v>ST_pel</c:v>
                </c:pt>
              </c:strCache>
            </c:strRef>
          </c:tx>
          <c:invertIfNegative val="0"/>
          <c:val>
            <c:numRef>
              <c:f>результаты!$AC$12</c:f>
              <c:numCache>
                <c:formatCode>0.00</c:formatCode>
                <c:ptCount val="1"/>
                <c:pt idx="0">
                  <c:v>696.9962132689227</c:v>
                </c:pt>
              </c:numCache>
            </c:numRef>
          </c:val>
        </c:ser>
        <c:ser>
          <c:idx val="2"/>
          <c:order val="3"/>
          <c:tx>
            <c:strRef>
              <c:f>результаты!$AB$13</c:f>
              <c:strCache>
                <c:ptCount val="1"/>
                <c:pt idx="0">
                  <c:v>SD_pel</c:v>
                </c:pt>
              </c:strCache>
            </c:strRef>
          </c:tx>
          <c:invertIfNegative val="0"/>
          <c:val>
            <c:numRef>
              <c:f>результаты!$AC$13</c:f>
              <c:numCache>
                <c:formatCode>0.00</c:formatCode>
                <c:ptCount val="1"/>
                <c:pt idx="0">
                  <c:v>696.9962132689227</c:v>
                </c:pt>
              </c:numCache>
            </c:numRef>
          </c:val>
        </c:ser>
        <c:ser>
          <c:idx val="3"/>
          <c:order val="4"/>
          <c:tx>
            <c:strRef>
              <c:f>результаты!$AB$16</c:f>
              <c:strCache>
                <c:ptCount val="1"/>
                <c:pt idx="0">
                  <c:v>ST_sep</c:v>
                </c:pt>
              </c:strCache>
            </c:strRef>
          </c:tx>
          <c:invertIfNegative val="0"/>
          <c:val>
            <c:numRef>
              <c:f>результаты!$AC$16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ser>
          <c:idx val="4"/>
          <c:order val="5"/>
          <c:tx>
            <c:strRef>
              <c:f>результаты!$AB$17</c:f>
              <c:strCache>
                <c:ptCount val="1"/>
                <c:pt idx="0">
                  <c:v>SD_sep</c:v>
                </c:pt>
              </c:strCache>
            </c:strRef>
          </c:tx>
          <c:invertIfNegative val="0"/>
          <c:val>
            <c:numRef>
              <c:f>результаты!$AC$17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ser>
          <c:idx val="5"/>
          <c:order val="6"/>
          <c:tx>
            <c:v>ST_out</c:v>
          </c:tx>
          <c:invertIfNegative val="0"/>
          <c:val>
            <c:numRef>
              <c:f>результаты!$AC$20</c:f>
              <c:numCache>
                <c:formatCode>0.00</c:formatCode>
                <c:ptCount val="1"/>
                <c:pt idx="0">
                  <c:v>826.1971953404634</c:v>
                </c:pt>
              </c:numCache>
            </c:numRef>
          </c:val>
        </c:ser>
        <c:ser>
          <c:idx val="6"/>
          <c:order val="7"/>
          <c:tx>
            <c:v>SD_out</c:v>
          </c:tx>
          <c:invertIfNegative val="0"/>
          <c:val>
            <c:numRef>
              <c:f>результаты!$AC$21</c:f>
              <c:numCache>
                <c:formatCode>0.00</c:formatCode>
                <c:ptCount val="1"/>
                <c:pt idx="0">
                  <c:v>826.1971953404634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244544"/>
        <c:axId val="278768448"/>
      </c:barChart>
      <c:catAx>
        <c:axId val="26724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78768448"/>
        <c:crosses val="autoZero"/>
        <c:auto val="1"/>
        <c:lblAlgn val="ctr"/>
        <c:lblOffset val="100"/>
        <c:noMultiLvlLbl val="0"/>
      </c:catAx>
      <c:valAx>
        <c:axId val="278768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724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11356863567557"/>
          <c:y val="6.5753923967901265E-2"/>
          <c:w val="0.25688643136432437"/>
          <c:h val="0.81250458830012218"/>
        </c:manualLayout>
      </c:layout>
      <c:overlay val="0"/>
    </c:legend>
    <c:plotVisOnly val="1"/>
    <c:dispBlanksAs val="gap"/>
    <c:showDLblsOverMax val="0"/>
  </c:chart>
  <c:spPr>
    <a:ln w="28575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2490290940846"/>
          <c:y val="7.3843024525486745E-2"/>
          <c:w val="0.56895720237229752"/>
          <c:h val="0.85599177103971791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результаты!$AB$10</c:f>
              <c:strCache>
                <c:ptCount val="1"/>
                <c:pt idx="0">
                  <c:v>ST_nb</c:v>
                </c:pt>
              </c:strCache>
            </c:strRef>
          </c:tx>
          <c:invertIfNegative val="0"/>
          <c:val>
            <c:numRef>
              <c:f>результаты!$AE$10</c:f>
              <c:numCache>
                <c:formatCode>0.00</c:formatCode>
                <c:ptCount val="1"/>
                <c:pt idx="0">
                  <c:v>18.75</c:v>
                </c:pt>
              </c:numCache>
            </c:numRef>
          </c:val>
        </c:ser>
        <c:ser>
          <c:idx val="0"/>
          <c:order val="1"/>
          <c:tx>
            <c:strRef>
              <c:f>результаты!$AB$11</c:f>
              <c:strCache>
                <c:ptCount val="1"/>
                <c:pt idx="0">
                  <c:v>SD_nb</c:v>
                </c:pt>
              </c:strCache>
            </c:strRef>
          </c:tx>
          <c:invertIfNegative val="0"/>
          <c:val>
            <c:numRef>
              <c:f>результаты!$AE$11</c:f>
              <c:numCache>
                <c:formatCode>0.00</c:formatCode>
                <c:ptCount val="1"/>
                <c:pt idx="0">
                  <c:v>18.75</c:v>
                </c:pt>
              </c:numCache>
            </c:numRef>
          </c:val>
        </c:ser>
        <c:ser>
          <c:idx val="1"/>
          <c:order val="2"/>
          <c:tx>
            <c:strRef>
              <c:f>результаты!$AB$12</c:f>
              <c:strCache>
                <c:ptCount val="1"/>
                <c:pt idx="0">
                  <c:v>ST_pel</c:v>
                </c:pt>
              </c:strCache>
            </c:strRef>
          </c:tx>
          <c:invertIfNegative val="0"/>
          <c:val>
            <c:numRef>
              <c:f>результаты!$AE$12</c:f>
              <c:numCache>
                <c:formatCode>0.00</c:formatCode>
                <c:ptCount val="1"/>
                <c:pt idx="0">
                  <c:v>696.9962132689227</c:v>
                </c:pt>
              </c:numCache>
            </c:numRef>
          </c:val>
        </c:ser>
        <c:ser>
          <c:idx val="2"/>
          <c:order val="3"/>
          <c:tx>
            <c:strRef>
              <c:f>результаты!$AB$13</c:f>
              <c:strCache>
                <c:ptCount val="1"/>
                <c:pt idx="0">
                  <c:v>SD_pel</c:v>
                </c:pt>
              </c:strCache>
            </c:strRef>
          </c:tx>
          <c:invertIfNegative val="0"/>
          <c:val>
            <c:numRef>
              <c:f>результаты!$AE$13</c:f>
              <c:numCache>
                <c:formatCode>0.00</c:formatCode>
                <c:ptCount val="1"/>
                <c:pt idx="0">
                  <c:v>696.9962132689227</c:v>
                </c:pt>
              </c:numCache>
            </c:numRef>
          </c:val>
        </c:ser>
        <c:ser>
          <c:idx val="3"/>
          <c:order val="4"/>
          <c:tx>
            <c:strRef>
              <c:f>результаты!$AB$16</c:f>
              <c:strCache>
                <c:ptCount val="1"/>
                <c:pt idx="0">
                  <c:v>ST_sep</c:v>
                </c:pt>
              </c:strCache>
            </c:strRef>
          </c:tx>
          <c:invertIfNegative val="0"/>
          <c:val>
            <c:numRef>
              <c:f>результаты!$AE$16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ser>
          <c:idx val="4"/>
          <c:order val="5"/>
          <c:tx>
            <c:strRef>
              <c:f>результаты!$AB$17</c:f>
              <c:strCache>
                <c:ptCount val="1"/>
                <c:pt idx="0">
                  <c:v>SD_sep</c:v>
                </c:pt>
              </c:strCache>
            </c:strRef>
          </c:tx>
          <c:invertIfNegative val="0"/>
          <c:val>
            <c:numRef>
              <c:f>результаты!$AE$17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ser>
          <c:idx val="5"/>
          <c:order val="6"/>
          <c:tx>
            <c:v>ST_out</c:v>
          </c:tx>
          <c:invertIfNegative val="0"/>
          <c:val>
            <c:numRef>
              <c:f>результаты!$AE$20</c:f>
              <c:numCache>
                <c:formatCode>0.00</c:formatCode>
                <c:ptCount val="1"/>
                <c:pt idx="0">
                  <c:v>826.1971953404634</c:v>
                </c:pt>
              </c:numCache>
            </c:numRef>
          </c:val>
        </c:ser>
        <c:ser>
          <c:idx val="6"/>
          <c:order val="7"/>
          <c:tx>
            <c:v>SD_out</c:v>
          </c:tx>
          <c:invertIfNegative val="0"/>
          <c:val>
            <c:numRef>
              <c:f>результаты!$AE$21</c:f>
              <c:numCache>
                <c:formatCode>0.00</c:formatCode>
                <c:ptCount val="1"/>
                <c:pt idx="0">
                  <c:v>826.1971953404634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07232"/>
        <c:axId val="278770752"/>
      </c:barChart>
      <c:catAx>
        <c:axId val="27900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78770752"/>
        <c:crosses val="autoZero"/>
        <c:auto val="1"/>
        <c:lblAlgn val="ctr"/>
        <c:lblOffset val="100"/>
        <c:noMultiLvlLbl val="0"/>
      </c:catAx>
      <c:valAx>
        <c:axId val="27877075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7900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21146122799906"/>
          <c:y val="6.5753923967901265E-2"/>
          <c:w val="0.28678853877200094"/>
          <c:h val="0.81250458830012218"/>
        </c:manualLayout>
      </c:layout>
      <c:overlay val="0"/>
    </c:legend>
    <c:plotVisOnly val="1"/>
    <c:dispBlanksAs val="gap"/>
    <c:showDLblsOverMax val="0"/>
  </c:chart>
  <c:spPr>
    <a:ln w="28575">
      <a:solidFill>
        <a:srgbClr val="00B0F0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2490290940846"/>
          <c:y val="7.3843024525486745E-2"/>
          <c:w val="0.55175310739787153"/>
          <c:h val="0.85599177103971791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результаты!$AB$10</c:f>
              <c:strCache>
                <c:ptCount val="1"/>
                <c:pt idx="0">
                  <c:v>ST_nb</c:v>
                </c:pt>
              </c:strCache>
            </c:strRef>
          </c:tx>
          <c:invertIfNegative val="0"/>
          <c:val>
            <c:numRef>
              <c:f>результаты!$AG$10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результаты!$AB$11</c:f>
              <c:strCache>
                <c:ptCount val="1"/>
                <c:pt idx="0">
                  <c:v>SD_nb</c:v>
                </c:pt>
              </c:strCache>
            </c:strRef>
          </c:tx>
          <c:invertIfNegative val="0"/>
          <c:val>
            <c:numRef>
              <c:f>результаты!$AG$11</c:f>
              <c:numCache>
                <c:formatCode>0.00</c:formatCode>
                <c:ptCount val="1"/>
                <c:pt idx="0">
                  <c:v>37.5</c:v>
                </c:pt>
              </c:numCache>
            </c:numRef>
          </c:val>
        </c:ser>
        <c:ser>
          <c:idx val="1"/>
          <c:order val="2"/>
          <c:tx>
            <c:strRef>
              <c:f>результаты!$AB$12</c:f>
              <c:strCache>
                <c:ptCount val="1"/>
                <c:pt idx="0">
                  <c:v>ST_pel</c:v>
                </c:pt>
              </c:strCache>
            </c:strRef>
          </c:tx>
          <c:invertIfNegative val="0"/>
          <c:val>
            <c:numRef>
              <c:f>результаты!$AG$12</c:f>
              <c:numCache>
                <c:formatCode>0.00</c:formatCode>
                <c:ptCount val="1"/>
                <c:pt idx="0">
                  <c:v>729.8566143404978</c:v>
                </c:pt>
              </c:numCache>
            </c:numRef>
          </c:val>
        </c:ser>
        <c:ser>
          <c:idx val="2"/>
          <c:order val="3"/>
          <c:tx>
            <c:strRef>
              <c:f>результаты!$AB$13</c:f>
              <c:strCache>
                <c:ptCount val="1"/>
                <c:pt idx="0">
                  <c:v>SD_pel</c:v>
                </c:pt>
              </c:strCache>
            </c:strRef>
          </c:tx>
          <c:invertIfNegative val="0"/>
          <c:val>
            <c:numRef>
              <c:f>результаты!$AG$13</c:f>
              <c:numCache>
                <c:formatCode>0.00</c:formatCode>
                <c:ptCount val="1"/>
                <c:pt idx="0">
                  <c:v>664.13581219734738</c:v>
                </c:pt>
              </c:numCache>
            </c:numRef>
          </c:val>
        </c:ser>
        <c:ser>
          <c:idx val="3"/>
          <c:order val="4"/>
          <c:tx>
            <c:strRef>
              <c:f>результаты!$AB$16</c:f>
              <c:strCache>
                <c:ptCount val="1"/>
                <c:pt idx="0">
                  <c:v>ST_sep</c:v>
                </c:pt>
              </c:strCache>
            </c:strRef>
          </c:tx>
          <c:invertIfNegative val="0"/>
          <c:val>
            <c:numRef>
              <c:f>результаты!$AG$16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ser>
          <c:idx val="4"/>
          <c:order val="5"/>
          <c:tx>
            <c:strRef>
              <c:f>результаты!$AB$17</c:f>
              <c:strCache>
                <c:ptCount val="1"/>
                <c:pt idx="0">
                  <c:v>SD_sep</c:v>
                </c:pt>
              </c:strCache>
            </c:strRef>
          </c:tx>
          <c:invertIfNegative val="0"/>
          <c:val>
            <c:numRef>
              <c:f>результаты!$AG$17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08768"/>
        <c:axId val="278773056"/>
      </c:barChart>
      <c:catAx>
        <c:axId val="27900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278773056"/>
        <c:crosses val="autoZero"/>
        <c:auto val="1"/>
        <c:lblAlgn val="ctr"/>
        <c:lblOffset val="100"/>
        <c:noMultiLvlLbl val="0"/>
      </c:catAx>
      <c:valAx>
        <c:axId val="278773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900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08965173433685"/>
          <c:y val="6.5753923967901265E-2"/>
          <c:w val="0.24091034826566313"/>
          <c:h val="0.81250458830012218"/>
        </c:manualLayout>
      </c:layout>
      <c:overlay val="0"/>
    </c:legend>
    <c:plotVisOnly val="1"/>
    <c:dispBlanksAs val="gap"/>
    <c:showDLblsOverMax val="0"/>
  </c:chart>
  <c:spPr>
    <a:ln w="28575">
      <a:solidFill>
        <a:srgbClr val="FFC000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2490290940846"/>
          <c:y val="7.3843024525486745E-2"/>
          <c:w val="0.53451230906360692"/>
          <c:h val="0.85599177103971791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результаты!$AB$10</c:f>
              <c:strCache>
                <c:ptCount val="1"/>
                <c:pt idx="0">
                  <c:v>ST_nb</c:v>
                </c:pt>
              </c:strCache>
            </c:strRef>
          </c:tx>
          <c:invertIfNegative val="0"/>
          <c:val>
            <c:numRef>
              <c:f>результаты!$AC$10</c:f>
              <c:numCache>
                <c:formatCode>0.00</c:formatCode>
                <c:ptCount val="1"/>
                <c:pt idx="0">
                  <c:v>18.75</c:v>
                </c:pt>
              </c:numCache>
            </c:numRef>
          </c:val>
        </c:ser>
        <c:ser>
          <c:idx val="0"/>
          <c:order val="1"/>
          <c:tx>
            <c:strRef>
              <c:f>результаты!$AB$11</c:f>
              <c:strCache>
                <c:ptCount val="1"/>
                <c:pt idx="0">
                  <c:v>SD_nb</c:v>
                </c:pt>
              </c:strCache>
            </c:strRef>
          </c:tx>
          <c:invertIfNegative val="0"/>
          <c:val>
            <c:numRef>
              <c:f>результаты!$AC$11</c:f>
              <c:numCache>
                <c:formatCode>0.00</c:formatCode>
                <c:ptCount val="1"/>
                <c:pt idx="0">
                  <c:v>18.75</c:v>
                </c:pt>
              </c:numCache>
            </c:numRef>
          </c:val>
        </c:ser>
        <c:ser>
          <c:idx val="1"/>
          <c:order val="2"/>
          <c:tx>
            <c:strRef>
              <c:f>результаты!$AB$12</c:f>
              <c:strCache>
                <c:ptCount val="1"/>
                <c:pt idx="0">
                  <c:v>ST_pel</c:v>
                </c:pt>
              </c:strCache>
            </c:strRef>
          </c:tx>
          <c:invertIfNegative val="0"/>
          <c:val>
            <c:numRef>
              <c:f>результаты!$AC$12</c:f>
              <c:numCache>
                <c:formatCode>0.00</c:formatCode>
                <c:ptCount val="1"/>
                <c:pt idx="0">
                  <c:v>696.9962132689227</c:v>
                </c:pt>
              </c:numCache>
            </c:numRef>
          </c:val>
        </c:ser>
        <c:ser>
          <c:idx val="2"/>
          <c:order val="3"/>
          <c:tx>
            <c:strRef>
              <c:f>результаты!$AB$13</c:f>
              <c:strCache>
                <c:ptCount val="1"/>
                <c:pt idx="0">
                  <c:v>SD_pel</c:v>
                </c:pt>
              </c:strCache>
            </c:strRef>
          </c:tx>
          <c:invertIfNegative val="0"/>
          <c:val>
            <c:numRef>
              <c:f>результаты!$AC$13</c:f>
              <c:numCache>
                <c:formatCode>0.00</c:formatCode>
                <c:ptCount val="1"/>
                <c:pt idx="0">
                  <c:v>696.9962132689227</c:v>
                </c:pt>
              </c:numCache>
            </c:numRef>
          </c:val>
        </c:ser>
        <c:ser>
          <c:idx val="3"/>
          <c:order val="4"/>
          <c:tx>
            <c:strRef>
              <c:f>результаты!$AB$16</c:f>
              <c:strCache>
                <c:ptCount val="1"/>
                <c:pt idx="0">
                  <c:v>ST_sep</c:v>
                </c:pt>
              </c:strCache>
            </c:strRef>
          </c:tx>
          <c:invertIfNegative val="0"/>
          <c:val>
            <c:numRef>
              <c:f>результаты!$AC$16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ser>
          <c:idx val="4"/>
          <c:order val="5"/>
          <c:tx>
            <c:strRef>
              <c:f>результаты!$AB$17</c:f>
              <c:strCache>
                <c:ptCount val="1"/>
                <c:pt idx="0">
                  <c:v>SD_sep</c:v>
                </c:pt>
              </c:strCache>
            </c:strRef>
          </c:tx>
          <c:invertIfNegative val="0"/>
          <c:val>
            <c:numRef>
              <c:f>результаты!$AC$17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07744"/>
        <c:axId val="279094976"/>
      </c:barChart>
      <c:catAx>
        <c:axId val="27900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79094976"/>
        <c:crosses val="autoZero"/>
        <c:auto val="1"/>
        <c:lblAlgn val="ctr"/>
        <c:lblOffset val="100"/>
        <c:noMultiLvlLbl val="0"/>
      </c:catAx>
      <c:valAx>
        <c:axId val="279094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9007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11356863567557"/>
          <c:y val="6.5753923967901265E-2"/>
          <c:w val="0.25688643136432437"/>
          <c:h val="0.81250458830012218"/>
        </c:manualLayout>
      </c:layout>
      <c:overlay val="0"/>
    </c:legend>
    <c:plotVisOnly val="1"/>
    <c:dispBlanksAs val="gap"/>
    <c:showDLblsOverMax val="0"/>
  </c:chart>
  <c:spPr>
    <a:ln w="28575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7051618547683"/>
          <c:y val="4.9675703288766762E-2"/>
          <c:w val="0.73801854768153985"/>
          <c:h val="0.8382363613944225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результаты!$AO$139:$AO$147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результаты!$AN$139:$AN$147</c:f>
              <c:numCache>
                <c:formatCode>General</c:formatCode>
                <c:ptCount val="9"/>
                <c:pt idx="0">
                  <c:v>0.35</c:v>
                </c:pt>
                <c:pt idx="1">
                  <c:v>0.68</c:v>
                </c:pt>
                <c:pt idx="2">
                  <c:v>0.97</c:v>
                </c:pt>
                <c:pt idx="3">
                  <c:v>1.21</c:v>
                </c:pt>
                <c:pt idx="4">
                  <c:v>1.34</c:v>
                </c:pt>
                <c:pt idx="5">
                  <c:v>1.45</c:v>
                </c:pt>
                <c:pt idx="6">
                  <c:v>1.47</c:v>
                </c:pt>
                <c:pt idx="7">
                  <c:v>1.43</c:v>
                </c:pt>
                <c:pt idx="8">
                  <c:v>1.2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результаты!$AO$139:$AO$147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результаты!$AM$139:$AM$147</c:f>
              <c:numCache>
                <c:formatCode>0.00</c:formatCode>
                <c:ptCount val="9"/>
                <c:pt idx="0">
                  <c:v>0.52560000000000007</c:v>
                </c:pt>
                <c:pt idx="1">
                  <c:v>0.93440000000000012</c:v>
                </c:pt>
                <c:pt idx="2">
                  <c:v>1.2263999999999999</c:v>
                </c:pt>
                <c:pt idx="3">
                  <c:v>1.4016</c:v>
                </c:pt>
                <c:pt idx="4">
                  <c:v>1.46</c:v>
                </c:pt>
                <c:pt idx="5">
                  <c:v>1.4016</c:v>
                </c:pt>
                <c:pt idx="6">
                  <c:v>1.2264000000000002</c:v>
                </c:pt>
                <c:pt idx="7">
                  <c:v>0.93439999999999979</c:v>
                </c:pt>
                <c:pt idx="8">
                  <c:v>0.52559999999999985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34176"/>
        <c:axId val="216234752"/>
      </c:scatterChart>
      <c:valAx>
        <c:axId val="2162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234752"/>
        <c:crosses val="autoZero"/>
        <c:crossBetween val="midCat"/>
        <c:majorUnit val="0.1"/>
      </c:valAx>
      <c:valAx>
        <c:axId val="2162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2490290940846"/>
          <c:y val="7.3843024525486745E-2"/>
          <c:w val="0.56895720237229752"/>
          <c:h val="0.85599177103971791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результаты!$AB$10</c:f>
              <c:strCache>
                <c:ptCount val="1"/>
                <c:pt idx="0">
                  <c:v>ST_nb</c:v>
                </c:pt>
              </c:strCache>
            </c:strRef>
          </c:tx>
          <c:invertIfNegative val="0"/>
          <c:val>
            <c:numRef>
              <c:f>результаты!$AE$10</c:f>
              <c:numCache>
                <c:formatCode>0.00</c:formatCode>
                <c:ptCount val="1"/>
                <c:pt idx="0">
                  <c:v>18.75</c:v>
                </c:pt>
              </c:numCache>
            </c:numRef>
          </c:val>
        </c:ser>
        <c:ser>
          <c:idx val="0"/>
          <c:order val="1"/>
          <c:tx>
            <c:strRef>
              <c:f>результаты!$AB$11</c:f>
              <c:strCache>
                <c:ptCount val="1"/>
                <c:pt idx="0">
                  <c:v>SD_nb</c:v>
                </c:pt>
              </c:strCache>
            </c:strRef>
          </c:tx>
          <c:invertIfNegative val="0"/>
          <c:val>
            <c:numRef>
              <c:f>результаты!$AE$11</c:f>
              <c:numCache>
                <c:formatCode>0.00</c:formatCode>
                <c:ptCount val="1"/>
                <c:pt idx="0">
                  <c:v>18.75</c:v>
                </c:pt>
              </c:numCache>
            </c:numRef>
          </c:val>
        </c:ser>
        <c:ser>
          <c:idx val="1"/>
          <c:order val="2"/>
          <c:tx>
            <c:strRef>
              <c:f>результаты!$AB$12</c:f>
              <c:strCache>
                <c:ptCount val="1"/>
                <c:pt idx="0">
                  <c:v>ST_pel</c:v>
                </c:pt>
              </c:strCache>
            </c:strRef>
          </c:tx>
          <c:invertIfNegative val="0"/>
          <c:val>
            <c:numRef>
              <c:f>результаты!$AE$12</c:f>
              <c:numCache>
                <c:formatCode>0.00</c:formatCode>
                <c:ptCount val="1"/>
                <c:pt idx="0">
                  <c:v>696.9962132689227</c:v>
                </c:pt>
              </c:numCache>
            </c:numRef>
          </c:val>
        </c:ser>
        <c:ser>
          <c:idx val="2"/>
          <c:order val="3"/>
          <c:tx>
            <c:strRef>
              <c:f>результаты!$AB$13</c:f>
              <c:strCache>
                <c:ptCount val="1"/>
                <c:pt idx="0">
                  <c:v>SD_pel</c:v>
                </c:pt>
              </c:strCache>
            </c:strRef>
          </c:tx>
          <c:invertIfNegative val="0"/>
          <c:val>
            <c:numRef>
              <c:f>результаты!$AE$13</c:f>
              <c:numCache>
                <c:formatCode>0.00</c:formatCode>
                <c:ptCount val="1"/>
                <c:pt idx="0">
                  <c:v>696.9962132689227</c:v>
                </c:pt>
              </c:numCache>
            </c:numRef>
          </c:val>
        </c:ser>
        <c:ser>
          <c:idx val="3"/>
          <c:order val="4"/>
          <c:tx>
            <c:strRef>
              <c:f>результаты!$AB$16</c:f>
              <c:strCache>
                <c:ptCount val="1"/>
                <c:pt idx="0">
                  <c:v>ST_sep</c:v>
                </c:pt>
              </c:strCache>
            </c:strRef>
          </c:tx>
          <c:invertIfNegative val="0"/>
          <c:val>
            <c:numRef>
              <c:f>результаты!$AE$16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ser>
          <c:idx val="4"/>
          <c:order val="5"/>
          <c:tx>
            <c:strRef>
              <c:f>результаты!$AB$17</c:f>
              <c:strCache>
                <c:ptCount val="1"/>
                <c:pt idx="0">
                  <c:v>SD_sep</c:v>
                </c:pt>
              </c:strCache>
            </c:strRef>
          </c:tx>
          <c:invertIfNegative val="0"/>
          <c:val>
            <c:numRef>
              <c:f>результаты!$AE$17</c:f>
              <c:numCache>
                <c:formatCode>0.00</c:formatCode>
                <c:ptCount val="1"/>
                <c:pt idx="0">
                  <c:v>111.62947416967056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09792"/>
        <c:axId val="279097856"/>
      </c:barChart>
      <c:catAx>
        <c:axId val="27900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79097856"/>
        <c:crosses val="autoZero"/>
        <c:auto val="1"/>
        <c:lblAlgn val="ctr"/>
        <c:lblOffset val="100"/>
        <c:noMultiLvlLbl val="0"/>
      </c:catAx>
      <c:valAx>
        <c:axId val="27909785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7900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21146122799906"/>
          <c:y val="6.5753923967901265E-2"/>
          <c:w val="0.28678853877200094"/>
          <c:h val="0.81250458830012218"/>
        </c:manualLayout>
      </c:layout>
      <c:overlay val="0"/>
    </c:legend>
    <c:plotVisOnly val="1"/>
    <c:dispBlanksAs val="gap"/>
    <c:showDLblsOverMax val="0"/>
  </c:chart>
  <c:spPr>
    <a:ln w="28575">
      <a:solidFill>
        <a:srgbClr val="00B0F0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2490290940846"/>
          <c:y val="7.3843024525486745E-2"/>
          <c:w val="0.52360374382146202"/>
          <c:h val="0.85599177103971791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результаты!$AK$11</c:f>
              <c:strCache>
                <c:ptCount val="1"/>
                <c:pt idx="0">
                  <c:v>ST_nb·τnb</c:v>
                </c:pt>
              </c:strCache>
            </c:strRef>
          </c:tx>
          <c:invertIfNegative val="0"/>
          <c:val>
            <c:numRef>
              <c:f>результаты!$AM$10</c:f>
              <c:numCache>
                <c:formatCode>0.00%</c:formatCode>
                <c:ptCount val="1"/>
                <c:pt idx="0">
                  <c:v>3.4911289591323516E-2</c:v>
                </c:pt>
              </c:numCache>
            </c:numRef>
          </c:val>
        </c:ser>
        <c:ser>
          <c:idx val="0"/>
          <c:order val="1"/>
          <c:tx>
            <c:strRef>
              <c:f>результаты!$AK$13</c:f>
              <c:strCache>
                <c:ptCount val="1"/>
                <c:pt idx="0">
                  <c:v>SD_nb·τnb</c:v>
                </c:pt>
              </c:strCache>
            </c:strRef>
          </c:tx>
          <c:invertIfNegative val="0"/>
          <c:val>
            <c:numRef>
              <c:f>результаты!$AM$12</c:f>
              <c:numCache>
                <c:formatCode>0.00%</c:formatCode>
                <c:ptCount val="1"/>
                <c:pt idx="0">
                  <c:v>5.7712017460498727E-2</c:v>
                </c:pt>
              </c:numCache>
            </c:numRef>
          </c:val>
        </c:ser>
        <c:ser>
          <c:idx val="1"/>
          <c:order val="2"/>
          <c:tx>
            <c:strRef>
              <c:f>результаты!$AK$15</c:f>
              <c:strCache>
                <c:ptCount val="1"/>
                <c:pt idx="0">
                  <c:v>ST_pel·τpel</c:v>
                </c:pt>
              </c:strCache>
            </c:strRef>
          </c:tx>
          <c:invertIfNegative val="0"/>
          <c:val>
            <c:numRef>
              <c:f>результаты!$AM$14</c:f>
              <c:numCache>
                <c:formatCode>0.00%</c:formatCode>
                <c:ptCount val="1"/>
                <c:pt idx="0">
                  <c:v>1.3828523946615239</c:v>
                </c:pt>
              </c:numCache>
            </c:numRef>
          </c:val>
        </c:ser>
        <c:ser>
          <c:idx val="2"/>
          <c:order val="3"/>
          <c:tx>
            <c:strRef>
              <c:f>результаты!$AK$17</c:f>
              <c:strCache>
                <c:ptCount val="1"/>
                <c:pt idx="0">
                  <c:v>SD_pel·τpel</c:v>
                </c:pt>
              </c:strCache>
            </c:strRef>
          </c:tx>
          <c:invertIfNegative val="0"/>
          <c:val>
            <c:numRef>
              <c:f>результаты!$AM$16</c:f>
              <c:numCache>
                <c:formatCode>0.00%</c:formatCode>
                <c:ptCount val="1"/>
                <c:pt idx="0">
                  <c:v>2.2859998149662402</c:v>
                </c:pt>
              </c:numCache>
            </c:numRef>
          </c:val>
        </c:ser>
        <c:ser>
          <c:idx val="3"/>
          <c:order val="4"/>
          <c:tx>
            <c:strRef>
              <c:f>результаты!$AK$19</c:f>
              <c:strCache>
                <c:ptCount val="1"/>
                <c:pt idx="0">
                  <c:v>ST_sep·τsep</c:v>
                </c:pt>
              </c:strCache>
            </c:strRef>
          </c:tx>
          <c:invertIfNegative val="0"/>
          <c:val>
            <c:numRef>
              <c:f>результаты!$AM$18</c:f>
              <c:numCache>
                <c:formatCode>0.00%</c:formatCode>
                <c:ptCount val="1"/>
                <c:pt idx="0">
                  <c:v>1.4682194446466224E-2</c:v>
                </c:pt>
              </c:numCache>
            </c:numRef>
          </c:val>
        </c:ser>
        <c:ser>
          <c:idx val="4"/>
          <c:order val="5"/>
          <c:tx>
            <c:strRef>
              <c:f>результаты!$AK$21</c:f>
              <c:strCache>
                <c:ptCount val="1"/>
                <c:pt idx="0">
                  <c:v>SD_sep·τsep</c:v>
                </c:pt>
              </c:strCache>
            </c:strRef>
          </c:tx>
          <c:invertIfNegative val="0"/>
          <c:val>
            <c:numRef>
              <c:f>результаты!$AM$20</c:f>
              <c:numCache>
                <c:formatCode>0.00%</c:formatCode>
                <c:ptCount val="1"/>
                <c:pt idx="0">
                  <c:v>2.4271204878764642E-2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28000"/>
        <c:axId val="279100160"/>
      </c:barChart>
      <c:catAx>
        <c:axId val="27852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79100160"/>
        <c:crosses val="autoZero"/>
        <c:auto val="1"/>
        <c:lblAlgn val="ctr"/>
        <c:lblOffset val="100"/>
        <c:noMultiLvlLbl val="0"/>
      </c:catAx>
      <c:valAx>
        <c:axId val="2791001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78528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11830797067369"/>
          <c:y val="6.5753923967901265E-2"/>
          <c:w val="0.37688169202932631"/>
          <c:h val="0.81250458830012218"/>
        </c:manualLayout>
      </c:layout>
      <c:overlay val="0"/>
    </c:legend>
    <c:plotVisOnly val="1"/>
    <c:dispBlanksAs val="gap"/>
    <c:showDLblsOverMax val="0"/>
  </c:chart>
  <c:spPr>
    <a:ln w="28575">
      <a:solidFill>
        <a:srgbClr val="92D050"/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2490290940846"/>
          <c:y val="7.3843024525486745E-2"/>
          <c:w val="0.52360374382146202"/>
          <c:h val="0.85599177103971791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результаты!$AK$11</c:f>
              <c:strCache>
                <c:ptCount val="1"/>
                <c:pt idx="0">
                  <c:v>ST_nb·τnb</c:v>
                </c:pt>
              </c:strCache>
            </c:strRef>
          </c:tx>
          <c:invertIfNegative val="0"/>
          <c:val>
            <c:numRef>
              <c:f>результаты!$AO$10</c:f>
              <c:numCache>
                <c:formatCode>0.00%</c:formatCode>
                <c:ptCount val="1"/>
                <c:pt idx="0">
                  <c:v>3.4911289591323502E-2</c:v>
                </c:pt>
              </c:numCache>
            </c:numRef>
          </c:val>
        </c:ser>
        <c:ser>
          <c:idx val="0"/>
          <c:order val="1"/>
          <c:tx>
            <c:strRef>
              <c:f>результаты!$AK$13</c:f>
              <c:strCache>
                <c:ptCount val="1"/>
                <c:pt idx="0">
                  <c:v>SD_nb·τnb</c:v>
                </c:pt>
              </c:strCache>
            </c:strRef>
          </c:tx>
          <c:invertIfNegative val="0"/>
          <c:val>
            <c:numRef>
              <c:f>результаты!$AO$12</c:f>
              <c:numCache>
                <c:formatCode>0.00%</c:formatCode>
                <c:ptCount val="1"/>
                <c:pt idx="0">
                  <c:v>5.7712017460498734E-2</c:v>
                </c:pt>
              </c:numCache>
            </c:numRef>
          </c:val>
        </c:ser>
        <c:ser>
          <c:idx val="1"/>
          <c:order val="2"/>
          <c:tx>
            <c:strRef>
              <c:f>результаты!$AK$15</c:f>
              <c:strCache>
                <c:ptCount val="1"/>
                <c:pt idx="0">
                  <c:v>ST_pel·τpel</c:v>
                </c:pt>
              </c:strCache>
            </c:strRef>
          </c:tx>
          <c:invertIfNegative val="0"/>
          <c:val>
            <c:numRef>
              <c:f>результаты!$AO$14</c:f>
              <c:numCache>
                <c:formatCode>0.00%</c:formatCode>
                <c:ptCount val="1"/>
                <c:pt idx="0">
                  <c:v>1.3828523946615239</c:v>
                </c:pt>
              </c:numCache>
            </c:numRef>
          </c:val>
        </c:ser>
        <c:ser>
          <c:idx val="2"/>
          <c:order val="3"/>
          <c:tx>
            <c:strRef>
              <c:f>результаты!$AK$17</c:f>
              <c:strCache>
                <c:ptCount val="1"/>
                <c:pt idx="0">
                  <c:v>SD_pel·τpel</c:v>
                </c:pt>
              </c:strCache>
            </c:strRef>
          </c:tx>
          <c:invertIfNegative val="0"/>
          <c:val>
            <c:numRef>
              <c:f>результаты!$AO$16</c:f>
              <c:numCache>
                <c:formatCode>0.00%</c:formatCode>
                <c:ptCount val="1"/>
                <c:pt idx="0">
                  <c:v>2.2859998149662402</c:v>
                </c:pt>
              </c:numCache>
            </c:numRef>
          </c:val>
        </c:ser>
        <c:ser>
          <c:idx val="3"/>
          <c:order val="4"/>
          <c:tx>
            <c:strRef>
              <c:f>результаты!$AK$19</c:f>
              <c:strCache>
                <c:ptCount val="1"/>
                <c:pt idx="0">
                  <c:v>ST_sep·τsep</c:v>
                </c:pt>
              </c:strCache>
            </c:strRef>
          </c:tx>
          <c:invertIfNegative val="0"/>
          <c:val>
            <c:numRef>
              <c:f>результаты!$AO$18</c:f>
              <c:numCache>
                <c:formatCode>0.00%</c:formatCode>
                <c:ptCount val="1"/>
                <c:pt idx="0">
                  <c:v>1.4682194446466224E-2</c:v>
                </c:pt>
              </c:numCache>
            </c:numRef>
          </c:val>
        </c:ser>
        <c:ser>
          <c:idx val="4"/>
          <c:order val="5"/>
          <c:tx>
            <c:strRef>
              <c:f>результаты!$AK$21</c:f>
              <c:strCache>
                <c:ptCount val="1"/>
                <c:pt idx="0">
                  <c:v>SD_sep·τsep</c:v>
                </c:pt>
              </c:strCache>
            </c:strRef>
          </c:tx>
          <c:invertIfNegative val="0"/>
          <c:val>
            <c:numRef>
              <c:f>результаты!$AO$20</c:f>
              <c:numCache>
                <c:formatCode>0.00%</c:formatCode>
                <c:ptCount val="1"/>
                <c:pt idx="0">
                  <c:v>2.4271204878764642E-2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29024"/>
        <c:axId val="279298624"/>
      </c:barChart>
      <c:catAx>
        <c:axId val="278529024"/>
        <c:scaling>
          <c:orientation val="minMax"/>
        </c:scaling>
        <c:delete val="1"/>
        <c:axPos val="b"/>
        <c:majorTickMark val="out"/>
        <c:minorTickMark val="none"/>
        <c:tickLblPos val="nextTo"/>
        <c:crossAx val="279298624"/>
        <c:crosses val="autoZero"/>
        <c:auto val="1"/>
        <c:lblAlgn val="ctr"/>
        <c:lblOffset val="100"/>
        <c:noMultiLvlLbl val="0"/>
      </c:catAx>
      <c:valAx>
        <c:axId val="2792986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78529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11830797067369"/>
          <c:y val="6.5753923967901265E-2"/>
          <c:w val="0.37688169202932631"/>
          <c:h val="0.81250458830012218"/>
        </c:manualLayout>
      </c:layout>
      <c:overlay val="0"/>
    </c:legend>
    <c:plotVisOnly val="1"/>
    <c:dispBlanksAs val="gap"/>
    <c:showDLblsOverMax val="0"/>
  </c:chart>
  <c:spPr>
    <a:ln w="28575">
      <a:solidFill>
        <a:srgbClr val="00B0F0"/>
      </a:solidFill>
    </a:ln>
  </c:spPr>
  <c:txPr>
    <a:bodyPr/>
    <a:lstStyle/>
    <a:p>
      <a:pPr>
        <a:defRPr>
          <a:ln>
            <a:noFill/>
          </a:ln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2490290940846"/>
          <c:y val="7.3843024525486745E-2"/>
          <c:w val="0.52360374382146202"/>
          <c:h val="0.85599177103971791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результаты!$AK$11</c:f>
              <c:strCache>
                <c:ptCount val="1"/>
                <c:pt idx="0">
                  <c:v>ST_nb·τnb</c:v>
                </c:pt>
              </c:strCache>
            </c:strRef>
          </c:tx>
          <c:invertIfNegative val="0"/>
          <c:val>
            <c:numRef>
              <c:f>результаты!$AQ$10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результаты!$AK$13</c:f>
              <c:strCache>
                <c:ptCount val="1"/>
                <c:pt idx="0">
                  <c:v>SD_nb·τnb</c:v>
                </c:pt>
              </c:strCache>
            </c:strRef>
          </c:tx>
          <c:invertIfNegative val="0"/>
          <c:val>
            <c:numRef>
              <c:f>результаты!$AQ$12</c:f>
              <c:numCache>
                <c:formatCode>0.00%</c:formatCode>
                <c:ptCount val="1"/>
                <c:pt idx="0">
                  <c:v>0.11542403492099747</c:v>
                </c:pt>
              </c:numCache>
            </c:numRef>
          </c:val>
        </c:ser>
        <c:ser>
          <c:idx val="1"/>
          <c:order val="2"/>
          <c:tx>
            <c:strRef>
              <c:f>результаты!$AK$15</c:f>
              <c:strCache>
                <c:ptCount val="1"/>
                <c:pt idx="0">
                  <c:v>ST_pel·τpel</c:v>
                </c:pt>
              </c:strCache>
            </c:strRef>
          </c:tx>
          <c:invertIfNegative val="0"/>
          <c:val>
            <c:numRef>
              <c:f>результаты!$AQ$14</c:f>
              <c:numCache>
                <c:formatCode>0.00%</c:formatCode>
                <c:ptCount val="1"/>
                <c:pt idx="0">
                  <c:v>1.4480479917771043</c:v>
                </c:pt>
              </c:numCache>
            </c:numRef>
          </c:val>
        </c:ser>
        <c:ser>
          <c:idx val="2"/>
          <c:order val="3"/>
          <c:tx>
            <c:strRef>
              <c:f>результаты!$AK$17</c:f>
              <c:strCache>
                <c:ptCount val="1"/>
                <c:pt idx="0">
                  <c:v>SD_pel·τpel</c:v>
                </c:pt>
              </c:strCache>
            </c:strRef>
          </c:tx>
          <c:invertIfNegative val="0"/>
          <c:val>
            <c:numRef>
              <c:f>результаты!$AQ$16</c:f>
              <c:numCache>
                <c:formatCode>0.00%</c:formatCode>
                <c:ptCount val="1"/>
                <c:pt idx="0">
                  <c:v>2.1782246659205531</c:v>
                </c:pt>
              </c:numCache>
            </c:numRef>
          </c:val>
        </c:ser>
        <c:ser>
          <c:idx val="3"/>
          <c:order val="4"/>
          <c:tx>
            <c:strRef>
              <c:f>результаты!$AK$19</c:f>
              <c:strCache>
                <c:ptCount val="1"/>
                <c:pt idx="0">
                  <c:v>ST_sep·τsep</c:v>
                </c:pt>
              </c:strCache>
            </c:strRef>
          </c:tx>
          <c:invertIfNegative val="0"/>
          <c:val>
            <c:numRef>
              <c:f>результаты!$AQ$18</c:f>
              <c:numCache>
                <c:formatCode>0.00%</c:formatCode>
                <c:ptCount val="1"/>
                <c:pt idx="0">
                  <c:v>1.4682194446466222E-2</c:v>
                </c:pt>
              </c:numCache>
            </c:numRef>
          </c:val>
        </c:ser>
        <c:ser>
          <c:idx val="4"/>
          <c:order val="5"/>
          <c:tx>
            <c:strRef>
              <c:f>результаты!$AK$21</c:f>
              <c:strCache>
                <c:ptCount val="1"/>
                <c:pt idx="0">
                  <c:v>SD_sep·τsep</c:v>
                </c:pt>
              </c:strCache>
            </c:strRef>
          </c:tx>
          <c:invertIfNegative val="0"/>
          <c:val>
            <c:numRef>
              <c:f>результаты!$AQ$20</c:f>
              <c:numCache>
                <c:formatCode>0.00%</c:formatCode>
                <c:ptCount val="1"/>
                <c:pt idx="0">
                  <c:v>2.4271204878764642E-2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29536"/>
        <c:axId val="279300928"/>
      </c:barChart>
      <c:catAx>
        <c:axId val="27852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9300928"/>
        <c:crosses val="autoZero"/>
        <c:auto val="1"/>
        <c:lblAlgn val="ctr"/>
        <c:lblOffset val="100"/>
        <c:noMultiLvlLbl val="0"/>
      </c:catAx>
      <c:valAx>
        <c:axId val="2793009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7852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11830797067369"/>
          <c:y val="6.5753923967901265E-2"/>
          <c:w val="0.37688169202932631"/>
          <c:h val="0.81250458830012218"/>
        </c:manualLayout>
      </c:layout>
      <c:overlay val="0"/>
    </c:legend>
    <c:plotVisOnly val="1"/>
    <c:dispBlanksAs val="gap"/>
    <c:showDLblsOverMax val="0"/>
  </c:chart>
  <c:spPr>
    <a:ln w="28575">
      <a:solidFill>
        <a:srgbClr val="FFC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48255114320095E-2"/>
          <c:y val="4.9675703288766762E-2"/>
          <c:w val="0.82230648966713049"/>
          <c:h val="0.8335344994627345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результаты!$AO$139:$AO$147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результаты!$AQ$139:$AQ$147</c:f>
              <c:numCache>
                <c:formatCode>General</c:formatCode>
                <c:ptCount val="9"/>
                <c:pt idx="0">
                  <c:v>2.3199999999999998</c:v>
                </c:pt>
                <c:pt idx="1">
                  <c:v>4.8</c:v>
                </c:pt>
                <c:pt idx="2">
                  <c:v>7.3</c:v>
                </c:pt>
                <c:pt idx="3">
                  <c:v>10</c:v>
                </c:pt>
                <c:pt idx="4">
                  <c:v>12.5</c:v>
                </c:pt>
                <c:pt idx="5">
                  <c:v>16.600000000000001</c:v>
                </c:pt>
                <c:pt idx="6">
                  <c:v>19.2</c:v>
                </c:pt>
                <c:pt idx="7">
                  <c:v>23.5</c:v>
                </c:pt>
                <c:pt idx="8">
                  <c:v>24.49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результаты!$AO$139:$AO$147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результаты!$AP$139:$AP$147</c:f>
              <c:numCache>
                <c:formatCode>General</c:formatCode>
                <c:ptCount val="9"/>
                <c:pt idx="0">
                  <c:v>7.68</c:v>
                </c:pt>
                <c:pt idx="1">
                  <c:v>14.5</c:v>
                </c:pt>
                <c:pt idx="2">
                  <c:v>20.2</c:v>
                </c:pt>
                <c:pt idx="3">
                  <c:v>24</c:v>
                </c:pt>
                <c:pt idx="4">
                  <c:v>25.4</c:v>
                </c:pt>
                <c:pt idx="5">
                  <c:v>24.5</c:v>
                </c:pt>
                <c:pt idx="6">
                  <c:v>22.3</c:v>
                </c:pt>
                <c:pt idx="7">
                  <c:v>16.8</c:v>
                </c:pt>
                <c:pt idx="8">
                  <c:v>9.41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98592"/>
        <c:axId val="216399168"/>
      </c:scatterChart>
      <c:valAx>
        <c:axId val="21639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6399168"/>
        <c:crosses val="autoZero"/>
        <c:crossBetween val="midCat"/>
        <c:majorUnit val="0.1"/>
      </c:valAx>
      <c:valAx>
        <c:axId val="216399168"/>
        <c:scaling>
          <c:orientation val="minMax"/>
          <c:max val="45"/>
        </c:scaling>
        <c:delete val="0"/>
        <c:axPos val="r"/>
        <c:numFmt formatCode="General" sourceLinked="1"/>
        <c:majorTickMark val="out"/>
        <c:minorTickMark val="none"/>
        <c:tickLblPos val="nextTo"/>
        <c:crossAx val="21639859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673835958844508E-2"/>
          <c:y val="5.15658233884628E-2"/>
          <c:w val="0.76299143560231886"/>
          <c:h val="0.83208138653778074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результаты!$AO$143:$AO$145</c:f>
              <c:numCache>
                <c:formatCode>General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numCache>
            </c:numRef>
          </c:xVal>
          <c:yVal>
            <c:numRef>
              <c:f>результаты!$AN$143:$AN$145</c:f>
              <c:numCache>
                <c:formatCode>General</c:formatCode>
                <c:ptCount val="3"/>
                <c:pt idx="0">
                  <c:v>1.34</c:v>
                </c:pt>
                <c:pt idx="1">
                  <c:v>1.45</c:v>
                </c:pt>
                <c:pt idx="2">
                  <c:v>1.47</c:v>
                </c:pt>
              </c:numCache>
            </c:numRef>
          </c:yVal>
          <c:smooth val="0"/>
        </c:ser>
        <c:ser>
          <c:idx val="1"/>
          <c:order val="1"/>
          <c:spPr>
            <a:ln>
              <a:prstDash val="sysDot"/>
            </a:ln>
          </c:spPr>
          <c:marker>
            <c:symbol val="triangle"/>
            <c:size val="7"/>
          </c:marker>
          <c:xVal>
            <c:numRef>
              <c:f>результаты!$AO$143:$AO$145</c:f>
              <c:numCache>
                <c:formatCode>General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</c:numCache>
            </c:numRef>
          </c:xVal>
          <c:yVal>
            <c:numRef>
              <c:f>результаты!$AM$143:$AM$145</c:f>
              <c:numCache>
                <c:formatCode>0.00</c:formatCode>
                <c:ptCount val="3"/>
                <c:pt idx="0">
                  <c:v>1.46</c:v>
                </c:pt>
                <c:pt idx="1">
                  <c:v>1.4016</c:v>
                </c:pt>
                <c:pt idx="2">
                  <c:v>1.2264000000000002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97792"/>
        <c:axId val="234698368"/>
      </c:scatterChart>
      <c:valAx>
        <c:axId val="234697792"/>
        <c:scaling>
          <c:orientation val="minMax"/>
          <c:max val="0.70000000000000062"/>
          <c:min val="0.5"/>
        </c:scaling>
        <c:delete val="1"/>
        <c:axPos val="b"/>
        <c:numFmt formatCode="General" sourceLinked="1"/>
        <c:majorTickMark val="out"/>
        <c:minorTickMark val="none"/>
        <c:tickLblPos val="none"/>
        <c:crossAx val="234698368"/>
        <c:crosses val="autoZero"/>
        <c:crossBetween val="midCat"/>
        <c:majorUnit val="0.1"/>
      </c:valAx>
      <c:valAx>
        <c:axId val="234698368"/>
        <c:scaling>
          <c:orientation val="minMax"/>
          <c:min val="1.2"/>
        </c:scaling>
        <c:delete val="0"/>
        <c:axPos val="r"/>
        <c:numFmt formatCode="General" sourceLinked="1"/>
        <c:majorTickMark val="out"/>
        <c:minorTickMark val="none"/>
        <c:tickLblPos val="nextTo"/>
        <c:crossAx val="23469779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2887675176786"/>
          <c:y val="5.1345674570632438E-2"/>
          <c:w val="0.74855969798583322"/>
          <c:h val="0.83279827772299364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3"/>
              </a:solidFill>
            </a:ln>
          </c:spPr>
          <c:marker>
            <c:symbol val="diamond"/>
            <c:size val="7"/>
            <c:spPr>
              <a:solidFill>
                <a:srgbClr val="92D050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результаты!$AH$155:$AH$157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результаты!$AE$155:$AE$157</c:f>
              <c:numCache>
                <c:formatCode>#,##0</c:formatCode>
                <c:ptCount val="3"/>
                <c:pt idx="0">
                  <c:v>1517</c:v>
                </c:pt>
                <c:pt idx="1">
                  <c:v>1396</c:v>
                </c:pt>
                <c:pt idx="2">
                  <c:v>1268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результаты!$AH$155:$AH$157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результаты!$AF$155:$AF$157</c:f>
              <c:numCache>
                <c:formatCode>#,##0</c:formatCode>
                <c:ptCount val="3"/>
                <c:pt idx="0">
                  <c:v>641</c:v>
                </c:pt>
                <c:pt idx="1">
                  <c:v>635</c:v>
                </c:pt>
                <c:pt idx="2">
                  <c:v>625</c:v>
                </c:pt>
              </c:numCache>
            </c:numRef>
          </c:yVal>
          <c:smooth val="1"/>
        </c:ser>
        <c:ser>
          <c:idx val="3"/>
          <c:order val="2"/>
          <c:xVal>
            <c:numRef>
              <c:f>результаты!$AH$155:$AH$157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результаты!$AI$155:$AI$157</c:f>
              <c:numCache>
                <c:formatCode>#,##0</c:formatCode>
                <c:ptCount val="3"/>
                <c:pt idx="0">
                  <c:v>11</c:v>
                </c:pt>
                <c:pt idx="1">
                  <c:v>335</c:v>
                </c:pt>
                <c:pt idx="2" formatCode="0">
                  <c:v>455</c:v>
                </c:pt>
              </c:numCache>
            </c:numRef>
          </c:yVal>
          <c:smooth val="1"/>
        </c:ser>
        <c:ser>
          <c:idx val="4"/>
          <c:order val="3"/>
          <c:marker>
            <c:symbol val="x"/>
            <c:size val="7"/>
          </c:marker>
          <c:xVal>
            <c:numRef>
              <c:f>результаты!$AH$155:$AH$157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результаты!$AK$155:$AK$157</c:f>
              <c:numCache>
                <c:formatCode>General</c:formatCode>
                <c:ptCount val="3"/>
                <c:pt idx="0">
                  <c:v>499</c:v>
                </c:pt>
                <c:pt idx="1">
                  <c:v>462</c:v>
                </c:pt>
                <c:pt idx="2">
                  <c:v>255</c:v>
                </c:pt>
              </c:numCache>
            </c:numRef>
          </c:yVal>
          <c:smooth val="1"/>
        </c:ser>
        <c:ser>
          <c:idx val="7"/>
          <c:order val="4"/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xVal>
            <c:numRef>
              <c:f>результаты!#REF!</c:f>
            </c:numRef>
          </c:xVal>
          <c:yVal>
            <c:numRef>
              <c:f>результаты!$AG$155:$AG$157</c:f>
              <c:numCache>
                <c:formatCode>General</c:formatCode>
                <c:ptCount val="3"/>
                <c:pt idx="0">
                  <c:v>641</c:v>
                </c:pt>
                <c:pt idx="1">
                  <c:v>636</c:v>
                </c:pt>
                <c:pt idx="2">
                  <c:v>626</c:v>
                </c:pt>
              </c:numCache>
            </c:numRef>
          </c:yVal>
          <c:smooth val="1"/>
        </c:ser>
        <c:ser>
          <c:idx val="2"/>
          <c:order val="5"/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ABAB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результаты!$AH$155:$AH$157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результаты!$AG$155:$AG$157</c:f>
              <c:numCache>
                <c:formatCode>General</c:formatCode>
                <c:ptCount val="3"/>
                <c:pt idx="0">
                  <c:v>641</c:v>
                </c:pt>
                <c:pt idx="1">
                  <c:v>636</c:v>
                </c:pt>
                <c:pt idx="2">
                  <c:v>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00096"/>
        <c:axId val="234979328"/>
      </c:scatterChart>
      <c:valAx>
        <c:axId val="234700096"/>
        <c:scaling>
          <c:orientation val="minMax"/>
          <c:max val="0.70000000000000062"/>
          <c:min val="0.5"/>
        </c:scaling>
        <c:delete val="0"/>
        <c:axPos val="b"/>
        <c:numFmt formatCode="0%" sourceLinked="1"/>
        <c:majorTickMark val="out"/>
        <c:minorTickMark val="none"/>
        <c:tickLblPos val="nextTo"/>
        <c:crossAx val="234979328"/>
        <c:crosses val="autoZero"/>
        <c:crossBetween val="midCat"/>
      </c:valAx>
      <c:valAx>
        <c:axId val="234979328"/>
        <c:scaling>
          <c:orientation val="minMax"/>
          <c:max val="2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470009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результаты!$AH$160:$AH$162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результаты!$AI$160:$AI$162</c:f>
              <c:numCache>
                <c:formatCode>General</c:formatCode>
                <c:ptCount val="3"/>
                <c:pt idx="0">
                  <c:v>28.1</c:v>
                </c:pt>
                <c:pt idx="1">
                  <c:v>28</c:v>
                </c:pt>
                <c:pt idx="2">
                  <c:v>28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результаты!$AH$160:$AH$162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результаты!$AJ$160:$AJ$162</c:f>
              <c:numCache>
                <c:formatCode>General</c:formatCode>
                <c:ptCount val="3"/>
                <c:pt idx="0">
                  <c:v>38.700000000000003</c:v>
                </c:pt>
                <c:pt idx="1">
                  <c:v>36.4</c:v>
                </c:pt>
                <c:pt idx="2">
                  <c:v>35.4</c:v>
                </c:pt>
              </c:numCache>
            </c:numRef>
          </c:yVal>
          <c:smooth val="0"/>
        </c:ser>
        <c:ser>
          <c:idx val="3"/>
          <c:order val="2"/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результаты!$AH$160:$AH$162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результаты!$AK$160:$AK$162</c:f>
              <c:numCache>
                <c:formatCode>General</c:formatCode>
                <c:ptCount val="3"/>
                <c:pt idx="0">
                  <c:v>37.299999999999997</c:v>
                </c:pt>
                <c:pt idx="1">
                  <c:v>37.299999999999997</c:v>
                </c:pt>
                <c:pt idx="2">
                  <c:v>37.200000000000003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81632"/>
        <c:axId val="234982208"/>
      </c:scatterChart>
      <c:valAx>
        <c:axId val="234981632"/>
        <c:scaling>
          <c:orientation val="minMax"/>
          <c:max val="0.70000000000000062"/>
          <c:min val="0.5"/>
        </c:scaling>
        <c:delete val="0"/>
        <c:axPos val="b"/>
        <c:numFmt formatCode="0%" sourceLinked="1"/>
        <c:majorTickMark val="out"/>
        <c:minorTickMark val="none"/>
        <c:tickLblPos val="nextTo"/>
        <c:crossAx val="234982208"/>
        <c:crosses val="autoZero"/>
        <c:crossBetween val="midCat"/>
      </c:valAx>
      <c:valAx>
        <c:axId val="234982208"/>
        <c:scaling>
          <c:orientation val="minMax"/>
          <c:max val="40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результаты!$AH$160:$AH$162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результаты!$AE$160:$AE$162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результаты!$AH$160:$AH$162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результаты!$AF$160:$AF$162</c:f>
              <c:numCache>
                <c:formatCode>General</c:formatCode>
                <c:ptCount val="3"/>
                <c:pt idx="0">
                  <c:v>9.4</c:v>
                </c:pt>
                <c:pt idx="1">
                  <c:v>9</c:v>
                </c:pt>
                <c:pt idx="2">
                  <c:v>8.8000000000000007</c:v>
                </c:pt>
              </c:numCache>
            </c:numRef>
          </c:yVal>
          <c:smooth val="0"/>
        </c:ser>
        <c:ser>
          <c:idx val="3"/>
          <c:order val="2"/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результаты!$AH$160:$AH$162</c:f>
              <c:numCache>
                <c:formatCode>0%</c:formatCode>
                <c:ptCount val="3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</c:numCache>
            </c:numRef>
          </c:xVal>
          <c:yVal>
            <c:numRef>
              <c:f>результаты!$AG$160:$AG$162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9.3000000000000007</c:v>
                </c:pt>
                <c:pt idx="2">
                  <c:v>9.3000000000000007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84512"/>
        <c:axId val="234985088"/>
      </c:scatterChart>
      <c:valAx>
        <c:axId val="234984512"/>
        <c:scaling>
          <c:orientation val="minMax"/>
          <c:max val="0.70000000000000062"/>
          <c:min val="0.5"/>
        </c:scaling>
        <c:delete val="0"/>
        <c:axPos val="b"/>
        <c:numFmt formatCode="0%" sourceLinked="1"/>
        <c:majorTickMark val="out"/>
        <c:minorTickMark val="none"/>
        <c:tickLblPos val="nextTo"/>
        <c:crossAx val="234985088"/>
        <c:crosses val="autoZero"/>
        <c:crossBetween val="midCat"/>
      </c:valAx>
      <c:valAx>
        <c:axId val="234985088"/>
        <c:scaling>
          <c:orientation val="minMax"/>
          <c:max val="10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8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результаты!$AU$144</c:f>
              <c:strCache>
                <c:ptCount val="1"/>
                <c:pt idx="0">
                  <c:v>тритий</c:v>
                </c:pt>
              </c:strCache>
            </c:strRef>
          </c:tx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результаты!$AU$145:$AU$160</c:f>
              <c:numCache>
                <c:formatCode>0.0</c:formatCode>
                <c:ptCount val="16"/>
                <c:pt idx="0">
                  <c:v>268.84774860814974</c:v>
                </c:pt>
                <c:pt idx="1">
                  <c:v>209.58128610814973</c:v>
                </c:pt>
                <c:pt idx="2">
                  <c:v>167.24809860814975</c:v>
                </c:pt>
                <c:pt idx="3">
                  <c:v>135.49820798314974</c:v>
                </c:pt>
                <c:pt idx="4">
                  <c:v>110.80384860814975</c:v>
                </c:pt>
                <c:pt idx="5">
                  <c:v>91.048361108149763</c:v>
                </c:pt>
                <c:pt idx="6">
                  <c:v>74.884780426331574</c:v>
                </c:pt>
                <c:pt idx="7">
                  <c:v>61.415129858149761</c:v>
                </c:pt>
                <c:pt idx="8">
                  <c:v>50.017733223534378</c:v>
                </c:pt>
                <c:pt idx="9">
                  <c:v>40.248536108149771</c:v>
                </c:pt>
                <c:pt idx="10">
                  <c:v>31.781898608149763</c:v>
                </c:pt>
                <c:pt idx="11">
                  <c:v>24.373590795649744</c:v>
                </c:pt>
                <c:pt idx="12">
                  <c:v>17.836848608149754</c:v>
                </c:pt>
                <c:pt idx="13">
                  <c:v>12.026411108149743</c:v>
                </c:pt>
                <c:pt idx="14">
                  <c:v>6.8275986081497608</c:v>
                </c:pt>
                <c:pt idx="15">
                  <c:v>2.1486673581497517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результаты!$AV$144</c:f>
              <c:strCache>
                <c:ptCount val="1"/>
                <c:pt idx="0">
                  <c:v>дейтерий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результаты!$AV$145:$AV$160</c:f>
              <c:numCache>
                <c:formatCode>0.0</c:formatCode>
                <c:ptCount val="16"/>
                <c:pt idx="0">
                  <c:v>268.84774860814974</c:v>
                </c:pt>
                <c:pt idx="1">
                  <c:v>209.58128610814973</c:v>
                </c:pt>
                <c:pt idx="2">
                  <c:v>167.24809860814975</c:v>
                </c:pt>
                <c:pt idx="3">
                  <c:v>135.49820798314974</c:v>
                </c:pt>
                <c:pt idx="4">
                  <c:v>110.80384860814975</c:v>
                </c:pt>
                <c:pt idx="5">
                  <c:v>91.048361108149763</c:v>
                </c:pt>
                <c:pt idx="6">
                  <c:v>74.884780426331574</c:v>
                </c:pt>
                <c:pt idx="7">
                  <c:v>61.415129858149761</c:v>
                </c:pt>
                <c:pt idx="8">
                  <c:v>50.017733223534378</c:v>
                </c:pt>
                <c:pt idx="9">
                  <c:v>40.248536108149771</c:v>
                </c:pt>
                <c:pt idx="10">
                  <c:v>31.781898608149763</c:v>
                </c:pt>
                <c:pt idx="11">
                  <c:v>24.373590795649744</c:v>
                </c:pt>
                <c:pt idx="12">
                  <c:v>17.836848608149754</c:v>
                </c:pt>
                <c:pt idx="13">
                  <c:v>12.026411108149743</c:v>
                </c:pt>
                <c:pt idx="14">
                  <c:v>6.8275986081497608</c:v>
                </c:pt>
                <c:pt idx="15">
                  <c:v>2.1486673581497517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результаты!$BB$113</c:f>
              <c:strCache>
                <c:ptCount val="1"/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результаты!$BC$119:$BC$134</c:f>
              <c:numCache>
                <c:formatCode>0.00</c:formatCode>
                <c:ptCount val="16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результаты!$BI$113</c:f>
              <c:strCache>
                <c:ptCount val="1"/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результаты!$BD$119:$BD$134</c:f>
              <c:numCache>
                <c:formatCode>0.00</c:formatCode>
                <c:ptCount val="16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результаты!$AW$144</c:f>
              <c:strCache>
                <c:ptCount val="1"/>
                <c:pt idx="0">
                  <c:v>тритий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результаты!$AW$145:$AW$160</c:f>
              <c:numCache>
                <c:formatCode>0.0</c:formatCode>
                <c:ptCount val="16"/>
                <c:pt idx="0">
                  <c:v>375.81831089750654</c:v>
                </c:pt>
                <c:pt idx="1">
                  <c:v>292.84526339750659</c:v>
                </c:pt>
                <c:pt idx="2">
                  <c:v>233.57880089750665</c:v>
                </c:pt>
                <c:pt idx="3">
                  <c:v>189.1289540225066</c:v>
                </c:pt>
                <c:pt idx="4">
                  <c:v>154.55685089750662</c:v>
                </c:pt>
                <c:pt idx="5">
                  <c:v>126.89916839750661</c:v>
                </c:pt>
                <c:pt idx="6">
                  <c:v>104.27015544296117</c:v>
                </c:pt>
                <c:pt idx="7">
                  <c:v>85.412644647506653</c:v>
                </c:pt>
                <c:pt idx="8">
                  <c:v>69.456289359045087</c:v>
                </c:pt>
                <c:pt idx="9">
                  <c:v>55.779413397506673</c:v>
                </c:pt>
                <c:pt idx="10">
                  <c:v>43.926120897506649</c:v>
                </c:pt>
                <c:pt idx="11">
                  <c:v>33.554489960006656</c:v>
                </c:pt>
                <c:pt idx="12">
                  <c:v>24.40305089750667</c:v>
                </c:pt>
                <c:pt idx="13">
                  <c:v>16.268438397506657</c:v>
                </c:pt>
                <c:pt idx="14">
                  <c:v>8.9901008975066556</c:v>
                </c:pt>
                <c:pt idx="15">
                  <c:v>2.4395971475066585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результаты!$AX$144</c:f>
              <c:strCache>
                <c:ptCount val="1"/>
                <c:pt idx="0">
                  <c:v>дейтерий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результаты!$AX$145:$AX$160</c:f>
              <c:numCache>
                <c:formatCode>0.0</c:formatCode>
                <c:ptCount val="16"/>
                <c:pt idx="0">
                  <c:v>161.87718631879284</c:v>
                </c:pt>
                <c:pt idx="1">
                  <c:v>126.31730881879285</c:v>
                </c:pt>
                <c:pt idx="2">
                  <c:v>100.91739631879284</c:v>
                </c:pt>
                <c:pt idx="3">
                  <c:v>81.867461943792847</c:v>
                </c:pt>
                <c:pt idx="4">
                  <c:v>67.05084631879285</c:v>
                </c:pt>
                <c:pt idx="5">
                  <c:v>55.197553818792841</c:v>
                </c:pt>
                <c:pt idx="6">
                  <c:v>45.499405409701929</c:v>
                </c:pt>
                <c:pt idx="7">
                  <c:v>37.417615068792848</c:v>
                </c:pt>
                <c:pt idx="8">
                  <c:v>30.579177088023613</c:v>
                </c:pt>
                <c:pt idx="9">
                  <c:v>24.717658818792842</c:v>
                </c:pt>
                <c:pt idx="10">
                  <c:v>19.637676318792842</c:v>
                </c:pt>
                <c:pt idx="11">
                  <c:v>15.192691631292842</c:v>
                </c:pt>
                <c:pt idx="12">
                  <c:v>11.270646318792842</c:v>
                </c:pt>
                <c:pt idx="13">
                  <c:v>7.7843838187928487</c:v>
                </c:pt>
                <c:pt idx="14">
                  <c:v>4.6650963187928465</c:v>
                </c:pt>
                <c:pt idx="15">
                  <c:v>1.8577375687928448</c:v>
                </c:pt>
              </c:numCache>
            </c:numRef>
          </c:yVal>
          <c:smooth val="1"/>
        </c:ser>
        <c:ser>
          <c:idx val="4"/>
          <c:order val="6"/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результаты!$BE$119:$BE$134</c:f>
              <c:numCache>
                <c:formatCode>0.00</c:formatCode>
                <c:ptCount val="16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результаты!$BF$119:$BF$134</c:f>
              <c:numCache>
                <c:formatCode>0.00</c:formatCode>
                <c:ptCount val="16"/>
                <c:pt idx="0">
                  <c:v>26.25</c:v>
                </c:pt>
                <c:pt idx="1">
                  <c:v>26.25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26.25</c:v>
                </c:pt>
                <c:pt idx="6">
                  <c:v>26.25</c:v>
                </c:pt>
                <c:pt idx="7">
                  <c:v>26.25</c:v>
                </c:pt>
                <c:pt idx="8">
                  <c:v>26.25</c:v>
                </c:pt>
                <c:pt idx="9">
                  <c:v>26.25</c:v>
                </c:pt>
                <c:pt idx="10">
                  <c:v>26.25</c:v>
                </c:pt>
                <c:pt idx="11">
                  <c:v>26.25</c:v>
                </c:pt>
                <c:pt idx="12">
                  <c:v>26.25</c:v>
                </c:pt>
                <c:pt idx="13">
                  <c:v>26.25</c:v>
                </c:pt>
                <c:pt idx="14">
                  <c:v>26.25</c:v>
                </c:pt>
                <c:pt idx="15">
                  <c:v>26.25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результаты!$BG$145:$BG$159</c:f>
              <c:numCache>
                <c:formatCode>0.00</c:formatCode>
                <c:ptCount val="1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</c:numCache>
            </c:numRef>
          </c:xVal>
          <c:yVal>
            <c:numRef>
              <c:f>результаты!$AY$145:$AY$160</c:f>
              <c:numCache>
                <c:formatCode>0.0</c:formatCode>
                <c:ptCount val="16"/>
                <c:pt idx="0">
                  <c:v>421.97397360814972</c:v>
                </c:pt>
                <c:pt idx="1">
                  <c:v>337.18647360814975</c:v>
                </c:pt>
                <c:pt idx="2">
                  <c:v>276.62397360814975</c:v>
                </c:pt>
                <c:pt idx="3">
                  <c:v>231.20209860814967</c:v>
                </c:pt>
                <c:pt idx="4">
                  <c:v>195.87397360814973</c:v>
                </c:pt>
                <c:pt idx="5">
                  <c:v>167.61147360814971</c:v>
                </c:pt>
                <c:pt idx="6">
                  <c:v>144.4876099717861</c:v>
                </c:pt>
                <c:pt idx="7">
                  <c:v>125.21772360814975</c:v>
                </c:pt>
                <c:pt idx="8">
                  <c:v>108.91243514661129</c:v>
                </c:pt>
                <c:pt idx="9">
                  <c:v>94.936473608149768</c:v>
                </c:pt>
                <c:pt idx="10">
                  <c:v>82.823973608149743</c:v>
                </c:pt>
                <c:pt idx="11">
                  <c:v>72.22553610814974</c:v>
                </c:pt>
                <c:pt idx="12">
                  <c:v>62.873973608149761</c:v>
                </c:pt>
                <c:pt idx="13">
                  <c:v>54.561473608149761</c:v>
                </c:pt>
                <c:pt idx="14">
                  <c:v>47.123973608149775</c:v>
                </c:pt>
                <c:pt idx="15">
                  <c:v>40.43022360814976</c:v>
                </c:pt>
              </c:numCache>
            </c:numRef>
          </c:yVal>
          <c:smooth val="1"/>
        </c:ser>
        <c:ser>
          <c:idx val="9"/>
          <c:order val="9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результаты!$AZ$145:$AZ$160</c:f>
              <c:numCache>
                <c:formatCode>0.0</c:formatCode>
                <c:ptCount val="16"/>
                <c:pt idx="0">
                  <c:v>421.97397360814972</c:v>
                </c:pt>
                <c:pt idx="1">
                  <c:v>337.18647360814975</c:v>
                </c:pt>
                <c:pt idx="2">
                  <c:v>276.62397360814975</c:v>
                </c:pt>
                <c:pt idx="3">
                  <c:v>231.20209860814967</c:v>
                </c:pt>
                <c:pt idx="4">
                  <c:v>195.87397360814973</c:v>
                </c:pt>
                <c:pt idx="5">
                  <c:v>167.61147360814971</c:v>
                </c:pt>
                <c:pt idx="6">
                  <c:v>144.4876099717861</c:v>
                </c:pt>
                <c:pt idx="7">
                  <c:v>125.21772360814975</c:v>
                </c:pt>
                <c:pt idx="8">
                  <c:v>108.91243514661129</c:v>
                </c:pt>
                <c:pt idx="9">
                  <c:v>94.936473608149768</c:v>
                </c:pt>
                <c:pt idx="10">
                  <c:v>82.823973608149743</c:v>
                </c:pt>
                <c:pt idx="11">
                  <c:v>72.22553610814974</c:v>
                </c:pt>
                <c:pt idx="12">
                  <c:v>62.873973608149761</c:v>
                </c:pt>
                <c:pt idx="13">
                  <c:v>54.561473608149761</c:v>
                </c:pt>
                <c:pt idx="14">
                  <c:v>47.123973608149775</c:v>
                </c:pt>
                <c:pt idx="15">
                  <c:v>40.43022360814976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результаты!$BG$145:$BG$149</c:f>
              <c:numCache>
                <c:formatCode>0.00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результаты!$BC$145:$BC$149</c:f>
              <c:numCache>
                <c:formatCode>0.0</c:formatCode>
                <c:ptCount val="5"/>
                <c:pt idx="0">
                  <c:v>65.866473608149775</c:v>
                </c:pt>
                <c:pt idx="1">
                  <c:v>40.430223608149781</c:v>
                </c:pt>
                <c:pt idx="2">
                  <c:v>22.261473608149775</c:v>
                </c:pt>
                <c:pt idx="3">
                  <c:v>8.6349111081497529</c:v>
                </c:pt>
                <c:pt idx="4">
                  <c:v>-1.9635263918502446</c:v>
                </c:pt>
              </c:numCache>
            </c:numRef>
          </c:yVal>
          <c:smooth val="1"/>
        </c:ser>
        <c:ser>
          <c:idx val="11"/>
          <c:order val="11"/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результаты!$BG$145:$BG$149</c:f>
              <c:numCache>
                <c:formatCode>0.00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результаты!$BD$145:$BD$149</c:f>
              <c:numCache>
                <c:formatCode>0.0</c:formatCode>
                <c:ptCount val="5"/>
                <c:pt idx="0">
                  <c:v>65.866473608149775</c:v>
                </c:pt>
                <c:pt idx="1">
                  <c:v>40.430223608149781</c:v>
                </c:pt>
                <c:pt idx="2">
                  <c:v>22.261473608149775</c:v>
                </c:pt>
                <c:pt idx="3">
                  <c:v>8.6349111081497529</c:v>
                </c:pt>
                <c:pt idx="4">
                  <c:v>-1.9635263918502446</c:v>
                </c:pt>
              </c:numCache>
            </c:numRef>
          </c:yVal>
          <c:smooth val="1"/>
        </c:ser>
        <c:ser>
          <c:idx val="12"/>
          <c:order val="12"/>
          <c:spPr>
            <a:ln>
              <a:solidFill>
                <a:srgbClr val="FF00FF"/>
              </a:solidFill>
              <a:prstDash val="dash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результаты!$BA$145:$BA$160</c:f>
              <c:numCache>
                <c:formatCode>0.0</c:formatCode>
                <c:ptCount val="16"/>
                <c:pt idx="0">
                  <c:v>590.19502589750653</c:v>
                </c:pt>
                <c:pt idx="1">
                  <c:v>471.49252589750654</c:v>
                </c:pt>
                <c:pt idx="2">
                  <c:v>386.70502589750657</c:v>
                </c:pt>
                <c:pt idx="3">
                  <c:v>323.11440089750658</c:v>
                </c:pt>
                <c:pt idx="4">
                  <c:v>273.65502589750668</c:v>
                </c:pt>
                <c:pt idx="5">
                  <c:v>234.08752589750662</c:v>
                </c:pt>
                <c:pt idx="6">
                  <c:v>201.7141168065975</c:v>
                </c:pt>
                <c:pt idx="7">
                  <c:v>174.73627589750663</c:v>
                </c:pt>
                <c:pt idx="8">
                  <c:v>151.9088720513528</c:v>
                </c:pt>
                <c:pt idx="9">
                  <c:v>132.34252589750662</c:v>
                </c:pt>
                <c:pt idx="10">
                  <c:v>115.38502589750662</c:v>
                </c:pt>
                <c:pt idx="11">
                  <c:v>100.54721339750665</c:v>
                </c:pt>
                <c:pt idx="12">
                  <c:v>87.455025897506658</c:v>
                </c:pt>
                <c:pt idx="13">
                  <c:v>75.81752589750667</c:v>
                </c:pt>
                <c:pt idx="14">
                  <c:v>65.405025897506675</c:v>
                </c:pt>
                <c:pt idx="15">
                  <c:v>56.033775897506665</c:v>
                </c:pt>
              </c:numCache>
            </c:numRef>
          </c:yVal>
          <c:smooth val="1"/>
        </c:ser>
        <c:ser>
          <c:idx val="13"/>
          <c:order val="13"/>
          <c:spPr>
            <a:ln>
              <a:solidFill>
                <a:srgbClr val="00B0F0"/>
              </a:solidFill>
              <a:prstDash val="lgDash"/>
            </a:ln>
          </c:spPr>
          <c:marker>
            <c:symbol val="none"/>
          </c:marker>
          <c:xVal>
            <c:numRef>
              <c:f>результаты!$BG$145:$BG$160</c:f>
              <c:numCache>
                <c:formatCode>0.00</c:formatCode>
                <c:ptCount val="1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</c:numCache>
            </c:numRef>
          </c:xVal>
          <c:yVal>
            <c:numRef>
              <c:f>результаты!$BB$145:$BB$160</c:f>
              <c:numCache>
                <c:formatCode>0.0</c:formatCode>
                <c:ptCount val="16"/>
                <c:pt idx="0">
                  <c:v>253.75292131879283</c:v>
                </c:pt>
                <c:pt idx="1">
                  <c:v>202.88042131879283</c:v>
                </c:pt>
                <c:pt idx="2">
                  <c:v>166.54292131879285</c:v>
                </c:pt>
                <c:pt idx="3">
                  <c:v>139.28979631879284</c:v>
                </c:pt>
                <c:pt idx="4">
                  <c:v>118.09292131879283</c:v>
                </c:pt>
                <c:pt idx="5">
                  <c:v>101.13542131879285</c:v>
                </c:pt>
                <c:pt idx="6">
                  <c:v>87.261103136974654</c:v>
                </c:pt>
                <c:pt idx="7">
                  <c:v>75.69917131879285</c:v>
                </c:pt>
                <c:pt idx="8">
                  <c:v>65.915998241869758</c:v>
                </c:pt>
                <c:pt idx="9">
                  <c:v>57.530421318792847</c:v>
                </c:pt>
                <c:pt idx="10">
                  <c:v>50.262921318792841</c:v>
                </c:pt>
                <c:pt idx="11">
                  <c:v>43.903858818792834</c:v>
                </c:pt>
                <c:pt idx="12">
                  <c:v>38.292921318792843</c:v>
                </c:pt>
                <c:pt idx="13">
                  <c:v>33.305421318792838</c:v>
                </c:pt>
                <c:pt idx="14">
                  <c:v>28.842921318792843</c:v>
                </c:pt>
                <c:pt idx="15">
                  <c:v>24.826671318792844</c:v>
                </c:pt>
              </c:numCache>
            </c:numRef>
          </c:yVal>
          <c:smooth val="1"/>
        </c:ser>
        <c:ser>
          <c:idx val="14"/>
          <c:order val="14"/>
          <c:spPr>
            <a:ln>
              <a:solidFill>
                <a:srgbClr val="FF00FF"/>
              </a:solidFill>
              <a:prstDash val="sysDash"/>
            </a:ln>
          </c:spPr>
          <c:marker>
            <c:symbol val="none"/>
          </c:marker>
          <c:xVal>
            <c:numRef>
              <c:f>результаты!$BG$145:$BG$149</c:f>
              <c:numCache>
                <c:formatCode>0.00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результаты!$BE$145:$BE$149</c:f>
              <c:numCache>
                <c:formatCode>0.0</c:formatCode>
                <c:ptCount val="5"/>
                <c:pt idx="0">
                  <c:v>91.644525897506668</c:v>
                </c:pt>
                <c:pt idx="1">
                  <c:v>56.033775897506693</c:v>
                </c:pt>
                <c:pt idx="2">
                  <c:v>30.597525897506692</c:v>
                </c:pt>
                <c:pt idx="3">
                  <c:v>11.520338397506674</c:v>
                </c:pt>
                <c:pt idx="4">
                  <c:v>-3.3174741024933412</c:v>
                </c:pt>
              </c:numCache>
            </c:numRef>
          </c:yVal>
          <c:smooth val="1"/>
        </c:ser>
        <c:ser>
          <c:idx val="15"/>
          <c:order val="15"/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результаты!$BG$145:$BG$149</c:f>
              <c:numCache>
                <c:formatCode>0.00</c:formatCode>
                <c:ptCount val="5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</c:numCache>
            </c:numRef>
          </c:xVal>
          <c:yVal>
            <c:numRef>
              <c:f>результаты!$BF$145:$BF$149</c:f>
              <c:numCache>
                <c:formatCode>0.0</c:formatCode>
                <c:ptCount val="5"/>
                <c:pt idx="0">
                  <c:v>40.088421318792861</c:v>
                </c:pt>
                <c:pt idx="1">
                  <c:v>24.826671318792858</c:v>
                </c:pt>
                <c:pt idx="2">
                  <c:v>13.925421318792866</c:v>
                </c:pt>
                <c:pt idx="3">
                  <c:v>5.7494838187928519</c:v>
                </c:pt>
                <c:pt idx="4">
                  <c:v>-0.60957868120714775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90336"/>
        <c:axId val="235790912"/>
      </c:scatterChart>
      <c:valAx>
        <c:axId val="235790336"/>
        <c:scaling>
          <c:orientation val="minMax"/>
          <c:max val="4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235790912"/>
        <c:crosses val="autoZero"/>
        <c:crossBetween val="midCat"/>
      </c:valAx>
      <c:valAx>
        <c:axId val="235790912"/>
        <c:scaling>
          <c:orientation val="minMax"/>
          <c:max val="45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579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результаты!$AT$116</c:f>
              <c:strCache>
                <c:ptCount val="1"/>
                <c:pt idx="0">
                  <c:v>1,5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результаты!$AV$116:$AV$122</c:f>
              <c:numCache>
                <c:formatCode>0.0</c:formatCode>
                <c:ptCount val="7"/>
                <c:pt idx="0">
                  <c:v>320.22897360814977</c:v>
                </c:pt>
                <c:pt idx="1">
                  <c:v>252.3989736081497</c:v>
                </c:pt>
                <c:pt idx="2">
                  <c:v>184.56897360814975</c:v>
                </c:pt>
                <c:pt idx="3">
                  <c:v>116.73897360814978</c:v>
                </c:pt>
                <c:pt idx="4">
                  <c:v>48.908973608149765</c:v>
                </c:pt>
                <c:pt idx="5">
                  <c:v>-18.921026391850248</c:v>
                </c:pt>
                <c:pt idx="6">
                  <c:v>-52.836026391850247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результаты!$AT$124</c:f>
              <c:strCache>
                <c:ptCount val="1"/>
                <c:pt idx="0">
                  <c:v>2,35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результаты!$AV$124:$AV$130</c:f>
              <c:numCache>
                <c:formatCode>0.0</c:formatCode>
                <c:ptCount val="7"/>
                <c:pt idx="0">
                  <c:v>173.13403107941411</c:v>
                </c:pt>
                <c:pt idx="1">
                  <c:v>129.81985483420337</c:v>
                </c:pt>
                <c:pt idx="2">
                  <c:v>86.50567858899268</c:v>
                </c:pt>
                <c:pt idx="3">
                  <c:v>43.191502343781956</c:v>
                </c:pt>
                <c:pt idx="4">
                  <c:v>-0.12267390142878842</c:v>
                </c:pt>
                <c:pt idx="5">
                  <c:v>-43.436850146639522</c:v>
                </c:pt>
                <c:pt idx="6">
                  <c:v>-65.093938269244887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результаты!$BB$113</c:f>
              <c:strCache>
                <c:ptCount val="1"/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результаты!$AZ$124:$AZ$130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результаты!$BC$119:$BC$134</c:f>
              <c:numCache>
                <c:formatCode>0.00</c:formatCode>
                <c:ptCount val="16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результаты!$BI$113</c:f>
              <c:strCache>
                <c:ptCount val="1"/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результаты!$AZ$124:$AZ$130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результаты!$BD$119:$BD$134</c:f>
              <c:numCache>
                <c:formatCode>0.00</c:formatCode>
                <c:ptCount val="16"/>
                <c:pt idx="0">
                  <c:v>37.5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37.5</c:v>
                </c:pt>
                <c:pt idx="5">
                  <c:v>37.5</c:v>
                </c:pt>
                <c:pt idx="6">
                  <c:v>37.5</c:v>
                </c:pt>
                <c:pt idx="7">
                  <c:v>37.5</c:v>
                </c:pt>
                <c:pt idx="8">
                  <c:v>37.5</c:v>
                </c:pt>
                <c:pt idx="9">
                  <c:v>37.5</c:v>
                </c:pt>
                <c:pt idx="10">
                  <c:v>37.5</c:v>
                </c:pt>
                <c:pt idx="11">
                  <c:v>37.5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результаты!$AT$132</c:f>
              <c:strCache>
                <c:ptCount val="1"/>
                <c:pt idx="0">
                  <c:v>3,2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результаты!$AV$132:$AV$138</c:f>
              <c:numCache>
                <c:formatCode>0.0</c:formatCode>
                <c:ptCount val="7"/>
                <c:pt idx="0">
                  <c:v>104.02084860814976</c:v>
                </c:pt>
                <c:pt idx="1">
                  <c:v>72.22553610814974</c:v>
                </c:pt>
                <c:pt idx="2">
                  <c:v>40.43022360814976</c:v>
                </c:pt>
                <c:pt idx="3">
                  <c:v>8.6349111081497529</c:v>
                </c:pt>
                <c:pt idx="4">
                  <c:v>-23.16040139185025</c:v>
                </c:pt>
                <c:pt idx="5">
                  <c:v>-54.955713891850252</c:v>
                </c:pt>
                <c:pt idx="6">
                  <c:v>-70.853370141850249</c:v>
                </c:pt>
              </c:numCache>
            </c:numRef>
          </c:yVal>
          <c:smooth val="1"/>
        </c:ser>
        <c:ser>
          <c:idx val="3"/>
          <c:order val="5"/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результаты!$AX$116:$AX$122</c:f>
              <c:numCache>
                <c:formatCode>0.0</c:formatCode>
                <c:ptCount val="7"/>
                <c:pt idx="0">
                  <c:v>447.75202589750666</c:v>
                </c:pt>
                <c:pt idx="1">
                  <c:v>352.79002589750655</c:v>
                </c:pt>
                <c:pt idx="2">
                  <c:v>257.82802589750668</c:v>
                </c:pt>
                <c:pt idx="3">
                  <c:v>162.86602589750666</c:v>
                </c:pt>
                <c:pt idx="4">
                  <c:v>67.904025897506671</c:v>
                </c:pt>
                <c:pt idx="5">
                  <c:v>-27.05797410249334</c:v>
                </c:pt>
                <c:pt idx="6">
                  <c:v>-74.538974102493327</c:v>
                </c:pt>
              </c:numCache>
            </c:numRef>
          </c:yVal>
          <c:smooth val="1"/>
        </c:ser>
        <c:ser>
          <c:idx val="4"/>
          <c:order val="6"/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результаты!$AY$116:$AY$122</c:f>
              <c:numCache>
                <c:formatCode>0.0</c:formatCode>
                <c:ptCount val="7"/>
                <c:pt idx="0">
                  <c:v>192.70592131879286</c:v>
                </c:pt>
                <c:pt idx="1">
                  <c:v>152.00792131879285</c:v>
                </c:pt>
                <c:pt idx="2">
                  <c:v>111.30992131879289</c:v>
                </c:pt>
                <c:pt idx="3">
                  <c:v>70.611921318792866</c:v>
                </c:pt>
                <c:pt idx="4">
                  <c:v>29.913921318792863</c:v>
                </c:pt>
                <c:pt idx="5">
                  <c:v>-10.784078681207145</c:v>
                </c:pt>
                <c:pt idx="6">
                  <c:v>-31.133078681207145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результаты!$AX$124:$AX$130</c:f>
              <c:numCache>
                <c:formatCode>0.0</c:formatCode>
                <c:ptCount val="7"/>
                <c:pt idx="0">
                  <c:v>241.81910635727667</c:v>
                </c:pt>
                <c:pt idx="1">
                  <c:v>181.17925961398169</c:v>
                </c:pt>
                <c:pt idx="2">
                  <c:v>120.5394128706867</c:v>
                </c:pt>
                <c:pt idx="3">
                  <c:v>59.899566127391701</c:v>
                </c:pt>
                <c:pt idx="4">
                  <c:v>-0.74028061590329752</c:v>
                </c:pt>
                <c:pt idx="5">
                  <c:v>-61.380127359198326</c:v>
                </c:pt>
                <c:pt idx="6">
                  <c:v>-91.700050730845831</c:v>
                </c:pt>
              </c:numCache>
            </c:numRef>
          </c:yVal>
          <c:smooth val="1"/>
        </c:ser>
        <c:ser>
          <c:idx val="8"/>
          <c:order val="8"/>
          <c:spPr>
            <a:ln>
              <a:solidFill>
                <a:srgbClr val="599EA7"/>
              </a:solidFill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результаты!$AY$124:$AY$130</c:f>
              <c:numCache>
                <c:formatCode>0.0</c:formatCode>
                <c:ptCount val="7"/>
                <c:pt idx="0">
                  <c:v>104.44895580155148</c:v>
                </c:pt>
                <c:pt idx="1">
                  <c:v>78.460450054425024</c:v>
                </c:pt>
                <c:pt idx="2">
                  <c:v>52.471944307298592</c:v>
                </c:pt>
                <c:pt idx="3">
                  <c:v>26.483438560172161</c:v>
                </c:pt>
                <c:pt idx="4">
                  <c:v>0.49493281304572068</c:v>
                </c:pt>
                <c:pt idx="5">
                  <c:v>-25.493572934080714</c:v>
                </c:pt>
                <c:pt idx="6">
                  <c:v>-38.487825807643929</c:v>
                </c:pt>
              </c:numCache>
            </c:numRef>
          </c:yVal>
          <c:smooth val="1"/>
        </c:ser>
        <c:ser>
          <c:idx val="9"/>
          <c:order val="9"/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результаты!$AX$132:$AX$138</c:f>
              <c:numCache>
                <c:formatCode>0.0</c:formatCode>
                <c:ptCount val="7"/>
                <c:pt idx="0">
                  <c:v>145.06065089750663</c:v>
                </c:pt>
                <c:pt idx="1">
                  <c:v>100.54721339750665</c:v>
                </c:pt>
                <c:pt idx="2">
                  <c:v>56.033775897506665</c:v>
                </c:pt>
                <c:pt idx="3">
                  <c:v>11.520338397506674</c:v>
                </c:pt>
                <c:pt idx="4">
                  <c:v>-32.993099102493346</c:v>
                </c:pt>
                <c:pt idx="5">
                  <c:v>-77.506536602493341</c:v>
                </c:pt>
                <c:pt idx="6">
                  <c:v>-99.763255352493346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результаты!$AZ$116:$AZ$122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результаты!$AY$132:$AY$138</c:f>
              <c:numCache>
                <c:formatCode>0.0</c:formatCode>
                <c:ptCount val="7"/>
                <c:pt idx="0">
                  <c:v>62.981046318792863</c:v>
                </c:pt>
                <c:pt idx="1">
                  <c:v>43.903858818792834</c:v>
                </c:pt>
                <c:pt idx="2">
                  <c:v>24.826671318792858</c:v>
                </c:pt>
                <c:pt idx="3">
                  <c:v>5.7494838187928519</c:v>
                </c:pt>
                <c:pt idx="4">
                  <c:v>-13.327703681207147</c:v>
                </c:pt>
                <c:pt idx="5">
                  <c:v>-32.404891181207148</c:v>
                </c:pt>
                <c:pt idx="6">
                  <c:v>-41.943484931207145</c:v>
                </c:pt>
              </c:numCache>
            </c:numRef>
          </c:yVal>
          <c:smooth val="1"/>
        </c:ser>
        <c:ser>
          <c:idx val="11"/>
          <c:order val="11"/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результаты!$AZ$124:$AZ$130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spPr>
            <a:ln>
              <a:prstDash val="sysDot"/>
            </a:ln>
          </c:spPr>
          <c:marker>
            <c:symbol val="none"/>
          </c:marker>
          <c:xVal>
            <c:numRef>
              <c:f>результаты!$AZ$124:$AZ$130</c:f>
              <c:numCache>
                <c:formatCode>0.0E+00</c:formatCode>
                <c:ptCount val="7"/>
                <c:pt idx="0">
                  <c:v>1.2E+20</c:v>
                </c:pt>
                <c:pt idx="1">
                  <c:v>1E+20</c:v>
                </c:pt>
                <c:pt idx="2">
                  <c:v>8E+19</c:v>
                </c:pt>
                <c:pt idx="3">
                  <c:v>6E+19</c:v>
                </c:pt>
                <c:pt idx="4">
                  <c:v>4E+19</c:v>
                </c:pt>
                <c:pt idx="5">
                  <c:v>2E+19</c:v>
                </c:pt>
                <c:pt idx="6">
                  <c:v>1E+19</c:v>
                </c:pt>
              </c:numCache>
            </c:numRef>
          </c:xVal>
          <c:yVal>
            <c:numRef>
              <c:f>результаты!#REF!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94368"/>
        <c:axId val="235794944"/>
      </c:scatterChart>
      <c:valAx>
        <c:axId val="235794368"/>
        <c:scaling>
          <c:orientation val="minMax"/>
          <c:max val="1.2E+20"/>
          <c:min val="1E+19"/>
        </c:scaling>
        <c:delete val="0"/>
        <c:axPos val="b"/>
        <c:numFmt formatCode="0.0E+00" sourceLinked="1"/>
        <c:majorTickMark val="out"/>
        <c:minorTickMark val="none"/>
        <c:tickLblPos val="low"/>
        <c:crossAx val="235794944"/>
        <c:crossesAt val="-100"/>
        <c:crossBetween val="midCat"/>
        <c:majorUnit val="2E+19"/>
      </c:valAx>
      <c:valAx>
        <c:axId val="235794944"/>
        <c:scaling>
          <c:orientation val="minMax"/>
          <c:max val="450"/>
          <c:min val="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579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5.xml"/><Relationship Id="rId26" Type="http://schemas.openxmlformats.org/officeDocument/2006/relationships/chart" Target="../charts/chart23.xml"/><Relationship Id="rId3" Type="http://schemas.openxmlformats.org/officeDocument/2006/relationships/chart" Target="../charts/chart4.xml"/><Relationship Id="rId21" Type="http://schemas.openxmlformats.org/officeDocument/2006/relationships/chart" Target="../charts/chart18.xml"/><Relationship Id="rId7" Type="http://schemas.openxmlformats.org/officeDocument/2006/relationships/chart" Target="../charts/chart8.xml"/><Relationship Id="rId12" Type="http://schemas.openxmlformats.org/officeDocument/2006/relationships/chart" Target="../charts/chart12.xml"/><Relationship Id="rId17" Type="http://schemas.openxmlformats.org/officeDocument/2006/relationships/chart" Target="../charts/chart14.xml"/><Relationship Id="rId25" Type="http://schemas.openxmlformats.org/officeDocument/2006/relationships/chart" Target="../charts/chart22.xml"/><Relationship Id="rId2" Type="http://schemas.openxmlformats.org/officeDocument/2006/relationships/chart" Target="../charts/chart3.xml"/><Relationship Id="rId16" Type="http://schemas.openxmlformats.org/officeDocument/2006/relationships/image" Target="../media/image5.png"/><Relationship Id="rId20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2.emf"/><Relationship Id="rId24" Type="http://schemas.openxmlformats.org/officeDocument/2006/relationships/chart" Target="../charts/chart21.xml"/><Relationship Id="rId5" Type="http://schemas.openxmlformats.org/officeDocument/2006/relationships/chart" Target="../charts/chart6.xml"/><Relationship Id="rId15" Type="http://schemas.openxmlformats.org/officeDocument/2006/relationships/image" Target="../media/image4.png"/><Relationship Id="rId23" Type="http://schemas.openxmlformats.org/officeDocument/2006/relationships/chart" Target="../charts/chart20.xml"/><Relationship Id="rId10" Type="http://schemas.openxmlformats.org/officeDocument/2006/relationships/chart" Target="../charts/chart11.xml"/><Relationship Id="rId19" Type="http://schemas.openxmlformats.org/officeDocument/2006/relationships/chart" Target="../charts/chart1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image" Target="../media/image3.png"/><Relationship Id="rId2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20613</xdr:colOff>
      <xdr:row>15</xdr:row>
      <xdr:rowOff>4559</xdr:rowOff>
    </xdr:from>
    <xdr:to>
      <xdr:col>3</xdr:col>
      <xdr:colOff>11088</xdr:colOff>
      <xdr:row>18</xdr:row>
      <xdr:rowOff>0</xdr:rowOff>
    </xdr:to>
    <xdr:sp macro="" textlink="">
      <xdr:nvSpPr>
        <xdr:cNvPr id="32" name="Прямоугольник 31"/>
        <xdr:cNvSpPr/>
      </xdr:nvSpPr>
      <xdr:spPr>
        <a:xfrm>
          <a:off x="5602263" y="2976359"/>
          <a:ext cx="809625" cy="58599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590550</xdr:colOff>
      <xdr:row>27</xdr:row>
      <xdr:rowOff>156882</xdr:rowOff>
    </xdr:from>
    <xdr:to>
      <xdr:col>7</xdr:col>
      <xdr:colOff>600075</xdr:colOff>
      <xdr:row>41</xdr:row>
      <xdr:rowOff>68035</xdr:rowOff>
    </xdr:to>
    <xdr:sp macro="" textlink="">
      <xdr:nvSpPr>
        <xdr:cNvPr id="42" name="Прямоугольник 41"/>
        <xdr:cNvSpPr/>
      </xdr:nvSpPr>
      <xdr:spPr>
        <a:xfrm>
          <a:off x="590550" y="5502088"/>
          <a:ext cx="8761319" cy="28022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38100</xdr:colOff>
      <xdr:row>34</xdr:row>
      <xdr:rowOff>28575</xdr:rowOff>
    </xdr:from>
    <xdr:to>
      <xdr:col>7</xdr:col>
      <xdr:colOff>495299</xdr:colOff>
      <xdr:row>36</xdr:row>
      <xdr:rowOff>38100</xdr:rowOff>
    </xdr:to>
    <xdr:sp macro="" textlink="">
      <xdr:nvSpPr>
        <xdr:cNvPr id="43" name="TextBox 42"/>
        <xdr:cNvSpPr txBox="1"/>
      </xdr:nvSpPr>
      <xdr:spPr>
        <a:xfrm>
          <a:off x="7305675" y="6400800"/>
          <a:ext cx="1943099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</a:t>
          </a:r>
          <a:r>
            <a:rPr lang="en-US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NBIs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590549</xdr:colOff>
      <xdr:row>68</xdr:row>
      <xdr:rowOff>146048</xdr:rowOff>
    </xdr:from>
    <xdr:to>
      <xdr:col>7</xdr:col>
      <xdr:colOff>590549</xdr:colOff>
      <xdr:row>75</xdr:row>
      <xdr:rowOff>95250</xdr:rowOff>
    </xdr:to>
    <xdr:sp macro="" textlink="">
      <xdr:nvSpPr>
        <xdr:cNvPr id="44" name="Прямоугольник 43"/>
        <xdr:cNvSpPr/>
      </xdr:nvSpPr>
      <xdr:spPr>
        <a:xfrm>
          <a:off x="590549" y="14066155"/>
          <a:ext cx="8763000" cy="13779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590549</xdr:colOff>
      <xdr:row>64</xdr:row>
      <xdr:rowOff>152400</xdr:rowOff>
    </xdr:from>
    <xdr:to>
      <xdr:col>7</xdr:col>
      <xdr:colOff>590549</xdr:colOff>
      <xdr:row>68</xdr:row>
      <xdr:rowOff>57150</xdr:rowOff>
    </xdr:to>
    <xdr:sp macro="" textlink="">
      <xdr:nvSpPr>
        <xdr:cNvPr id="45" name="Прямоугольник 44"/>
        <xdr:cNvSpPr/>
      </xdr:nvSpPr>
      <xdr:spPr>
        <a:xfrm>
          <a:off x="590549" y="12363450"/>
          <a:ext cx="8753475" cy="695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438150</xdr:colOff>
      <xdr:row>65</xdr:row>
      <xdr:rowOff>57150</xdr:rowOff>
    </xdr:from>
    <xdr:to>
      <xdr:col>7</xdr:col>
      <xdr:colOff>676274</xdr:colOff>
      <xdr:row>68</xdr:row>
      <xdr:rowOff>38100</xdr:rowOff>
    </xdr:to>
    <xdr:sp macro="" textlink="">
      <xdr:nvSpPr>
        <xdr:cNvPr id="46" name="TextBox 45"/>
        <xdr:cNvSpPr txBox="1"/>
      </xdr:nvSpPr>
      <xdr:spPr>
        <a:xfrm>
          <a:off x="6838950" y="7905750"/>
          <a:ext cx="2590799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эффективность</a:t>
          </a:r>
          <a:r>
            <a:rPr lang="ru-RU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ввода топлива в </a:t>
          </a:r>
          <a:r>
            <a:rPr lang="en-US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CORE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590550</xdr:colOff>
      <xdr:row>1</xdr:row>
      <xdr:rowOff>123825</xdr:rowOff>
    </xdr:from>
    <xdr:to>
      <xdr:col>7</xdr:col>
      <xdr:colOff>581025</xdr:colOff>
      <xdr:row>27</xdr:row>
      <xdr:rowOff>66676</xdr:rowOff>
    </xdr:to>
    <xdr:sp macro="" textlink="">
      <xdr:nvSpPr>
        <xdr:cNvPr id="50" name="Прямоугольник 49"/>
        <xdr:cNvSpPr/>
      </xdr:nvSpPr>
      <xdr:spPr>
        <a:xfrm>
          <a:off x="590550" y="323850"/>
          <a:ext cx="8743950" cy="5114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9526</xdr:colOff>
      <xdr:row>1</xdr:row>
      <xdr:rowOff>228600</xdr:rowOff>
    </xdr:from>
    <xdr:to>
      <xdr:col>7</xdr:col>
      <xdr:colOff>19050</xdr:colOff>
      <xdr:row>4</xdr:row>
      <xdr:rowOff>180975</xdr:rowOff>
    </xdr:to>
    <xdr:sp macro="" textlink="">
      <xdr:nvSpPr>
        <xdr:cNvPr id="51" name="TextBox 50"/>
        <xdr:cNvSpPr txBox="1"/>
      </xdr:nvSpPr>
      <xdr:spPr>
        <a:xfrm>
          <a:off x="7277101" y="428625"/>
          <a:ext cx="1495424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установки</a:t>
          </a:r>
        </a:p>
      </xdr:txBody>
    </xdr:sp>
    <xdr:clientData/>
  </xdr:twoCellAnchor>
  <xdr:twoCellAnchor>
    <xdr:from>
      <xdr:col>5</xdr:col>
      <xdr:colOff>19051</xdr:colOff>
      <xdr:row>8</xdr:row>
      <xdr:rowOff>47625</xdr:rowOff>
    </xdr:from>
    <xdr:to>
      <xdr:col>7</xdr:col>
      <xdr:colOff>28575</xdr:colOff>
      <xdr:row>11</xdr:row>
      <xdr:rowOff>47625</xdr:rowOff>
    </xdr:to>
    <xdr:sp macro="" textlink="">
      <xdr:nvSpPr>
        <xdr:cNvPr id="52" name="TextBox 51"/>
        <xdr:cNvSpPr txBox="1"/>
      </xdr:nvSpPr>
      <xdr:spPr>
        <a:xfrm>
          <a:off x="7286626" y="1685925"/>
          <a:ext cx="1495424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плазмы</a:t>
          </a:r>
        </a:p>
      </xdr:txBody>
    </xdr:sp>
    <xdr:clientData/>
  </xdr:twoCellAnchor>
  <xdr:twoCellAnchor>
    <xdr:from>
      <xdr:col>4</xdr:col>
      <xdr:colOff>266701</xdr:colOff>
      <xdr:row>24</xdr:row>
      <xdr:rowOff>76200</xdr:rowOff>
    </xdr:from>
    <xdr:to>
      <xdr:col>7</xdr:col>
      <xdr:colOff>352425</xdr:colOff>
      <xdr:row>27</xdr:row>
      <xdr:rowOff>85725</xdr:rowOff>
    </xdr:to>
    <xdr:sp macro="" textlink="">
      <xdr:nvSpPr>
        <xdr:cNvPr id="53" name="TextBox 52"/>
        <xdr:cNvSpPr txBox="1"/>
      </xdr:nvSpPr>
      <xdr:spPr>
        <a:xfrm>
          <a:off x="7219951" y="4867275"/>
          <a:ext cx="1885949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бланкета</a:t>
          </a:r>
        </a:p>
      </xdr:txBody>
    </xdr:sp>
    <xdr:clientData/>
  </xdr:twoCellAnchor>
  <xdr:twoCellAnchor>
    <xdr:from>
      <xdr:col>10</xdr:col>
      <xdr:colOff>0</xdr:colOff>
      <xdr:row>25</xdr:row>
      <xdr:rowOff>0</xdr:rowOff>
    </xdr:from>
    <xdr:to>
      <xdr:col>11</xdr:col>
      <xdr:colOff>9526</xdr:colOff>
      <xdr:row>25</xdr:row>
      <xdr:rowOff>200025</xdr:rowOff>
    </xdr:to>
    <xdr:sp macro="" textlink="">
      <xdr:nvSpPr>
        <xdr:cNvPr id="54" name="Прямоугольник 53"/>
        <xdr:cNvSpPr/>
      </xdr:nvSpPr>
      <xdr:spPr>
        <a:xfrm>
          <a:off x="10944225" y="7534275"/>
          <a:ext cx="733426" cy="200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76200</xdr:colOff>
      <xdr:row>41</xdr:row>
      <xdr:rowOff>186015</xdr:rowOff>
    </xdr:from>
    <xdr:to>
      <xdr:col>7</xdr:col>
      <xdr:colOff>533399</xdr:colOff>
      <xdr:row>56</xdr:row>
      <xdr:rowOff>11206</xdr:rowOff>
    </xdr:to>
    <xdr:sp macro="" textlink="">
      <xdr:nvSpPr>
        <xdr:cNvPr id="56" name="TextBox 55"/>
        <xdr:cNvSpPr txBox="1"/>
      </xdr:nvSpPr>
      <xdr:spPr>
        <a:xfrm>
          <a:off x="7337612" y="7985309"/>
          <a:ext cx="1947581" cy="2805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параметры </a:t>
          </a:r>
          <a:r>
            <a:rPr lang="en-US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PIS</a:t>
          </a:r>
        </a:p>
        <a:p>
          <a:pPr algn="ctr"/>
          <a:endParaRPr lang="en-US" sz="2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(fueling)</a:t>
          </a: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ru-RU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ru-RU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ru-RU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ru-RU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подавление</a:t>
          </a:r>
          <a:r>
            <a:rPr lang="en-US" sz="1600" b="1" i="0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ELM</a:t>
          </a:r>
          <a:r>
            <a:rPr lang="en-US" sz="1600" b="1" i="0" u="none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  <a:p>
          <a:pPr algn="ctr"/>
          <a:endParaRPr lang="ru-RU" sz="1600" b="1" i="0" u="none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600074</xdr:colOff>
      <xdr:row>41</xdr:row>
      <xdr:rowOff>142875</xdr:rowOff>
    </xdr:from>
    <xdr:to>
      <xdr:col>7</xdr:col>
      <xdr:colOff>600074</xdr:colOff>
      <xdr:row>64</xdr:row>
      <xdr:rowOff>78443</xdr:rowOff>
    </xdr:to>
    <xdr:sp macro="" textlink="">
      <xdr:nvSpPr>
        <xdr:cNvPr id="57" name="Прямоугольник 56"/>
        <xdr:cNvSpPr/>
      </xdr:nvSpPr>
      <xdr:spPr>
        <a:xfrm>
          <a:off x="600074" y="7942169"/>
          <a:ext cx="8751794" cy="37231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523875</xdr:colOff>
      <xdr:row>69</xdr:row>
      <xdr:rowOff>0</xdr:rowOff>
    </xdr:from>
    <xdr:to>
      <xdr:col>8</xdr:col>
      <xdr:colOff>38099</xdr:colOff>
      <xdr:row>71</xdr:row>
      <xdr:rowOff>180975</xdr:rowOff>
    </xdr:to>
    <xdr:sp macro="" textlink="">
      <xdr:nvSpPr>
        <xdr:cNvPr id="59" name="TextBox 58"/>
        <xdr:cNvSpPr txBox="1"/>
      </xdr:nvSpPr>
      <xdr:spPr>
        <a:xfrm>
          <a:off x="6924675" y="13782675"/>
          <a:ext cx="2590799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очистка / разделение</a:t>
          </a:r>
          <a:r>
            <a:rPr lang="ru-RU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изотопов водорода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590549</xdr:colOff>
      <xdr:row>64</xdr:row>
      <xdr:rowOff>152400</xdr:rowOff>
    </xdr:from>
    <xdr:to>
      <xdr:col>7</xdr:col>
      <xdr:colOff>590549</xdr:colOff>
      <xdr:row>68</xdr:row>
      <xdr:rowOff>57150</xdr:rowOff>
    </xdr:to>
    <xdr:sp macro="" textlink="">
      <xdr:nvSpPr>
        <xdr:cNvPr id="55" name="Прямоугольник 54"/>
        <xdr:cNvSpPr/>
      </xdr:nvSpPr>
      <xdr:spPr>
        <a:xfrm>
          <a:off x="590549" y="13049250"/>
          <a:ext cx="8753475" cy="704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8617</xdr:colOff>
      <xdr:row>43</xdr:row>
      <xdr:rowOff>180975</xdr:rowOff>
    </xdr:from>
    <xdr:to>
      <xdr:col>3</xdr:col>
      <xdr:colOff>5897</xdr:colOff>
      <xdr:row>50</xdr:row>
      <xdr:rowOff>11206</xdr:rowOff>
    </xdr:to>
    <xdr:sp macro="" textlink="">
      <xdr:nvSpPr>
        <xdr:cNvPr id="122" name="Прямоугольник 121"/>
        <xdr:cNvSpPr/>
      </xdr:nvSpPr>
      <xdr:spPr>
        <a:xfrm>
          <a:off x="5589146" y="8383681"/>
          <a:ext cx="815310" cy="424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535565</xdr:colOff>
      <xdr:row>42</xdr:row>
      <xdr:rowOff>112059</xdr:rowOff>
    </xdr:from>
    <xdr:to>
      <xdr:col>7</xdr:col>
      <xdr:colOff>613834</xdr:colOff>
      <xdr:row>49</xdr:row>
      <xdr:rowOff>81643</xdr:rowOff>
    </xdr:to>
    <xdr:sp macro="" textlink="">
      <xdr:nvSpPr>
        <xdr:cNvPr id="3" name="Дуга 2"/>
        <xdr:cNvSpPr/>
      </xdr:nvSpPr>
      <xdr:spPr>
        <a:xfrm>
          <a:off x="7570458" y="8181095"/>
          <a:ext cx="1915233" cy="1398334"/>
        </a:xfrm>
        <a:prstGeom prst="arc">
          <a:avLst>
            <a:gd name="adj1" fmla="val 16200000"/>
            <a:gd name="adj2" fmla="val 5298919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134472</xdr:colOff>
      <xdr:row>130</xdr:row>
      <xdr:rowOff>19050</xdr:rowOff>
    </xdr:from>
    <xdr:to>
      <xdr:col>9</xdr:col>
      <xdr:colOff>390526</xdr:colOff>
      <xdr:row>138</xdr:row>
      <xdr:rowOff>190500</xdr:rowOff>
    </xdr:to>
    <xdr:sp macro="" textlink="">
      <xdr:nvSpPr>
        <xdr:cNvPr id="13" name="Правая фигурная скобка 12"/>
        <xdr:cNvSpPr/>
      </xdr:nvSpPr>
      <xdr:spPr>
        <a:xfrm>
          <a:off x="10183347" y="15401925"/>
          <a:ext cx="256054" cy="1743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 editAs="oneCell">
    <xdr:from>
      <xdr:col>12</xdr:col>
      <xdr:colOff>57150</xdr:colOff>
      <xdr:row>276</xdr:row>
      <xdr:rowOff>19050</xdr:rowOff>
    </xdr:from>
    <xdr:to>
      <xdr:col>15</xdr:col>
      <xdr:colOff>1516529</xdr:colOff>
      <xdr:row>281</xdr:row>
      <xdr:rowOff>180975</xdr:rowOff>
    </xdr:to>
    <xdr:pic>
      <xdr:nvPicPr>
        <xdr:cNvPr id="5219" name="tabl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60598050"/>
          <a:ext cx="4231154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33618</xdr:rowOff>
    </xdr:from>
    <xdr:to>
      <xdr:col>16</xdr:col>
      <xdr:colOff>68034</xdr:colOff>
      <xdr:row>15</xdr:row>
      <xdr:rowOff>190500</xdr:rowOff>
    </xdr:to>
    <xdr:sp macro="" textlink="">
      <xdr:nvSpPr>
        <xdr:cNvPr id="51" name="Прямоугольник 50"/>
        <xdr:cNvSpPr/>
      </xdr:nvSpPr>
      <xdr:spPr>
        <a:xfrm>
          <a:off x="0" y="33618"/>
          <a:ext cx="18756084" cy="3262032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676275</xdr:colOff>
      <xdr:row>53</xdr:row>
      <xdr:rowOff>123825</xdr:rowOff>
    </xdr:from>
    <xdr:to>
      <xdr:col>14</xdr:col>
      <xdr:colOff>809625</xdr:colOff>
      <xdr:row>56</xdr:row>
      <xdr:rowOff>133351</xdr:rowOff>
    </xdr:to>
    <xdr:cxnSp macro="">
      <xdr:nvCxnSpPr>
        <xdr:cNvPr id="89" name="Прямая со стрелкой 88"/>
        <xdr:cNvCxnSpPr/>
      </xdr:nvCxnSpPr>
      <xdr:spPr>
        <a:xfrm flipH="1" flipV="1">
          <a:off x="14011275" y="10438039"/>
          <a:ext cx="1099457" cy="62184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39</xdr:row>
      <xdr:rowOff>10581</xdr:rowOff>
    </xdr:from>
    <xdr:to>
      <xdr:col>16</xdr:col>
      <xdr:colOff>0</xdr:colOff>
      <xdr:row>67</xdr:row>
      <xdr:rowOff>180975</xdr:rowOff>
    </xdr:to>
    <xdr:sp macro="" textlink="">
      <xdr:nvSpPr>
        <xdr:cNvPr id="93" name="Прямоугольник 92"/>
        <xdr:cNvSpPr/>
      </xdr:nvSpPr>
      <xdr:spPr>
        <a:xfrm>
          <a:off x="0" y="7897281"/>
          <a:ext cx="18926175" cy="5694894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158</xdr:row>
      <xdr:rowOff>0</xdr:rowOff>
    </xdr:from>
    <xdr:to>
      <xdr:col>16</xdr:col>
      <xdr:colOff>54428</xdr:colOff>
      <xdr:row>177</xdr:row>
      <xdr:rowOff>0</xdr:rowOff>
    </xdr:to>
    <xdr:sp macro="" textlink="">
      <xdr:nvSpPr>
        <xdr:cNvPr id="94" name="Прямоугольник 93"/>
        <xdr:cNvSpPr/>
      </xdr:nvSpPr>
      <xdr:spPr>
        <a:xfrm>
          <a:off x="0" y="33823275"/>
          <a:ext cx="18980603" cy="381000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177</xdr:row>
      <xdr:rowOff>190500</xdr:rowOff>
    </xdr:from>
    <xdr:to>
      <xdr:col>16</xdr:col>
      <xdr:colOff>27214</xdr:colOff>
      <xdr:row>192</xdr:row>
      <xdr:rowOff>190500</xdr:rowOff>
    </xdr:to>
    <xdr:sp macro="" textlink="">
      <xdr:nvSpPr>
        <xdr:cNvPr id="95" name="Прямоугольник 94"/>
        <xdr:cNvSpPr/>
      </xdr:nvSpPr>
      <xdr:spPr>
        <a:xfrm>
          <a:off x="0" y="36777706"/>
          <a:ext cx="18595361" cy="2823882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2401</xdr:colOff>
      <xdr:row>223</xdr:row>
      <xdr:rowOff>0</xdr:rowOff>
    </xdr:from>
    <xdr:to>
      <xdr:col>16</xdr:col>
      <xdr:colOff>29615</xdr:colOff>
      <xdr:row>284</xdr:row>
      <xdr:rowOff>10584</xdr:rowOff>
    </xdr:to>
    <xdr:sp macro="" textlink="">
      <xdr:nvSpPr>
        <xdr:cNvPr id="96" name="Прямоугольник 95"/>
        <xdr:cNvSpPr/>
      </xdr:nvSpPr>
      <xdr:spPr>
        <a:xfrm>
          <a:off x="2401" y="44453735"/>
          <a:ext cx="18595361" cy="1386105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324</xdr:row>
      <xdr:rowOff>10582</xdr:rowOff>
    </xdr:from>
    <xdr:to>
      <xdr:col>16</xdr:col>
      <xdr:colOff>27214</xdr:colOff>
      <xdr:row>342</xdr:row>
      <xdr:rowOff>190499</xdr:rowOff>
    </xdr:to>
    <xdr:sp macro="" textlink="">
      <xdr:nvSpPr>
        <xdr:cNvPr id="117" name="Прямоугольник 116"/>
        <xdr:cNvSpPr/>
      </xdr:nvSpPr>
      <xdr:spPr>
        <a:xfrm>
          <a:off x="0" y="56712907"/>
          <a:ext cx="18038989" cy="5780617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10583</xdr:colOff>
      <xdr:row>151</xdr:row>
      <xdr:rowOff>10585</xdr:rowOff>
    </xdr:from>
    <xdr:to>
      <xdr:col>16</xdr:col>
      <xdr:colOff>37797</xdr:colOff>
      <xdr:row>157</xdr:row>
      <xdr:rowOff>9525</xdr:rowOff>
    </xdr:to>
    <xdr:sp macro="" textlink="">
      <xdr:nvSpPr>
        <xdr:cNvPr id="91" name="Прямоугольник 90"/>
        <xdr:cNvSpPr/>
      </xdr:nvSpPr>
      <xdr:spPr>
        <a:xfrm>
          <a:off x="10583" y="32395585"/>
          <a:ext cx="18953389" cy="1237190"/>
        </a:xfrm>
        <a:prstGeom prst="rect">
          <a:avLst/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74502</xdr:colOff>
      <xdr:row>281</xdr:row>
      <xdr:rowOff>140854</xdr:rowOff>
    </xdr:from>
    <xdr:to>
      <xdr:col>13</xdr:col>
      <xdr:colOff>341202</xdr:colOff>
      <xdr:row>281</xdr:row>
      <xdr:rowOff>140854</xdr:rowOff>
    </xdr:to>
    <xdr:cxnSp macro="">
      <xdr:nvCxnSpPr>
        <xdr:cNvPr id="17" name="Прямая соединительная линия 16"/>
        <xdr:cNvCxnSpPr/>
      </xdr:nvCxnSpPr>
      <xdr:spPr>
        <a:xfrm>
          <a:off x="12437952" y="61719979"/>
          <a:ext cx="123825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285</xdr:row>
      <xdr:rowOff>0</xdr:rowOff>
    </xdr:from>
    <xdr:to>
      <xdr:col>16</xdr:col>
      <xdr:colOff>27214</xdr:colOff>
      <xdr:row>322</xdr:row>
      <xdr:rowOff>196271</xdr:rowOff>
    </xdr:to>
    <xdr:sp macro="" textlink="">
      <xdr:nvSpPr>
        <xdr:cNvPr id="111" name="Прямоугольник 110"/>
        <xdr:cNvSpPr/>
      </xdr:nvSpPr>
      <xdr:spPr>
        <a:xfrm>
          <a:off x="0" y="42070673"/>
          <a:ext cx="18857850" cy="4723053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>
            <a:solidFill>
              <a:srgbClr val="00FF00"/>
            </a:solidFill>
          </a:endParaRPr>
        </a:p>
      </xdr:txBody>
    </xdr:sp>
    <xdr:clientData/>
  </xdr:twoCellAnchor>
  <xdr:twoCellAnchor>
    <xdr:from>
      <xdr:col>0</xdr:col>
      <xdr:colOff>11206</xdr:colOff>
      <xdr:row>17</xdr:row>
      <xdr:rowOff>14942</xdr:rowOff>
    </xdr:from>
    <xdr:to>
      <xdr:col>16</xdr:col>
      <xdr:colOff>63953</xdr:colOff>
      <xdr:row>150</xdr:row>
      <xdr:rowOff>1</xdr:rowOff>
    </xdr:to>
    <xdr:sp macro="" textlink="">
      <xdr:nvSpPr>
        <xdr:cNvPr id="101" name="Прямоугольник 100"/>
        <xdr:cNvSpPr/>
      </xdr:nvSpPr>
      <xdr:spPr>
        <a:xfrm>
          <a:off x="11206" y="3520142"/>
          <a:ext cx="18978922" cy="28664834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15</xdr:col>
      <xdr:colOff>765924</xdr:colOff>
      <xdr:row>278</xdr:row>
      <xdr:rowOff>112059</xdr:rowOff>
    </xdr:from>
    <xdr:to>
      <xdr:col>15</xdr:col>
      <xdr:colOff>1550336</xdr:colOff>
      <xdr:row>281</xdr:row>
      <xdr:rowOff>44823</xdr:rowOff>
    </xdr:to>
    <xdr:sp macro="" textlink="">
      <xdr:nvSpPr>
        <xdr:cNvPr id="47" name="Овал 46"/>
        <xdr:cNvSpPr/>
      </xdr:nvSpPr>
      <xdr:spPr>
        <a:xfrm>
          <a:off x="15901149" y="61091109"/>
          <a:ext cx="784412" cy="53283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194</xdr:row>
      <xdr:rowOff>25400</xdr:rowOff>
    </xdr:from>
    <xdr:to>
      <xdr:col>16</xdr:col>
      <xdr:colOff>27214</xdr:colOff>
      <xdr:row>222</xdr:row>
      <xdr:rowOff>33617</xdr:rowOff>
    </xdr:to>
    <xdr:sp macro="" textlink="">
      <xdr:nvSpPr>
        <xdr:cNvPr id="44" name="Прямоугольник 43"/>
        <xdr:cNvSpPr/>
      </xdr:nvSpPr>
      <xdr:spPr>
        <a:xfrm>
          <a:off x="0" y="42787047"/>
          <a:ext cx="19869096" cy="7777629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8</xdr:col>
      <xdr:colOff>352425</xdr:colOff>
      <xdr:row>201</xdr:row>
      <xdr:rowOff>0</xdr:rowOff>
    </xdr:from>
    <xdr:to>
      <xdr:col>9</xdr:col>
      <xdr:colOff>85725</xdr:colOff>
      <xdr:row>204</xdr:row>
      <xdr:rowOff>9525</xdr:rowOff>
    </xdr:to>
    <xdr:sp macro="" textlink="">
      <xdr:nvSpPr>
        <xdr:cNvPr id="2" name="Правая фигурная скобка 1"/>
        <xdr:cNvSpPr/>
      </xdr:nvSpPr>
      <xdr:spPr>
        <a:xfrm>
          <a:off x="10096500" y="47244000"/>
          <a:ext cx="142875" cy="60960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0</xdr:colOff>
      <xdr:row>68</xdr:row>
      <xdr:rowOff>76200</xdr:rowOff>
    </xdr:from>
    <xdr:to>
      <xdr:col>16</xdr:col>
      <xdr:colOff>0</xdr:colOff>
      <xdr:row>105</xdr:row>
      <xdr:rowOff>11205</xdr:rowOff>
    </xdr:to>
    <xdr:sp macro="" textlink="">
      <xdr:nvSpPr>
        <xdr:cNvPr id="46" name="Прямоугольник 45"/>
        <xdr:cNvSpPr/>
      </xdr:nvSpPr>
      <xdr:spPr>
        <a:xfrm>
          <a:off x="0" y="13687425"/>
          <a:ext cx="18926175" cy="946000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105</xdr:row>
      <xdr:rowOff>114302</xdr:rowOff>
    </xdr:from>
    <xdr:to>
      <xdr:col>16</xdr:col>
      <xdr:colOff>22412</xdr:colOff>
      <xdr:row>120</xdr:row>
      <xdr:rowOff>19050</xdr:rowOff>
    </xdr:to>
    <xdr:sp macro="" textlink="">
      <xdr:nvSpPr>
        <xdr:cNvPr id="52" name="Прямоугольник 51"/>
        <xdr:cNvSpPr/>
      </xdr:nvSpPr>
      <xdr:spPr>
        <a:xfrm>
          <a:off x="0" y="21212177"/>
          <a:ext cx="18748562" cy="2895598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5060015</xdr:colOff>
      <xdr:row>30</xdr:row>
      <xdr:rowOff>170887</xdr:rowOff>
    </xdr:from>
    <xdr:to>
      <xdr:col>2</xdr:col>
      <xdr:colOff>40340</xdr:colOff>
      <xdr:row>34</xdr:row>
      <xdr:rowOff>22411</xdr:rowOff>
    </xdr:to>
    <xdr:sp macro="" textlink="">
      <xdr:nvSpPr>
        <xdr:cNvPr id="54" name="Овал 53"/>
        <xdr:cNvSpPr/>
      </xdr:nvSpPr>
      <xdr:spPr>
        <a:xfrm>
          <a:off x="5060015" y="6289299"/>
          <a:ext cx="1076325" cy="64714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5210174</xdr:colOff>
      <xdr:row>13</xdr:row>
      <xdr:rowOff>136525</xdr:rowOff>
    </xdr:from>
    <xdr:to>
      <xdr:col>2</xdr:col>
      <xdr:colOff>190499</xdr:colOff>
      <xdr:row>15</xdr:row>
      <xdr:rowOff>70262</xdr:rowOff>
    </xdr:to>
    <xdr:sp macro="" textlink="">
      <xdr:nvSpPr>
        <xdr:cNvPr id="55" name="Овал 54"/>
        <xdr:cNvSpPr/>
      </xdr:nvSpPr>
      <xdr:spPr>
        <a:xfrm>
          <a:off x="5210174" y="2778125"/>
          <a:ext cx="1362075" cy="35918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5100357</xdr:colOff>
      <xdr:row>100</xdr:row>
      <xdr:rowOff>166406</xdr:rowOff>
    </xdr:from>
    <xdr:to>
      <xdr:col>2</xdr:col>
      <xdr:colOff>80682</xdr:colOff>
      <xdr:row>104</xdr:row>
      <xdr:rowOff>40341</xdr:rowOff>
    </xdr:to>
    <xdr:sp macro="" textlink="">
      <xdr:nvSpPr>
        <xdr:cNvPr id="56" name="Овал 55"/>
        <xdr:cNvSpPr/>
      </xdr:nvSpPr>
      <xdr:spPr>
        <a:xfrm>
          <a:off x="5100357" y="22443700"/>
          <a:ext cx="1076325" cy="64714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4999130</xdr:colOff>
      <xdr:row>139</xdr:row>
      <xdr:rowOff>133908</xdr:rowOff>
    </xdr:from>
    <xdr:to>
      <xdr:col>2</xdr:col>
      <xdr:colOff>150905</xdr:colOff>
      <xdr:row>143</xdr:row>
      <xdr:rowOff>133908</xdr:rowOff>
    </xdr:to>
    <xdr:sp macro="" textlink="">
      <xdr:nvSpPr>
        <xdr:cNvPr id="57" name="Овал 56"/>
        <xdr:cNvSpPr/>
      </xdr:nvSpPr>
      <xdr:spPr>
        <a:xfrm>
          <a:off x="4999130" y="31275055"/>
          <a:ext cx="1247775" cy="80682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30442</xdr:colOff>
      <xdr:row>152</xdr:row>
      <xdr:rowOff>73397</xdr:rowOff>
    </xdr:from>
    <xdr:to>
      <xdr:col>13</xdr:col>
      <xdr:colOff>907677</xdr:colOff>
      <xdr:row>156</xdr:row>
      <xdr:rowOff>73398</xdr:rowOff>
    </xdr:to>
    <xdr:sp macro="" textlink="">
      <xdr:nvSpPr>
        <xdr:cNvPr id="58" name="Овал 57"/>
        <xdr:cNvSpPr/>
      </xdr:nvSpPr>
      <xdr:spPr>
        <a:xfrm>
          <a:off x="13600766" y="33063515"/>
          <a:ext cx="877235" cy="806824"/>
        </a:xfrm>
        <a:prstGeom prst="ellipse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1128432</xdr:colOff>
      <xdr:row>100</xdr:row>
      <xdr:rowOff>155200</xdr:rowOff>
    </xdr:from>
    <xdr:to>
      <xdr:col>14</xdr:col>
      <xdr:colOff>71157</xdr:colOff>
      <xdr:row>104</xdr:row>
      <xdr:rowOff>29135</xdr:rowOff>
    </xdr:to>
    <xdr:sp macro="" textlink="">
      <xdr:nvSpPr>
        <xdr:cNvPr id="59" name="Овал 58"/>
        <xdr:cNvSpPr/>
      </xdr:nvSpPr>
      <xdr:spPr>
        <a:xfrm>
          <a:off x="13539507" y="22319875"/>
          <a:ext cx="1076325" cy="6454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1135715</xdr:colOff>
      <xdr:row>30</xdr:row>
      <xdr:rowOff>183774</xdr:rowOff>
    </xdr:from>
    <xdr:to>
      <xdr:col>14</xdr:col>
      <xdr:colOff>78440</xdr:colOff>
      <xdr:row>34</xdr:row>
      <xdr:rowOff>35298</xdr:rowOff>
    </xdr:to>
    <xdr:sp macro="" textlink="">
      <xdr:nvSpPr>
        <xdr:cNvPr id="60" name="Овал 59"/>
        <xdr:cNvSpPr/>
      </xdr:nvSpPr>
      <xdr:spPr>
        <a:xfrm>
          <a:off x="13546790" y="6279774"/>
          <a:ext cx="1076325" cy="6420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5057775</xdr:colOff>
      <xdr:row>115</xdr:row>
      <xdr:rowOff>161925</xdr:rowOff>
    </xdr:from>
    <xdr:to>
      <xdr:col>2</xdr:col>
      <xdr:colOff>38100</xdr:colOff>
      <xdr:row>119</xdr:row>
      <xdr:rowOff>7285</xdr:rowOff>
    </xdr:to>
    <xdr:sp macro="" textlink="">
      <xdr:nvSpPr>
        <xdr:cNvPr id="61" name="Овал 60"/>
        <xdr:cNvSpPr/>
      </xdr:nvSpPr>
      <xdr:spPr>
        <a:xfrm>
          <a:off x="5057775" y="25298400"/>
          <a:ext cx="1076325" cy="63593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75266</xdr:colOff>
      <xdr:row>139</xdr:row>
      <xdr:rowOff>145115</xdr:rowOff>
    </xdr:from>
    <xdr:to>
      <xdr:col>13</xdr:col>
      <xdr:colOff>952501</xdr:colOff>
      <xdr:row>143</xdr:row>
      <xdr:rowOff>145116</xdr:rowOff>
    </xdr:to>
    <xdr:sp macro="" textlink="">
      <xdr:nvSpPr>
        <xdr:cNvPr id="62" name="Овал 61"/>
        <xdr:cNvSpPr/>
      </xdr:nvSpPr>
      <xdr:spPr>
        <a:xfrm>
          <a:off x="13648391" y="31510940"/>
          <a:ext cx="877235" cy="8001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8</xdr:col>
      <xdr:colOff>341966</xdr:colOff>
      <xdr:row>139</xdr:row>
      <xdr:rowOff>97490</xdr:rowOff>
    </xdr:from>
    <xdr:to>
      <xdr:col>10</xdr:col>
      <xdr:colOff>66676</xdr:colOff>
      <xdr:row>143</xdr:row>
      <xdr:rowOff>97491</xdr:rowOff>
    </xdr:to>
    <xdr:sp macro="" textlink="">
      <xdr:nvSpPr>
        <xdr:cNvPr id="63" name="Овал 62"/>
        <xdr:cNvSpPr/>
      </xdr:nvSpPr>
      <xdr:spPr>
        <a:xfrm>
          <a:off x="10086041" y="30863240"/>
          <a:ext cx="877235" cy="8001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</xdr:col>
      <xdr:colOff>333375</xdr:colOff>
      <xdr:row>124</xdr:row>
      <xdr:rowOff>142875</xdr:rowOff>
    </xdr:from>
    <xdr:to>
      <xdr:col>5</xdr:col>
      <xdr:colOff>39035</xdr:colOff>
      <xdr:row>128</xdr:row>
      <xdr:rowOff>85726</xdr:rowOff>
    </xdr:to>
    <xdr:sp macro="" textlink="">
      <xdr:nvSpPr>
        <xdr:cNvPr id="64" name="Овал 63"/>
        <xdr:cNvSpPr/>
      </xdr:nvSpPr>
      <xdr:spPr>
        <a:xfrm>
          <a:off x="6991350" y="27641550"/>
          <a:ext cx="877235" cy="8001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5</xdr:col>
      <xdr:colOff>28575</xdr:colOff>
      <xdr:row>128</xdr:row>
      <xdr:rowOff>85725</xdr:rowOff>
    </xdr:from>
    <xdr:to>
      <xdr:col>8</xdr:col>
      <xdr:colOff>371475</xdr:colOff>
      <xdr:row>140</xdr:row>
      <xdr:rowOff>152400</xdr:rowOff>
    </xdr:to>
    <xdr:cxnSp macro="">
      <xdr:nvCxnSpPr>
        <xdr:cNvPr id="10" name="Прямая со стрелкой 9"/>
        <xdr:cNvCxnSpPr/>
      </xdr:nvCxnSpPr>
      <xdr:spPr>
        <a:xfrm>
          <a:off x="7858125" y="28441650"/>
          <a:ext cx="2257425" cy="2476500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676275</xdr:colOff>
      <xdr:row>143</xdr:row>
      <xdr:rowOff>66675</xdr:rowOff>
    </xdr:from>
    <xdr:to>
      <xdr:col>13</xdr:col>
      <xdr:colOff>180975</xdr:colOff>
      <xdr:row>143</xdr:row>
      <xdr:rowOff>114300</xdr:rowOff>
    </xdr:to>
    <xdr:cxnSp macro="">
      <xdr:nvCxnSpPr>
        <xdr:cNvPr id="65" name="Прямая со стрелкой 64"/>
        <xdr:cNvCxnSpPr/>
      </xdr:nvCxnSpPr>
      <xdr:spPr>
        <a:xfrm>
          <a:off x="10829925" y="29460825"/>
          <a:ext cx="2686050" cy="47625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45</xdr:row>
      <xdr:rowOff>142876</xdr:rowOff>
    </xdr:from>
    <xdr:to>
      <xdr:col>14</xdr:col>
      <xdr:colOff>733425</xdr:colOff>
      <xdr:row>50</xdr:row>
      <xdr:rowOff>19051</xdr:rowOff>
    </xdr:to>
    <xdr:sp macro="" textlink="">
      <xdr:nvSpPr>
        <xdr:cNvPr id="4" name="Правая фигурная скобка 3"/>
        <xdr:cNvSpPr/>
      </xdr:nvSpPr>
      <xdr:spPr>
        <a:xfrm>
          <a:off x="14878050" y="9191626"/>
          <a:ext cx="161925" cy="8763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47626</xdr:colOff>
      <xdr:row>116</xdr:row>
      <xdr:rowOff>38100</xdr:rowOff>
    </xdr:from>
    <xdr:to>
      <xdr:col>0</xdr:col>
      <xdr:colOff>4229100</xdr:colOff>
      <xdr:row>119</xdr:row>
      <xdr:rowOff>133351</xdr:rowOff>
    </xdr:to>
    <xdr:sp macro="" textlink="">
      <xdr:nvSpPr>
        <xdr:cNvPr id="69" name="TextBox 68"/>
        <xdr:cNvSpPr txBox="1"/>
      </xdr:nvSpPr>
      <xdr:spPr>
        <a:xfrm>
          <a:off x="47626" y="22955250"/>
          <a:ext cx="4181474" cy="695326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200">
              <a:latin typeface="Times New Roman" pitchFamily="18" charset="0"/>
              <a:cs typeface="Times New Roman" pitchFamily="18" charset="0"/>
            </a:rPr>
            <a:t>так как на 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fueling GIS </a:t>
          </a:r>
          <a:r>
            <a:rPr lang="ru-RU" sz="1200">
              <a:latin typeface="Times New Roman" pitchFamily="18" charset="0"/>
              <a:cs typeface="Times New Roman" pitchFamily="18" charset="0"/>
            </a:rPr>
            <a:t>не</a:t>
          </a:r>
          <a:r>
            <a:rPr lang="ru-RU" sz="1200" baseline="0">
              <a:latin typeface="Times New Roman" pitchFamily="18" charset="0"/>
              <a:cs typeface="Times New Roman" pitchFamily="18" charset="0"/>
            </a:rPr>
            <a:t> оказывает влияния, ей поддерживается только требуемое 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Pn</a:t>
          </a:r>
          <a:endParaRPr lang="ru-RU" sz="1200" baseline="0">
            <a:latin typeface="Times New Roman" pitchFamily="18" charset="0"/>
            <a:cs typeface="Times New Roman" pitchFamily="18" charset="0"/>
          </a:endParaRPr>
        </a:p>
        <a:p>
          <a:endParaRPr lang="en-US" sz="200" baseline="0">
            <a:latin typeface="Times New Roman" pitchFamily="18" charset="0"/>
            <a:cs typeface="Times New Roman" pitchFamily="18" charset="0"/>
          </a:endParaRPr>
        </a:p>
        <a:p>
          <a:r>
            <a:rPr lang="en-US" sz="1200">
              <a:latin typeface="Times New Roman" pitchFamily="18" charset="0"/>
              <a:cs typeface="Times New Roman" pitchFamily="18" charset="0"/>
            </a:rPr>
            <a:t>Spuff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 -</a:t>
          </a:r>
          <a:r>
            <a:rPr lang="ru-RU" sz="1200">
              <a:latin typeface="Times New Roman" pitchFamily="18" charset="0"/>
              <a:cs typeface="Times New Roman" pitchFamily="18" charset="0"/>
            </a:rPr>
            <a:t>поток газа, необходимый для обеспечения </a:t>
          </a:r>
          <a:r>
            <a:rPr lang="en-US" sz="1200">
              <a:latin typeface="Times New Roman" pitchFamily="18" charset="0"/>
              <a:cs typeface="Times New Roman" pitchFamily="18" charset="0"/>
            </a:rPr>
            <a:t>Pn</a:t>
          </a:r>
          <a:r>
            <a:rPr lang="ru-RU" sz="1200" baseline="0">
              <a:latin typeface="Times New Roman" pitchFamily="18" charset="0"/>
              <a:cs typeface="Times New Roman" pitchFamily="18" charset="0"/>
            </a:rPr>
            <a:t> </a:t>
          </a:r>
          <a:endParaRPr lang="en-US" sz="1200" baseline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9526</xdr:colOff>
      <xdr:row>120</xdr:row>
      <xdr:rowOff>104774</xdr:rowOff>
    </xdr:from>
    <xdr:to>
      <xdr:col>14</xdr:col>
      <xdr:colOff>38100</xdr:colOff>
      <xdr:row>124</xdr:row>
      <xdr:rowOff>142874</xdr:rowOff>
    </xdr:to>
    <xdr:sp macro="" textlink="">
      <xdr:nvSpPr>
        <xdr:cNvPr id="70" name="TextBox 69"/>
        <xdr:cNvSpPr txBox="1"/>
      </xdr:nvSpPr>
      <xdr:spPr>
        <a:xfrm>
          <a:off x="10163176" y="23822024"/>
          <a:ext cx="4181474" cy="828675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itchFamily="18" charset="0"/>
              <a:cs typeface="Times New Roman" pitchFamily="18" charset="0"/>
            </a:rPr>
            <a:t>N=P*V/1000*k          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PnCp-S_sep+S0_sep</a:t>
          </a:r>
          <a:endParaRPr lang="en-US" sz="1200">
            <a:latin typeface="Times New Roman" pitchFamily="18" charset="0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latin typeface="Times New Roman" pitchFamily="18" charset="0"/>
              <a:cs typeface="Times New Roman" pitchFamily="18" charset="0"/>
            </a:rPr>
            <a:t>N_T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=P*V/1000*k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     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N_T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Spuff(nb+pel)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latin typeface="Times New Roman" pitchFamily="18" charset="0"/>
              <a:cs typeface="Times New Roman" pitchFamily="18" charset="0"/>
            </a:rPr>
            <a:t>N_D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=P*V/1000*k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    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N_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В-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Spuff(nb+pel)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baseline="0">
              <a:latin typeface="Times New Roman" pitchFamily="18" charset="0"/>
              <a:cs typeface="Times New Roman" pitchFamily="18" charset="0"/>
            </a:rPr>
            <a:t>сумма 	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            (PnCp-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Spuff(nb+pel))-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S_sep+S0_sep</a:t>
          </a:r>
        </a:p>
      </xdr:txBody>
    </xdr:sp>
    <xdr:clientData/>
  </xdr:twoCellAnchor>
  <xdr:twoCellAnchor>
    <xdr:from>
      <xdr:col>8</xdr:col>
      <xdr:colOff>247650</xdr:colOff>
      <xdr:row>244</xdr:row>
      <xdr:rowOff>19050</xdr:rowOff>
    </xdr:from>
    <xdr:to>
      <xdr:col>8</xdr:col>
      <xdr:colOff>381000</xdr:colOff>
      <xdr:row>247</xdr:row>
      <xdr:rowOff>0</xdr:rowOff>
    </xdr:to>
    <xdr:sp macro="" textlink="">
      <xdr:nvSpPr>
        <xdr:cNvPr id="49" name="Правая фигурная скобка 48"/>
        <xdr:cNvSpPr/>
      </xdr:nvSpPr>
      <xdr:spPr>
        <a:xfrm>
          <a:off x="9991725" y="49072800"/>
          <a:ext cx="133350" cy="581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247650</xdr:colOff>
      <xdr:row>248</xdr:row>
      <xdr:rowOff>9525</xdr:rowOff>
    </xdr:from>
    <xdr:to>
      <xdr:col>8</xdr:col>
      <xdr:colOff>381000</xdr:colOff>
      <xdr:row>250</xdr:row>
      <xdr:rowOff>190500</xdr:rowOff>
    </xdr:to>
    <xdr:sp macro="" textlink="">
      <xdr:nvSpPr>
        <xdr:cNvPr id="67" name="Правая фигурная скобка 66"/>
        <xdr:cNvSpPr/>
      </xdr:nvSpPr>
      <xdr:spPr>
        <a:xfrm>
          <a:off x="9991725" y="49863375"/>
          <a:ext cx="133350" cy="581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11</xdr:col>
      <xdr:colOff>685800</xdr:colOff>
      <xdr:row>251</xdr:row>
      <xdr:rowOff>142875</xdr:rowOff>
    </xdr:from>
    <xdr:to>
      <xdr:col>13</xdr:col>
      <xdr:colOff>4856</xdr:colOff>
      <xdr:row>255</xdr:row>
      <xdr:rowOff>76198</xdr:rowOff>
    </xdr:to>
    <xdr:sp macro="" textlink="">
      <xdr:nvSpPr>
        <xdr:cNvPr id="45" name="Овал 44"/>
        <xdr:cNvSpPr/>
      </xdr:nvSpPr>
      <xdr:spPr>
        <a:xfrm>
          <a:off x="12315825" y="50596800"/>
          <a:ext cx="1024031" cy="714373"/>
        </a:xfrm>
        <a:prstGeom prst="ellipse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4086225</xdr:colOff>
      <xdr:row>31</xdr:row>
      <xdr:rowOff>180975</xdr:rowOff>
    </xdr:from>
    <xdr:to>
      <xdr:col>0</xdr:col>
      <xdr:colOff>4962525</xdr:colOff>
      <xdr:row>33</xdr:row>
      <xdr:rowOff>95250</xdr:rowOff>
    </xdr:to>
    <xdr:sp macro="" textlink="">
      <xdr:nvSpPr>
        <xdr:cNvPr id="66" name="Стрелка вправо 65"/>
        <xdr:cNvSpPr/>
      </xdr:nvSpPr>
      <xdr:spPr>
        <a:xfrm>
          <a:off x="4086225" y="6486525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4114800</xdr:colOff>
      <xdr:row>53</xdr:row>
      <xdr:rowOff>171450</xdr:rowOff>
    </xdr:from>
    <xdr:to>
      <xdr:col>0</xdr:col>
      <xdr:colOff>4991100</xdr:colOff>
      <xdr:row>55</xdr:row>
      <xdr:rowOff>76200</xdr:rowOff>
    </xdr:to>
    <xdr:sp macro="" textlink="">
      <xdr:nvSpPr>
        <xdr:cNvPr id="68" name="Стрелка вправо 67"/>
        <xdr:cNvSpPr/>
      </xdr:nvSpPr>
      <xdr:spPr>
        <a:xfrm>
          <a:off x="4114800" y="10868025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4143375</xdr:colOff>
      <xdr:row>173</xdr:row>
      <xdr:rowOff>171450</xdr:rowOff>
    </xdr:from>
    <xdr:to>
      <xdr:col>0</xdr:col>
      <xdr:colOff>5019675</xdr:colOff>
      <xdr:row>175</xdr:row>
      <xdr:rowOff>76200</xdr:rowOff>
    </xdr:to>
    <xdr:sp macro="" textlink="">
      <xdr:nvSpPr>
        <xdr:cNvPr id="71" name="Стрелка вправо 70"/>
        <xdr:cNvSpPr/>
      </xdr:nvSpPr>
      <xdr:spPr>
        <a:xfrm>
          <a:off x="4143375" y="35013900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4067175</xdr:colOff>
      <xdr:row>42</xdr:row>
      <xdr:rowOff>161925</xdr:rowOff>
    </xdr:from>
    <xdr:to>
      <xdr:col>0</xdr:col>
      <xdr:colOff>4943475</xdr:colOff>
      <xdr:row>44</xdr:row>
      <xdr:rowOff>66675</xdr:rowOff>
    </xdr:to>
    <xdr:sp macro="" textlink="">
      <xdr:nvSpPr>
        <xdr:cNvPr id="72" name="Стрелка вправо 71"/>
        <xdr:cNvSpPr/>
      </xdr:nvSpPr>
      <xdr:spPr>
        <a:xfrm>
          <a:off x="4067175" y="8658225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4143375</xdr:colOff>
      <xdr:row>46</xdr:row>
      <xdr:rowOff>171450</xdr:rowOff>
    </xdr:from>
    <xdr:to>
      <xdr:col>0</xdr:col>
      <xdr:colOff>5019675</xdr:colOff>
      <xdr:row>48</xdr:row>
      <xdr:rowOff>76200</xdr:rowOff>
    </xdr:to>
    <xdr:sp macro="" textlink="">
      <xdr:nvSpPr>
        <xdr:cNvPr id="73" name="Стрелка вправо 72"/>
        <xdr:cNvSpPr/>
      </xdr:nvSpPr>
      <xdr:spPr>
        <a:xfrm>
          <a:off x="4143375" y="9467850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4105275</xdr:colOff>
      <xdr:row>50</xdr:row>
      <xdr:rowOff>9525</xdr:rowOff>
    </xdr:from>
    <xdr:to>
      <xdr:col>0</xdr:col>
      <xdr:colOff>4981575</xdr:colOff>
      <xdr:row>51</xdr:row>
      <xdr:rowOff>114300</xdr:rowOff>
    </xdr:to>
    <xdr:sp macro="" textlink="">
      <xdr:nvSpPr>
        <xdr:cNvPr id="74" name="Стрелка вправо 73"/>
        <xdr:cNvSpPr/>
      </xdr:nvSpPr>
      <xdr:spPr>
        <a:xfrm>
          <a:off x="4105275" y="10106025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4000500</xdr:colOff>
      <xdr:row>61</xdr:row>
      <xdr:rowOff>19050</xdr:rowOff>
    </xdr:from>
    <xdr:to>
      <xdr:col>0</xdr:col>
      <xdr:colOff>5067300</xdr:colOff>
      <xdr:row>63</xdr:row>
      <xdr:rowOff>38100</xdr:rowOff>
    </xdr:to>
    <xdr:sp macro="" textlink="">
      <xdr:nvSpPr>
        <xdr:cNvPr id="76" name="Стрелка вправо 75"/>
        <xdr:cNvSpPr/>
      </xdr:nvSpPr>
      <xdr:spPr>
        <a:xfrm>
          <a:off x="4000500" y="12353925"/>
          <a:ext cx="1066800" cy="419100"/>
        </a:xfrm>
        <a:prstGeom prst="rightArrow">
          <a:avLst/>
        </a:prstGeom>
        <a:solidFill>
          <a:srgbClr val="00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4076700</xdr:colOff>
      <xdr:row>201</xdr:row>
      <xdr:rowOff>161925</xdr:rowOff>
    </xdr:from>
    <xdr:to>
      <xdr:col>0</xdr:col>
      <xdr:colOff>4953000</xdr:colOff>
      <xdr:row>203</xdr:row>
      <xdr:rowOff>66675</xdr:rowOff>
    </xdr:to>
    <xdr:sp macro="" textlink="">
      <xdr:nvSpPr>
        <xdr:cNvPr id="77" name="Стрелка вправо 76"/>
        <xdr:cNvSpPr/>
      </xdr:nvSpPr>
      <xdr:spPr>
        <a:xfrm>
          <a:off x="4076700" y="40605075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4143375</xdr:colOff>
      <xdr:row>206</xdr:row>
      <xdr:rowOff>161925</xdr:rowOff>
    </xdr:from>
    <xdr:to>
      <xdr:col>0</xdr:col>
      <xdr:colOff>5019675</xdr:colOff>
      <xdr:row>208</xdr:row>
      <xdr:rowOff>66675</xdr:rowOff>
    </xdr:to>
    <xdr:sp macro="" textlink="">
      <xdr:nvSpPr>
        <xdr:cNvPr id="78" name="Стрелка вправо 77"/>
        <xdr:cNvSpPr/>
      </xdr:nvSpPr>
      <xdr:spPr>
        <a:xfrm>
          <a:off x="4143375" y="41605200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4076700</xdr:colOff>
      <xdr:row>234</xdr:row>
      <xdr:rowOff>142875</xdr:rowOff>
    </xdr:from>
    <xdr:to>
      <xdr:col>0</xdr:col>
      <xdr:colOff>4953000</xdr:colOff>
      <xdr:row>236</xdr:row>
      <xdr:rowOff>47625</xdr:rowOff>
    </xdr:to>
    <xdr:sp macro="" textlink="">
      <xdr:nvSpPr>
        <xdr:cNvPr id="79" name="Стрелка вправо 78"/>
        <xdr:cNvSpPr/>
      </xdr:nvSpPr>
      <xdr:spPr>
        <a:xfrm>
          <a:off x="4076700" y="47186850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4000500</xdr:colOff>
      <xdr:row>248</xdr:row>
      <xdr:rowOff>161925</xdr:rowOff>
    </xdr:from>
    <xdr:to>
      <xdr:col>0</xdr:col>
      <xdr:colOff>4876800</xdr:colOff>
      <xdr:row>250</xdr:row>
      <xdr:rowOff>66675</xdr:rowOff>
    </xdr:to>
    <xdr:sp macro="" textlink="">
      <xdr:nvSpPr>
        <xdr:cNvPr id="80" name="Стрелка вправо 79"/>
        <xdr:cNvSpPr/>
      </xdr:nvSpPr>
      <xdr:spPr>
        <a:xfrm>
          <a:off x="4000500" y="50015775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396876</xdr:colOff>
      <xdr:row>107</xdr:row>
      <xdr:rowOff>155575</xdr:rowOff>
    </xdr:from>
    <xdr:to>
      <xdr:col>15</xdr:col>
      <xdr:colOff>527050</xdr:colOff>
      <xdr:row>111</xdr:row>
      <xdr:rowOff>25400</xdr:rowOff>
    </xdr:to>
    <xdr:sp macro="" textlink="">
      <xdr:nvSpPr>
        <xdr:cNvPr id="75" name="TextBox 74"/>
        <xdr:cNvSpPr txBox="1"/>
      </xdr:nvSpPr>
      <xdr:spPr>
        <a:xfrm>
          <a:off x="10607676" y="21358225"/>
          <a:ext cx="5781674" cy="657225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baseline="0">
              <a:latin typeface="Times New Roman" pitchFamily="18" charset="0"/>
              <a:cs typeface="Times New Roman" pitchFamily="18" charset="0"/>
            </a:rPr>
            <a:t>поток в газовые клапаны рассчитывается из условия обеспечения требуемого давления Т в диверторе (т.е. 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PnCp*f(T,div))</a:t>
          </a:r>
          <a:r>
            <a:rPr lang="ru-RU" sz="1200" baseline="0">
              <a:latin typeface="Times New Roman" pitchFamily="18" charset="0"/>
              <a:cs typeface="Times New Roman" pitchFamily="18" charset="0"/>
            </a:rPr>
            <a:t>, </a:t>
          </a:r>
          <a:r>
            <a:rPr lang="ru-RU" sz="1200" b="1" baseline="0">
              <a:latin typeface="Times New Roman" pitchFamily="18" charset="0"/>
              <a:cs typeface="Times New Roman" pitchFamily="18" charset="0"/>
            </a:rPr>
            <a:t>поэтому 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D</a:t>
          </a:r>
          <a:r>
            <a:rPr lang="ru-RU" sz="1200" b="1" baseline="0">
              <a:latin typeface="Times New Roman" pitchFamily="18" charset="0"/>
              <a:cs typeface="Times New Roman" pitchFamily="18" charset="0"/>
            </a:rPr>
            <a:t> должен рассчитываться аналогично!</a:t>
          </a:r>
          <a:r>
            <a:rPr lang="ru-RU" sz="1200" baseline="0">
              <a:latin typeface="Times New Roman" pitchFamily="18" charset="0"/>
              <a:cs typeface="Times New Roman" pitchFamily="18" charset="0"/>
            </a:rPr>
            <a:t> </a:t>
          </a:r>
          <a:r>
            <a:rPr lang="ru-RU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иначе парциальное давление </a:t>
          </a:r>
          <a:r>
            <a:rPr lang="en-US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D </a:t>
          </a:r>
          <a:r>
            <a:rPr lang="ru-RU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не будет получено!!!</a:t>
          </a:r>
          <a:endParaRPr lang="en-US" sz="1200" baseline="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190501</xdr:colOff>
      <xdr:row>10</xdr:row>
      <xdr:rowOff>180974</xdr:rowOff>
    </xdr:from>
    <xdr:to>
      <xdr:col>12</xdr:col>
      <xdr:colOff>171450</xdr:colOff>
      <xdr:row>13</xdr:row>
      <xdr:rowOff>107949</xdr:rowOff>
    </xdr:to>
    <xdr:sp macro="" textlink="">
      <xdr:nvSpPr>
        <xdr:cNvPr id="81" name="TextBox 80"/>
        <xdr:cNvSpPr txBox="1"/>
      </xdr:nvSpPr>
      <xdr:spPr>
        <a:xfrm>
          <a:off x="10833101" y="2238374"/>
          <a:ext cx="2298699" cy="511175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b="0" i="0" baseline="0"/>
            <a:t>значения, которые вычисляются с учетом источников!</a:t>
          </a:r>
          <a:endParaRPr lang="en-US" sz="1100" b="1" i="1" baseline="0"/>
        </a:p>
      </xdr:txBody>
    </xdr:sp>
    <xdr:clientData/>
  </xdr:twoCellAnchor>
  <xdr:twoCellAnchor>
    <xdr:from>
      <xdr:col>0</xdr:col>
      <xdr:colOff>177005</xdr:colOff>
      <xdr:row>68</xdr:row>
      <xdr:rowOff>146447</xdr:rowOff>
    </xdr:from>
    <xdr:to>
      <xdr:col>6</xdr:col>
      <xdr:colOff>114300</xdr:colOff>
      <xdr:row>71</xdr:row>
      <xdr:rowOff>47625</xdr:rowOff>
    </xdr:to>
    <xdr:sp macro="" textlink="">
      <xdr:nvSpPr>
        <xdr:cNvPr id="53" name="TextBox 52"/>
        <xdr:cNvSpPr txBox="1"/>
      </xdr:nvSpPr>
      <xdr:spPr>
        <a:xfrm>
          <a:off x="177005" y="13852922"/>
          <a:ext cx="8481220" cy="501253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fcoreT·Ncore = fdivT·Nsep+ SNBT·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τ_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 + (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100" b="0" i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pel_HFS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+ S</a:t>
          </a:r>
          <a:r>
            <a:rPr lang="en-US" sz="1100" b="0" i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pel_LFS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T)·</a:t>
          </a:r>
          <a:r>
            <a:rPr lang="el-G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τ_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pel </a:t>
          </a:r>
          <a:r>
            <a:rPr lang="en-US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– fcoreT·a∙PSOL/(3 Tped) ∙ (1–g)]∙</a:t>
          </a:r>
          <a:r>
            <a:rPr lang="el-GR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τ</a:t>
          </a:r>
          <a:r>
            <a:rPr lang="en-US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_pel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fdivT·Ssep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τ_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sep – Sfus·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τ_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</a:t>
          </a:r>
          <a:endParaRPr lang="ru-RU">
            <a:solidFill>
              <a:srgbClr val="0070C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(fcoreT·Ncore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fdivT·Nsep - SNBT·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τ_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 - fdivT·Ssep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τ_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sep + Sfus·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τ_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NB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100" b="0" i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pel_LFS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T·</a:t>
          </a:r>
          <a:r>
            <a:rPr lang="el-G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τ_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pel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+ fcoreT·a∙PSOL/(3 Tped) ∙ (1–g)]∙</a:t>
          </a:r>
          <a:r>
            <a:rPr kumimoji="0" lang="el-GR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τ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lt"/>
              <a:ea typeface="+mn-ea"/>
              <a:cs typeface="+mn-cs"/>
            </a:rPr>
            <a:t>_pel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τ_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pel = 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en-US" sz="1100" b="0" i="0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pel_HFS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</a:t>
          </a:r>
          <a:endParaRPr lang="ru-RU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0</xdr:col>
      <xdr:colOff>5038725</xdr:colOff>
      <xdr:row>71</xdr:row>
      <xdr:rowOff>152400</xdr:rowOff>
    </xdr:from>
    <xdr:to>
      <xdr:col>2</xdr:col>
      <xdr:colOff>108136</xdr:colOff>
      <xdr:row>75</xdr:row>
      <xdr:rowOff>69476</xdr:rowOff>
    </xdr:to>
    <xdr:sp macro="" textlink="">
      <xdr:nvSpPr>
        <xdr:cNvPr id="82" name="Прямоугольник 81"/>
        <xdr:cNvSpPr/>
      </xdr:nvSpPr>
      <xdr:spPr>
        <a:xfrm>
          <a:off x="5038725" y="14458950"/>
          <a:ext cx="1165411" cy="717176"/>
        </a:xfrm>
        <a:prstGeom prst="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42</xdr:row>
      <xdr:rowOff>112059</xdr:rowOff>
    </xdr:from>
    <xdr:to>
      <xdr:col>9</xdr:col>
      <xdr:colOff>324970</xdr:colOff>
      <xdr:row>49</xdr:row>
      <xdr:rowOff>67235</xdr:rowOff>
    </xdr:to>
    <xdr:sp macro="" textlink="">
      <xdr:nvSpPr>
        <xdr:cNvPr id="3" name="Дуга 2"/>
        <xdr:cNvSpPr/>
      </xdr:nvSpPr>
      <xdr:spPr>
        <a:xfrm>
          <a:off x="6286499" y="15654618"/>
          <a:ext cx="3563471" cy="1019735"/>
        </a:xfrm>
        <a:prstGeom prst="arc">
          <a:avLst>
            <a:gd name="adj1" fmla="val 16200000"/>
            <a:gd name="adj2" fmla="val 5298919"/>
          </a:avLst>
        </a:prstGeom>
        <a:ln>
          <a:solidFill>
            <a:srgbClr val="00B0F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134472</xdr:colOff>
      <xdr:row>130</xdr:row>
      <xdr:rowOff>19050</xdr:rowOff>
    </xdr:from>
    <xdr:to>
      <xdr:col>9</xdr:col>
      <xdr:colOff>391584</xdr:colOff>
      <xdr:row>139</xdr:row>
      <xdr:rowOff>0</xdr:rowOff>
    </xdr:to>
    <xdr:sp macro="" textlink="">
      <xdr:nvSpPr>
        <xdr:cNvPr id="6" name="Правая фигурная скобка 5"/>
        <xdr:cNvSpPr/>
      </xdr:nvSpPr>
      <xdr:spPr>
        <a:xfrm>
          <a:off x="10114555" y="15470717"/>
          <a:ext cx="257112" cy="1790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0</xdr:row>
      <xdr:rowOff>33618</xdr:rowOff>
    </xdr:from>
    <xdr:to>
      <xdr:col>16</xdr:col>
      <xdr:colOff>68034</xdr:colOff>
      <xdr:row>16</xdr:row>
      <xdr:rowOff>0</xdr:rowOff>
    </xdr:to>
    <xdr:sp macro="" textlink="">
      <xdr:nvSpPr>
        <xdr:cNvPr id="14" name="Прямоугольник 13"/>
        <xdr:cNvSpPr/>
      </xdr:nvSpPr>
      <xdr:spPr>
        <a:xfrm>
          <a:off x="0" y="33618"/>
          <a:ext cx="18008652" cy="267820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16</xdr:row>
      <xdr:rowOff>62565</xdr:rowOff>
    </xdr:from>
    <xdr:to>
      <xdr:col>16</xdr:col>
      <xdr:colOff>52747</xdr:colOff>
      <xdr:row>150</xdr:row>
      <xdr:rowOff>28574</xdr:rowOff>
    </xdr:to>
    <xdr:sp macro="" textlink="">
      <xdr:nvSpPr>
        <xdr:cNvPr id="15" name="Прямоугольник 14"/>
        <xdr:cNvSpPr/>
      </xdr:nvSpPr>
      <xdr:spPr>
        <a:xfrm>
          <a:off x="0" y="3367740"/>
          <a:ext cx="19083697" cy="28845809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158</xdr:row>
      <xdr:rowOff>19050</xdr:rowOff>
    </xdr:from>
    <xdr:to>
      <xdr:col>16</xdr:col>
      <xdr:colOff>54428</xdr:colOff>
      <xdr:row>177</xdr:row>
      <xdr:rowOff>17055</xdr:rowOff>
    </xdr:to>
    <xdr:sp macro="" textlink="">
      <xdr:nvSpPr>
        <xdr:cNvPr id="44" name="Прямоугольник 43"/>
        <xdr:cNvSpPr/>
      </xdr:nvSpPr>
      <xdr:spPr>
        <a:xfrm>
          <a:off x="0" y="33851850"/>
          <a:ext cx="19085378" cy="3808005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151</xdr:row>
      <xdr:rowOff>9525</xdr:rowOff>
    </xdr:from>
    <xdr:to>
      <xdr:col>16</xdr:col>
      <xdr:colOff>27214</xdr:colOff>
      <xdr:row>156</xdr:row>
      <xdr:rowOff>190500</xdr:rowOff>
    </xdr:to>
    <xdr:sp macro="" textlink="">
      <xdr:nvSpPr>
        <xdr:cNvPr id="64" name="Прямоугольник 63"/>
        <xdr:cNvSpPr/>
      </xdr:nvSpPr>
      <xdr:spPr>
        <a:xfrm>
          <a:off x="0" y="32404050"/>
          <a:ext cx="19058164" cy="1219200"/>
        </a:xfrm>
        <a:prstGeom prst="rect">
          <a:avLst/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39</xdr:row>
      <xdr:rowOff>10581</xdr:rowOff>
    </xdr:from>
    <xdr:to>
      <xdr:col>16</xdr:col>
      <xdr:colOff>0</xdr:colOff>
      <xdr:row>68</xdr:row>
      <xdr:rowOff>0</xdr:rowOff>
    </xdr:to>
    <xdr:sp macro="" textlink="">
      <xdr:nvSpPr>
        <xdr:cNvPr id="86" name="Прямоугольник 85"/>
        <xdr:cNvSpPr/>
      </xdr:nvSpPr>
      <xdr:spPr>
        <a:xfrm>
          <a:off x="0" y="7910728"/>
          <a:ext cx="19038794" cy="578286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178</xdr:row>
      <xdr:rowOff>22412</xdr:rowOff>
    </xdr:from>
    <xdr:to>
      <xdr:col>16</xdr:col>
      <xdr:colOff>27214</xdr:colOff>
      <xdr:row>192</xdr:row>
      <xdr:rowOff>190501</xdr:rowOff>
    </xdr:to>
    <xdr:sp macro="" textlink="">
      <xdr:nvSpPr>
        <xdr:cNvPr id="88" name="Прямоугольник 87"/>
        <xdr:cNvSpPr/>
      </xdr:nvSpPr>
      <xdr:spPr>
        <a:xfrm>
          <a:off x="0" y="36777706"/>
          <a:ext cx="18404861" cy="2790266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223</xdr:row>
      <xdr:rowOff>9525</xdr:rowOff>
    </xdr:from>
    <xdr:to>
      <xdr:col>16</xdr:col>
      <xdr:colOff>27214</xdr:colOff>
      <xdr:row>284</xdr:row>
      <xdr:rowOff>10585</xdr:rowOff>
    </xdr:to>
    <xdr:sp macro="" textlink="">
      <xdr:nvSpPr>
        <xdr:cNvPr id="89" name="Прямоугольник 88"/>
        <xdr:cNvSpPr/>
      </xdr:nvSpPr>
      <xdr:spPr>
        <a:xfrm>
          <a:off x="0" y="44538900"/>
          <a:ext cx="18419989" cy="1374563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324</xdr:row>
      <xdr:rowOff>0</xdr:rowOff>
    </xdr:from>
    <xdr:to>
      <xdr:col>16</xdr:col>
      <xdr:colOff>27214</xdr:colOff>
      <xdr:row>343</xdr:row>
      <xdr:rowOff>19050</xdr:rowOff>
    </xdr:to>
    <xdr:sp macro="" textlink="">
      <xdr:nvSpPr>
        <xdr:cNvPr id="98" name="Прямоугольник 97"/>
        <xdr:cNvSpPr/>
      </xdr:nvSpPr>
      <xdr:spPr>
        <a:xfrm>
          <a:off x="0" y="57816750"/>
          <a:ext cx="18419989" cy="3819525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323850</xdr:colOff>
      <xdr:row>244</xdr:row>
      <xdr:rowOff>66675</xdr:rowOff>
    </xdr:from>
    <xdr:to>
      <xdr:col>9</xdr:col>
      <xdr:colOff>542925</xdr:colOff>
      <xdr:row>246</xdr:row>
      <xdr:rowOff>161925</xdr:rowOff>
    </xdr:to>
    <xdr:sp macro="" textlink="">
      <xdr:nvSpPr>
        <xdr:cNvPr id="103" name="Правая фигурная скобка 102"/>
        <xdr:cNvSpPr/>
      </xdr:nvSpPr>
      <xdr:spPr>
        <a:xfrm>
          <a:off x="9858375" y="40757475"/>
          <a:ext cx="219075" cy="295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304800</xdr:colOff>
      <xdr:row>248</xdr:row>
      <xdr:rowOff>57150</xdr:rowOff>
    </xdr:from>
    <xdr:to>
      <xdr:col>9</xdr:col>
      <xdr:colOff>523875</xdr:colOff>
      <xdr:row>250</xdr:row>
      <xdr:rowOff>152400</xdr:rowOff>
    </xdr:to>
    <xdr:sp macro="" textlink="">
      <xdr:nvSpPr>
        <xdr:cNvPr id="104" name="Правая фигурная скобка 103"/>
        <xdr:cNvSpPr/>
      </xdr:nvSpPr>
      <xdr:spPr>
        <a:xfrm>
          <a:off x="9839325" y="41148000"/>
          <a:ext cx="219075" cy="295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285</xdr:row>
      <xdr:rowOff>14433</xdr:rowOff>
    </xdr:from>
    <xdr:to>
      <xdr:col>16</xdr:col>
      <xdr:colOff>27214</xdr:colOff>
      <xdr:row>323</xdr:row>
      <xdr:rowOff>26941</xdr:rowOff>
    </xdr:to>
    <xdr:sp macro="" textlink="">
      <xdr:nvSpPr>
        <xdr:cNvPr id="101" name="Прямоугольник 100"/>
        <xdr:cNvSpPr/>
      </xdr:nvSpPr>
      <xdr:spPr>
        <a:xfrm>
          <a:off x="0" y="42097615"/>
          <a:ext cx="18857850" cy="4723053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>
            <a:solidFill>
              <a:srgbClr val="00FF00"/>
            </a:solidFill>
          </a:endParaRPr>
        </a:p>
      </xdr:txBody>
    </xdr:sp>
    <xdr:clientData/>
  </xdr:twoCellAnchor>
  <xdr:twoCellAnchor>
    <xdr:from>
      <xdr:col>0</xdr:col>
      <xdr:colOff>0</xdr:colOff>
      <xdr:row>193</xdr:row>
      <xdr:rowOff>190499</xdr:rowOff>
    </xdr:from>
    <xdr:to>
      <xdr:col>16</xdr:col>
      <xdr:colOff>0</xdr:colOff>
      <xdr:row>222</xdr:row>
      <xdr:rowOff>4481</xdr:rowOff>
    </xdr:to>
    <xdr:sp macro="" textlink="">
      <xdr:nvSpPr>
        <xdr:cNvPr id="100" name="Прямоугольник 99"/>
        <xdr:cNvSpPr/>
      </xdr:nvSpPr>
      <xdr:spPr>
        <a:xfrm>
          <a:off x="0" y="39567970"/>
          <a:ext cx="18377647" cy="4654923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</xdr:col>
      <xdr:colOff>885825</xdr:colOff>
      <xdr:row>62</xdr:row>
      <xdr:rowOff>123825</xdr:rowOff>
    </xdr:from>
    <xdr:to>
      <xdr:col>3</xdr:col>
      <xdr:colOff>314325</xdr:colOff>
      <xdr:row>64</xdr:row>
      <xdr:rowOff>114300</xdr:rowOff>
    </xdr:to>
    <xdr:cxnSp macro="">
      <xdr:nvCxnSpPr>
        <xdr:cNvPr id="7" name="Прямая со стрелкой 6"/>
        <xdr:cNvCxnSpPr/>
      </xdr:nvCxnSpPr>
      <xdr:spPr>
        <a:xfrm flipH="1" flipV="1">
          <a:off x="5886450" y="29565600"/>
          <a:ext cx="962025" cy="390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68</xdr:row>
      <xdr:rowOff>114300</xdr:rowOff>
    </xdr:from>
    <xdr:to>
      <xdr:col>16</xdr:col>
      <xdr:colOff>0</xdr:colOff>
      <xdr:row>105</xdr:row>
      <xdr:rowOff>0</xdr:rowOff>
    </xdr:to>
    <xdr:sp macro="" textlink="">
      <xdr:nvSpPr>
        <xdr:cNvPr id="85" name="Прямоугольник 84"/>
        <xdr:cNvSpPr/>
      </xdr:nvSpPr>
      <xdr:spPr>
        <a:xfrm>
          <a:off x="0" y="13725525"/>
          <a:ext cx="19030950" cy="94107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105</xdr:row>
      <xdr:rowOff>104775</xdr:rowOff>
    </xdr:from>
    <xdr:to>
      <xdr:col>16</xdr:col>
      <xdr:colOff>0</xdr:colOff>
      <xdr:row>120</xdr:row>
      <xdr:rowOff>9525</xdr:rowOff>
    </xdr:to>
    <xdr:sp macro="" textlink="">
      <xdr:nvSpPr>
        <xdr:cNvPr id="95" name="Прямоугольник 94"/>
        <xdr:cNvSpPr/>
      </xdr:nvSpPr>
      <xdr:spPr>
        <a:xfrm>
          <a:off x="0" y="23241000"/>
          <a:ext cx="19030950" cy="290512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1000125</xdr:colOff>
      <xdr:row>30</xdr:row>
      <xdr:rowOff>133350</xdr:rowOff>
    </xdr:from>
    <xdr:to>
      <xdr:col>14</xdr:col>
      <xdr:colOff>47625</xdr:colOff>
      <xdr:row>34</xdr:row>
      <xdr:rowOff>19050</xdr:rowOff>
    </xdr:to>
    <xdr:sp macro="" textlink="">
      <xdr:nvSpPr>
        <xdr:cNvPr id="96" name="Овал 95"/>
        <xdr:cNvSpPr/>
      </xdr:nvSpPr>
      <xdr:spPr>
        <a:xfrm>
          <a:off x="13620750" y="6200775"/>
          <a:ext cx="1076325" cy="6858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5267325</xdr:colOff>
      <xdr:row>30</xdr:row>
      <xdr:rowOff>180975</xdr:rowOff>
    </xdr:from>
    <xdr:to>
      <xdr:col>2</xdr:col>
      <xdr:colOff>76200</xdr:colOff>
      <xdr:row>34</xdr:row>
      <xdr:rowOff>22974</xdr:rowOff>
    </xdr:to>
    <xdr:sp macro="" textlink="">
      <xdr:nvSpPr>
        <xdr:cNvPr id="99" name="Овал 98"/>
        <xdr:cNvSpPr/>
      </xdr:nvSpPr>
      <xdr:spPr>
        <a:xfrm>
          <a:off x="5267325" y="6267450"/>
          <a:ext cx="1076325" cy="64209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5257800</xdr:colOff>
      <xdr:row>100</xdr:row>
      <xdr:rowOff>163606</xdr:rowOff>
    </xdr:from>
    <xdr:to>
      <xdr:col>2</xdr:col>
      <xdr:colOff>66675</xdr:colOff>
      <xdr:row>104</xdr:row>
      <xdr:rowOff>18491</xdr:rowOff>
    </xdr:to>
    <xdr:sp macro="" textlink="">
      <xdr:nvSpPr>
        <xdr:cNvPr id="109" name="Овал 108"/>
        <xdr:cNvSpPr/>
      </xdr:nvSpPr>
      <xdr:spPr>
        <a:xfrm>
          <a:off x="5257800" y="22309231"/>
          <a:ext cx="1076325" cy="6454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1009650</xdr:colOff>
      <xdr:row>100</xdr:row>
      <xdr:rowOff>142875</xdr:rowOff>
    </xdr:from>
    <xdr:to>
      <xdr:col>14</xdr:col>
      <xdr:colOff>57150</xdr:colOff>
      <xdr:row>103</xdr:row>
      <xdr:rowOff>197785</xdr:rowOff>
    </xdr:to>
    <xdr:sp macro="" textlink="">
      <xdr:nvSpPr>
        <xdr:cNvPr id="113" name="Овал 112"/>
        <xdr:cNvSpPr/>
      </xdr:nvSpPr>
      <xdr:spPr>
        <a:xfrm>
          <a:off x="13630275" y="20250150"/>
          <a:ext cx="1076325" cy="65498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5241925</xdr:colOff>
      <xdr:row>115</xdr:row>
      <xdr:rowOff>180975</xdr:rowOff>
    </xdr:from>
    <xdr:to>
      <xdr:col>2</xdr:col>
      <xdr:colOff>127000</xdr:colOff>
      <xdr:row>119</xdr:row>
      <xdr:rowOff>26335</xdr:rowOff>
    </xdr:to>
    <xdr:sp macro="" textlink="">
      <xdr:nvSpPr>
        <xdr:cNvPr id="114" name="Овал 113"/>
        <xdr:cNvSpPr/>
      </xdr:nvSpPr>
      <xdr:spPr>
        <a:xfrm>
          <a:off x="5241925" y="22888575"/>
          <a:ext cx="1152525" cy="63593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65741</xdr:colOff>
      <xdr:row>139</xdr:row>
      <xdr:rowOff>107015</xdr:rowOff>
    </xdr:from>
    <xdr:to>
      <xdr:col>13</xdr:col>
      <xdr:colOff>942976</xdr:colOff>
      <xdr:row>143</xdr:row>
      <xdr:rowOff>107016</xdr:rowOff>
    </xdr:to>
    <xdr:sp macro="" textlink="">
      <xdr:nvSpPr>
        <xdr:cNvPr id="125" name="Овал 124"/>
        <xdr:cNvSpPr/>
      </xdr:nvSpPr>
      <xdr:spPr>
        <a:xfrm>
          <a:off x="13743641" y="31491890"/>
          <a:ext cx="877235" cy="8001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8</xdr:col>
      <xdr:colOff>313391</xdr:colOff>
      <xdr:row>139</xdr:row>
      <xdr:rowOff>116540</xdr:rowOff>
    </xdr:from>
    <xdr:to>
      <xdr:col>10</xdr:col>
      <xdr:colOff>47626</xdr:colOff>
      <xdr:row>143</xdr:row>
      <xdr:rowOff>116541</xdr:rowOff>
    </xdr:to>
    <xdr:sp macro="" textlink="">
      <xdr:nvSpPr>
        <xdr:cNvPr id="128" name="Овал 127"/>
        <xdr:cNvSpPr/>
      </xdr:nvSpPr>
      <xdr:spPr>
        <a:xfrm>
          <a:off x="10276541" y="30901340"/>
          <a:ext cx="877235" cy="8001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</xdr:col>
      <xdr:colOff>352425</xdr:colOff>
      <xdr:row>124</xdr:row>
      <xdr:rowOff>171450</xdr:rowOff>
    </xdr:from>
    <xdr:to>
      <xdr:col>5</xdr:col>
      <xdr:colOff>58085</xdr:colOff>
      <xdr:row>128</xdr:row>
      <xdr:rowOff>114301</xdr:rowOff>
    </xdr:to>
    <xdr:sp macro="" textlink="">
      <xdr:nvSpPr>
        <xdr:cNvPr id="131" name="Овал 130"/>
        <xdr:cNvSpPr/>
      </xdr:nvSpPr>
      <xdr:spPr>
        <a:xfrm>
          <a:off x="7181850" y="27679650"/>
          <a:ext cx="877235" cy="80010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5</xdr:col>
      <xdr:colOff>47625</xdr:colOff>
      <xdr:row>128</xdr:row>
      <xdr:rowOff>114300</xdr:rowOff>
    </xdr:from>
    <xdr:to>
      <xdr:col>8</xdr:col>
      <xdr:colOff>342900</xdr:colOff>
      <xdr:row>140</xdr:row>
      <xdr:rowOff>171450</xdr:rowOff>
    </xdr:to>
    <xdr:cxnSp macro="">
      <xdr:nvCxnSpPr>
        <xdr:cNvPr id="132" name="Прямая со стрелкой 131"/>
        <xdr:cNvCxnSpPr/>
      </xdr:nvCxnSpPr>
      <xdr:spPr>
        <a:xfrm>
          <a:off x="8048625" y="28479750"/>
          <a:ext cx="2257425" cy="2476500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143</xdr:row>
      <xdr:rowOff>85725</xdr:rowOff>
    </xdr:from>
    <xdr:to>
      <xdr:col>13</xdr:col>
      <xdr:colOff>238125</xdr:colOff>
      <xdr:row>143</xdr:row>
      <xdr:rowOff>123825</xdr:rowOff>
    </xdr:to>
    <xdr:cxnSp macro="">
      <xdr:nvCxnSpPr>
        <xdr:cNvPr id="134" name="Прямая со стрелкой 133"/>
        <xdr:cNvCxnSpPr/>
      </xdr:nvCxnSpPr>
      <xdr:spPr>
        <a:xfrm>
          <a:off x="11020425" y="29460825"/>
          <a:ext cx="2895600" cy="38100"/>
        </a:xfrm>
        <a:prstGeom prst="straightConnector1">
          <a:avLst/>
        </a:prstGeom>
        <a:ln w="1905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30442</xdr:colOff>
      <xdr:row>152</xdr:row>
      <xdr:rowOff>73397</xdr:rowOff>
    </xdr:from>
    <xdr:to>
      <xdr:col>13</xdr:col>
      <xdr:colOff>907677</xdr:colOff>
      <xdr:row>156</xdr:row>
      <xdr:rowOff>73398</xdr:rowOff>
    </xdr:to>
    <xdr:sp macro="" textlink="">
      <xdr:nvSpPr>
        <xdr:cNvPr id="136" name="Овал 135"/>
        <xdr:cNvSpPr/>
      </xdr:nvSpPr>
      <xdr:spPr>
        <a:xfrm>
          <a:off x="13603567" y="32696522"/>
          <a:ext cx="877235" cy="800101"/>
        </a:xfrm>
        <a:prstGeom prst="ellipse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323850</xdr:colOff>
      <xdr:row>244</xdr:row>
      <xdr:rowOff>66675</xdr:rowOff>
    </xdr:from>
    <xdr:to>
      <xdr:col>9</xdr:col>
      <xdr:colOff>542925</xdr:colOff>
      <xdr:row>246</xdr:row>
      <xdr:rowOff>161925</xdr:rowOff>
    </xdr:to>
    <xdr:sp macro="" textlink="">
      <xdr:nvSpPr>
        <xdr:cNvPr id="108" name="Правая фигурная скобка 107"/>
        <xdr:cNvSpPr/>
      </xdr:nvSpPr>
      <xdr:spPr>
        <a:xfrm>
          <a:off x="10687050" y="52682775"/>
          <a:ext cx="219075" cy="4953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304800</xdr:colOff>
      <xdr:row>248</xdr:row>
      <xdr:rowOff>57150</xdr:rowOff>
    </xdr:from>
    <xdr:to>
      <xdr:col>9</xdr:col>
      <xdr:colOff>523875</xdr:colOff>
      <xdr:row>250</xdr:row>
      <xdr:rowOff>152400</xdr:rowOff>
    </xdr:to>
    <xdr:sp macro="" textlink="">
      <xdr:nvSpPr>
        <xdr:cNvPr id="110" name="Правая фигурная скобка 109"/>
        <xdr:cNvSpPr/>
      </xdr:nvSpPr>
      <xdr:spPr>
        <a:xfrm>
          <a:off x="10668000" y="53473350"/>
          <a:ext cx="219075" cy="4953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5</xdr:col>
      <xdr:colOff>528357</xdr:colOff>
      <xdr:row>268</xdr:row>
      <xdr:rowOff>199838</xdr:rowOff>
    </xdr:from>
    <xdr:to>
      <xdr:col>12</xdr:col>
      <xdr:colOff>903288</xdr:colOff>
      <xdr:row>269</xdr:row>
      <xdr:rowOff>6350</xdr:rowOff>
    </xdr:to>
    <xdr:cxnSp macro="">
      <xdr:nvCxnSpPr>
        <xdr:cNvPr id="161" name="Прямая со стрелкой 160"/>
        <xdr:cNvCxnSpPr/>
      </xdr:nvCxnSpPr>
      <xdr:spPr>
        <a:xfrm flipH="1" flipV="1">
          <a:off x="8529357" y="52825463"/>
          <a:ext cx="4994556" cy="6537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5400675</xdr:colOff>
      <xdr:row>13</xdr:row>
      <xdr:rowOff>174625</xdr:rowOff>
    </xdr:from>
    <xdr:to>
      <xdr:col>2</xdr:col>
      <xdr:colOff>209550</xdr:colOff>
      <xdr:row>15</xdr:row>
      <xdr:rowOff>41687</xdr:rowOff>
    </xdr:to>
    <xdr:sp macro="" textlink="">
      <xdr:nvSpPr>
        <xdr:cNvPr id="182" name="Овал 181"/>
        <xdr:cNvSpPr/>
      </xdr:nvSpPr>
      <xdr:spPr>
        <a:xfrm>
          <a:off x="5400675" y="2765425"/>
          <a:ext cx="1374775" cy="29251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7</xdr:col>
      <xdr:colOff>457202</xdr:colOff>
      <xdr:row>109</xdr:row>
      <xdr:rowOff>85724</xdr:rowOff>
    </xdr:from>
    <xdr:to>
      <xdr:col>9</xdr:col>
      <xdr:colOff>476250</xdr:colOff>
      <xdr:row>121</xdr:row>
      <xdr:rowOff>47625</xdr:rowOff>
    </xdr:to>
    <xdr:sp macro="" textlink="">
      <xdr:nvSpPr>
        <xdr:cNvPr id="196" name="Дуга 195"/>
        <xdr:cNvSpPr/>
      </xdr:nvSpPr>
      <xdr:spPr>
        <a:xfrm>
          <a:off x="9544052" y="21593174"/>
          <a:ext cx="1295398" cy="2352676"/>
        </a:xfrm>
        <a:prstGeom prst="arc">
          <a:avLst>
            <a:gd name="adj1" fmla="val 16208001"/>
            <a:gd name="adj2" fmla="val 610787"/>
          </a:avLst>
        </a:prstGeom>
        <a:ln>
          <a:solidFill>
            <a:srgbClr val="FF00FF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600075</xdr:colOff>
      <xdr:row>45</xdr:row>
      <xdr:rowOff>152400</xdr:rowOff>
    </xdr:from>
    <xdr:to>
      <xdr:col>14</xdr:col>
      <xdr:colOff>762000</xdr:colOff>
      <xdr:row>50</xdr:row>
      <xdr:rowOff>28575</xdr:rowOff>
    </xdr:to>
    <xdr:sp macro="" textlink="">
      <xdr:nvSpPr>
        <xdr:cNvPr id="197" name="Правая фигурная скобка 196"/>
        <xdr:cNvSpPr/>
      </xdr:nvSpPr>
      <xdr:spPr>
        <a:xfrm>
          <a:off x="15249525" y="9248775"/>
          <a:ext cx="161925" cy="8763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752474</xdr:colOff>
      <xdr:row>90</xdr:row>
      <xdr:rowOff>114300</xdr:rowOff>
    </xdr:from>
    <xdr:to>
      <xdr:col>15</xdr:col>
      <xdr:colOff>3390899</xdr:colOff>
      <xdr:row>92</xdr:row>
      <xdr:rowOff>180976</xdr:rowOff>
    </xdr:to>
    <xdr:sp macro="" textlink="">
      <xdr:nvSpPr>
        <xdr:cNvPr id="45" name="TextBox 44"/>
        <xdr:cNvSpPr txBox="1"/>
      </xdr:nvSpPr>
      <xdr:spPr>
        <a:xfrm>
          <a:off x="12592049" y="18249900"/>
          <a:ext cx="6276975" cy="466726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baseline="0">
              <a:latin typeface="Times New Roman" pitchFamily="18" charset="0"/>
              <a:cs typeface="Times New Roman" pitchFamily="18" charset="0"/>
            </a:rPr>
            <a:t>в плазму поступает ОДИНАКОВОЕ количество 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D </a:t>
          </a:r>
          <a:r>
            <a:rPr lang="ru-RU" sz="1200" baseline="0">
              <a:latin typeface="Times New Roman" pitchFamily="18" charset="0"/>
              <a:cs typeface="Times New Roman" pitchFamily="18" charset="0"/>
            </a:rPr>
            <a:t>и Т, однако за счет отличных значений 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k(pellet)HFS</a:t>
          </a:r>
          <a:r>
            <a:rPr lang="ru-RU" sz="1200" baseline="0">
              <a:latin typeface="Times New Roman" pitchFamily="18" charset="0"/>
              <a:cs typeface="Times New Roman" pitchFamily="18" charset="0"/>
            </a:rPr>
            <a:t> и 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k(pellet)LFS</a:t>
          </a:r>
          <a:r>
            <a:rPr lang="ru-RU" sz="1200" baseline="0">
              <a:latin typeface="Times New Roman" pitchFamily="18" charset="0"/>
              <a:cs typeface="Times New Roman" pitchFamily="18" charset="0"/>
            </a:rPr>
            <a:t> в вакуумную камеру поступают РАЗЛИЧНЫЕ потоки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D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</a:rPr>
            <a:t>и Т</a:t>
          </a:r>
          <a:endParaRPr lang="en-US" sz="1200" baseline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12</xdr:col>
      <xdr:colOff>0</xdr:colOff>
      <xdr:row>251</xdr:row>
      <xdr:rowOff>171450</xdr:rowOff>
    </xdr:from>
    <xdr:to>
      <xdr:col>12</xdr:col>
      <xdr:colOff>1024031</xdr:colOff>
      <xdr:row>255</xdr:row>
      <xdr:rowOff>78999</xdr:rowOff>
    </xdr:to>
    <xdr:sp macro="" textlink="">
      <xdr:nvSpPr>
        <xdr:cNvPr id="46" name="Овал 45"/>
        <xdr:cNvSpPr/>
      </xdr:nvSpPr>
      <xdr:spPr>
        <a:xfrm>
          <a:off x="12620625" y="49396650"/>
          <a:ext cx="1024031" cy="707649"/>
        </a:xfrm>
        <a:prstGeom prst="ellipse">
          <a:avLst/>
        </a:prstGeom>
        <a:noFill/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4999130</xdr:colOff>
      <xdr:row>139</xdr:row>
      <xdr:rowOff>133908</xdr:rowOff>
    </xdr:from>
    <xdr:to>
      <xdr:col>2</xdr:col>
      <xdr:colOff>150905</xdr:colOff>
      <xdr:row>143</xdr:row>
      <xdr:rowOff>133908</xdr:rowOff>
    </xdr:to>
    <xdr:sp macro="" textlink="">
      <xdr:nvSpPr>
        <xdr:cNvPr id="47" name="Овал 46"/>
        <xdr:cNvSpPr/>
      </xdr:nvSpPr>
      <xdr:spPr>
        <a:xfrm>
          <a:off x="4999130" y="28727958"/>
          <a:ext cx="1247775" cy="8001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9525</xdr:colOff>
      <xdr:row>259</xdr:row>
      <xdr:rowOff>133350</xdr:rowOff>
    </xdr:from>
    <xdr:to>
      <xdr:col>15</xdr:col>
      <xdr:colOff>123825</xdr:colOff>
      <xdr:row>266</xdr:row>
      <xdr:rowOff>133350</xdr:rowOff>
    </xdr:to>
    <xdr:sp macro="" textlink="">
      <xdr:nvSpPr>
        <xdr:cNvPr id="50" name="TextBox 49"/>
        <xdr:cNvSpPr txBox="1"/>
      </xdr:nvSpPr>
      <xdr:spPr>
        <a:xfrm>
          <a:off x="12630150" y="52158900"/>
          <a:ext cx="2971800" cy="1400175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= -</a:t>
          </a:r>
          <a:r>
            <a:rPr lang="ru-RU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(B251-B247)+B275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= -</a:t>
          </a:r>
          <a:r>
            <a:rPr lang="ru-RU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(вход-выход)+потери</a:t>
          </a:r>
          <a:endParaRPr lang="ru-RU" sz="12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=</a:t>
          </a:r>
          <a:r>
            <a:rPr lang="ru-RU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- (</a:t>
          </a:r>
          <a:r>
            <a:rPr lang="en-US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Nfcleanup</a:t>
          </a:r>
          <a:r>
            <a:rPr lang="ru-RU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-</a:t>
          </a:r>
          <a:r>
            <a:rPr lang="en-US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Nnbi</a:t>
          </a:r>
          <a:r>
            <a:rPr lang="ru-RU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-</a:t>
          </a:r>
          <a:r>
            <a:rPr lang="en-US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Ngasp</a:t>
          </a:r>
          <a:r>
            <a:rPr lang="ru-RU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-</a:t>
          </a:r>
          <a:r>
            <a:rPr lang="en-US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Npellet</a:t>
          </a:r>
          <a:r>
            <a:rPr lang="ru-RU" sz="12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)+потери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= - (то что получено при откачке </a:t>
          </a:r>
          <a:r>
            <a:rPr lang="en-US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VV</a:t>
          </a:r>
          <a:r>
            <a:rPr lang="ru-RU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- то что отправлено в системы инжекции)+потери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поскольку оборот топлива учитывает горение, результат </a:t>
          </a:r>
          <a:r>
            <a:rPr lang="en-US" sz="11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(</a:t>
          </a:r>
          <a:r>
            <a:rPr lang="ru-RU" sz="11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вход-выход</a:t>
          </a:r>
          <a:r>
            <a:rPr lang="en-US" sz="11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) &lt; 0 -</a:t>
          </a:r>
          <a:r>
            <a:rPr lang="ru-RU" sz="110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поэтому с "-"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723900</xdr:colOff>
      <xdr:row>247</xdr:row>
      <xdr:rowOff>190500</xdr:rowOff>
    </xdr:from>
    <xdr:to>
      <xdr:col>11</xdr:col>
      <xdr:colOff>771525</xdr:colOff>
      <xdr:row>251</xdr:row>
      <xdr:rowOff>9525</xdr:rowOff>
    </xdr:to>
    <xdr:sp macro="" textlink="">
      <xdr:nvSpPr>
        <xdr:cNvPr id="52" name="Прямоугольник 51"/>
        <xdr:cNvSpPr/>
      </xdr:nvSpPr>
      <xdr:spPr>
        <a:xfrm>
          <a:off x="11830050" y="49815750"/>
          <a:ext cx="781050" cy="619125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733425</xdr:colOff>
      <xdr:row>252</xdr:row>
      <xdr:rowOff>180975</xdr:rowOff>
    </xdr:from>
    <xdr:to>
      <xdr:col>11</xdr:col>
      <xdr:colOff>9525</xdr:colOff>
      <xdr:row>255</xdr:row>
      <xdr:rowOff>9525</xdr:rowOff>
    </xdr:to>
    <xdr:sp macro="" textlink="">
      <xdr:nvSpPr>
        <xdr:cNvPr id="53" name="Прямоугольник 52"/>
        <xdr:cNvSpPr/>
      </xdr:nvSpPr>
      <xdr:spPr>
        <a:xfrm>
          <a:off x="11096625" y="50806350"/>
          <a:ext cx="752475" cy="428625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3943350</xdr:colOff>
      <xdr:row>61</xdr:row>
      <xdr:rowOff>180976</xdr:rowOff>
    </xdr:from>
    <xdr:to>
      <xdr:col>0</xdr:col>
      <xdr:colOff>5010150</xdr:colOff>
      <xdr:row>64</xdr:row>
      <xdr:rowOff>1</xdr:rowOff>
    </xdr:to>
    <xdr:sp macro="" textlink="">
      <xdr:nvSpPr>
        <xdr:cNvPr id="54" name="Стрелка вправо 53"/>
        <xdr:cNvSpPr/>
      </xdr:nvSpPr>
      <xdr:spPr>
        <a:xfrm>
          <a:off x="3943350" y="12515851"/>
          <a:ext cx="1066800" cy="419100"/>
        </a:xfrm>
        <a:prstGeom prst="rightArrow">
          <a:avLst/>
        </a:prstGeom>
        <a:solidFill>
          <a:srgbClr val="00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0</xdr:colOff>
      <xdr:row>252</xdr:row>
      <xdr:rowOff>190500</xdr:rowOff>
    </xdr:from>
    <xdr:to>
      <xdr:col>2</xdr:col>
      <xdr:colOff>9525</xdr:colOff>
      <xdr:row>255</xdr:row>
      <xdr:rowOff>19050</xdr:rowOff>
    </xdr:to>
    <xdr:sp macro="" textlink="">
      <xdr:nvSpPr>
        <xdr:cNvPr id="55" name="Прямоугольник 54"/>
        <xdr:cNvSpPr/>
      </xdr:nvSpPr>
      <xdr:spPr>
        <a:xfrm>
          <a:off x="5295900" y="50815875"/>
          <a:ext cx="981075" cy="428625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0</xdr:colOff>
      <xdr:row>257</xdr:row>
      <xdr:rowOff>190500</xdr:rowOff>
    </xdr:from>
    <xdr:to>
      <xdr:col>2</xdr:col>
      <xdr:colOff>9525</xdr:colOff>
      <xdr:row>260</xdr:row>
      <xdr:rowOff>19050</xdr:rowOff>
    </xdr:to>
    <xdr:sp macro="" textlink="">
      <xdr:nvSpPr>
        <xdr:cNvPr id="56" name="Прямоугольник 55"/>
        <xdr:cNvSpPr/>
      </xdr:nvSpPr>
      <xdr:spPr>
        <a:xfrm>
          <a:off x="5295900" y="51615975"/>
          <a:ext cx="981075" cy="428625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9525</xdr:colOff>
      <xdr:row>261</xdr:row>
      <xdr:rowOff>190500</xdr:rowOff>
    </xdr:from>
    <xdr:to>
      <xdr:col>2</xdr:col>
      <xdr:colOff>0</xdr:colOff>
      <xdr:row>264</xdr:row>
      <xdr:rowOff>0</xdr:rowOff>
    </xdr:to>
    <xdr:sp macro="" textlink="">
      <xdr:nvSpPr>
        <xdr:cNvPr id="57" name="Прямоугольник 56"/>
        <xdr:cNvSpPr/>
      </xdr:nvSpPr>
      <xdr:spPr>
        <a:xfrm>
          <a:off x="5305425" y="52616100"/>
          <a:ext cx="962025" cy="409575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371476</xdr:colOff>
      <xdr:row>262</xdr:row>
      <xdr:rowOff>9525</xdr:rowOff>
    </xdr:from>
    <xdr:to>
      <xdr:col>5</xdr:col>
      <xdr:colOff>1</xdr:colOff>
      <xdr:row>264</xdr:row>
      <xdr:rowOff>0</xdr:rowOff>
    </xdr:to>
    <xdr:sp macro="" textlink="">
      <xdr:nvSpPr>
        <xdr:cNvPr id="58" name="Прямоугольник 57"/>
        <xdr:cNvSpPr/>
      </xdr:nvSpPr>
      <xdr:spPr>
        <a:xfrm>
          <a:off x="7200901" y="52635150"/>
          <a:ext cx="800100" cy="390525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885825</xdr:colOff>
      <xdr:row>250</xdr:row>
      <xdr:rowOff>180975</xdr:rowOff>
    </xdr:from>
    <xdr:to>
      <xdr:col>10</xdr:col>
      <xdr:colOff>685800</xdr:colOff>
      <xdr:row>257</xdr:row>
      <xdr:rowOff>76200</xdr:rowOff>
    </xdr:to>
    <xdr:cxnSp macro="">
      <xdr:nvCxnSpPr>
        <xdr:cNvPr id="60" name="Прямая со стрелкой 59"/>
        <xdr:cNvCxnSpPr/>
      </xdr:nvCxnSpPr>
      <xdr:spPr>
        <a:xfrm flipH="1">
          <a:off x="6181725" y="50406300"/>
          <a:ext cx="5610225" cy="1295400"/>
        </a:xfrm>
        <a:prstGeom prst="straightConnector1">
          <a:avLst/>
        </a:prstGeom>
        <a:ln>
          <a:solidFill>
            <a:srgbClr val="00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254</xdr:row>
      <xdr:rowOff>19050</xdr:rowOff>
    </xdr:from>
    <xdr:to>
      <xdr:col>9</xdr:col>
      <xdr:colOff>647700</xdr:colOff>
      <xdr:row>257</xdr:row>
      <xdr:rowOff>114300</xdr:rowOff>
    </xdr:to>
    <xdr:cxnSp macro="">
      <xdr:nvCxnSpPr>
        <xdr:cNvPr id="61" name="Прямая со стрелкой 60"/>
        <xdr:cNvCxnSpPr/>
      </xdr:nvCxnSpPr>
      <xdr:spPr>
        <a:xfrm flipH="1">
          <a:off x="6467475" y="51044475"/>
          <a:ext cx="4543425" cy="695325"/>
        </a:xfrm>
        <a:prstGeom prst="straightConnector1">
          <a:avLst/>
        </a:prstGeom>
        <a:ln>
          <a:solidFill>
            <a:srgbClr val="00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247</xdr:row>
      <xdr:rowOff>57150</xdr:rowOff>
    </xdr:from>
    <xdr:to>
      <xdr:col>14</xdr:col>
      <xdr:colOff>466724</xdr:colOff>
      <xdr:row>250</xdr:row>
      <xdr:rowOff>190500</xdr:rowOff>
    </xdr:to>
    <xdr:sp macro="" textlink="">
      <xdr:nvSpPr>
        <xdr:cNvPr id="65" name="TextBox 64"/>
        <xdr:cNvSpPr txBox="1"/>
      </xdr:nvSpPr>
      <xdr:spPr>
        <a:xfrm>
          <a:off x="13782675" y="49682400"/>
          <a:ext cx="1333499" cy="733425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050">
              <a:latin typeface="Times New Roman" pitchFamily="18" charset="0"/>
              <a:cs typeface="Times New Roman" pitchFamily="18" charset="0"/>
            </a:rPr>
            <a:t>отрицательный</a:t>
          </a:r>
          <a:r>
            <a:rPr lang="ru-RU" sz="1050" baseline="0">
              <a:latin typeface="Times New Roman" pitchFamily="18" charset="0"/>
              <a:cs typeface="Times New Roman" pitchFamily="18" charset="0"/>
            </a:rPr>
            <a:t> результат - за счет натекания газа из инжекторов</a:t>
          </a:r>
          <a:endParaRPr lang="ru-RU" sz="105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723900</xdr:colOff>
      <xdr:row>257</xdr:row>
      <xdr:rowOff>190500</xdr:rowOff>
    </xdr:from>
    <xdr:to>
      <xdr:col>11</xdr:col>
      <xdr:colOff>0</xdr:colOff>
      <xdr:row>260</xdr:row>
      <xdr:rowOff>19050</xdr:rowOff>
    </xdr:to>
    <xdr:sp macro="" textlink="">
      <xdr:nvSpPr>
        <xdr:cNvPr id="59" name="Прямоугольник 58"/>
        <xdr:cNvSpPr/>
      </xdr:nvSpPr>
      <xdr:spPr>
        <a:xfrm>
          <a:off x="11087100" y="51816000"/>
          <a:ext cx="752475" cy="428625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4286250</xdr:colOff>
      <xdr:row>32</xdr:row>
      <xdr:rowOff>0</xdr:rowOff>
    </xdr:from>
    <xdr:to>
      <xdr:col>0</xdr:col>
      <xdr:colOff>5162550</xdr:colOff>
      <xdr:row>33</xdr:row>
      <xdr:rowOff>104775</xdr:rowOff>
    </xdr:to>
    <xdr:sp macro="" textlink="">
      <xdr:nvSpPr>
        <xdr:cNvPr id="62" name="Стрелка вправо 61"/>
        <xdr:cNvSpPr/>
      </xdr:nvSpPr>
      <xdr:spPr>
        <a:xfrm>
          <a:off x="4286250" y="6505575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4305300</xdr:colOff>
      <xdr:row>47</xdr:row>
      <xdr:rowOff>9525</xdr:rowOff>
    </xdr:from>
    <xdr:to>
      <xdr:col>0</xdr:col>
      <xdr:colOff>5181600</xdr:colOff>
      <xdr:row>48</xdr:row>
      <xdr:rowOff>114300</xdr:rowOff>
    </xdr:to>
    <xdr:sp macro="" textlink="">
      <xdr:nvSpPr>
        <xdr:cNvPr id="63" name="Стрелка вправо 62"/>
        <xdr:cNvSpPr/>
      </xdr:nvSpPr>
      <xdr:spPr>
        <a:xfrm>
          <a:off x="4305300" y="9505950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4286250</xdr:colOff>
      <xdr:row>50</xdr:row>
      <xdr:rowOff>47625</xdr:rowOff>
    </xdr:from>
    <xdr:to>
      <xdr:col>0</xdr:col>
      <xdr:colOff>5162550</xdr:colOff>
      <xdr:row>51</xdr:row>
      <xdr:rowOff>152400</xdr:rowOff>
    </xdr:to>
    <xdr:sp macro="" textlink="">
      <xdr:nvSpPr>
        <xdr:cNvPr id="66" name="Стрелка вправо 65"/>
        <xdr:cNvSpPr/>
      </xdr:nvSpPr>
      <xdr:spPr>
        <a:xfrm>
          <a:off x="4286250" y="10144125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4124325</xdr:colOff>
      <xdr:row>60</xdr:row>
      <xdr:rowOff>228600</xdr:rowOff>
    </xdr:from>
    <xdr:to>
      <xdr:col>0</xdr:col>
      <xdr:colOff>5000625</xdr:colOff>
      <xdr:row>62</xdr:row>
      <xdr:rowOff>95250</xdr:rowOff>
    </xdr:to>
    <xdr:sp macro="" textlink="">
      <xdr:nvSpPr>
        <xdr:cNvPr id="67" name="Стрелка вправо 66"/>
        <xdr:cNvSpPr/>
      </xdr:nvSpPr>
      <xdr:spPr>
        <a:xfrm>
          <a:off x="4124325" y="12325350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4286250</xdr:colOff>
      <xdr:row>173</xdr:row>
      <xdr:rowOff>142875</xdr:rowOff>
    </xdr:from>
    <xdr:to>
      <xdr:col>0</xdr:col>
      <xdr:colOff>5162550</xdr:colOff>
      <xdr:row>175</xdr:row>
      <xdr:rowOff>47625</xdr:rowOff>
    </xdr:to>
    <xdr:sp macro="" textlink="">
      <xdr:nvSpPr>
        <xdr:cNvPr id="68" name="Стрелка вправо 67"/>
        <xdr:cNvSpPr/>
      </xdr:nvSpPr>
      <xdr:spPr>
        <a:xfrm>
          <a:off x="4286250" y="34966275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0</xdr:col>
      <xdr:colOff>4219575</xdr:colOff>
      <xdr:row>234</xdr:row>
      <xdr:rowOff>180975</xdr:rowOff>
    </xdr:from>
    <xdr:to>
      <xdr:col>0</xdr:col>
      <xdr:colOff>5095875</xdr:colOff>
      <xdr:row>236</xdr:row>
      <xdr:rowOff>85725</xdr:rowOff>
    </xdr:to>
    <xdr:sp macro="" textlink="">
      <xdr:nvSpPr>
        <xdr:cNvPr id="69" name="Стрелка вправо 68"/>
        <xdr:cNvSpPr/>
      </xdr:nvSpPr>
      <xdr:spPr>
        <a:xfrm>
          <a:off x="4219575" y="47205900"/>
          <a:ext cx="876300" cy="304800"/>
        </a:xfrm>
        <a:prstGeom prst="rightArrow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10</xdr:col>
      <xdr:colOff>0</xdr:colOff>
      <xdr:row>109</xdr:row>
      <xdr:rowOff>95250</xdr:rowOff>
    </xdr:from>
    <xdr:to>
      <xdr:col>15</xdr:col>
      <xdr:colOff>1171574</xdr:colOff>
      <xdr:row>112</xdr:row>
      <xdr:rowOff>123825</xdr:rowOff>
    </xdr:to>
    <xdr:sp macro="" textlink="">
      <xdr:nvSpPr>
        <xdr:cNvPr id="70" name="TextBox 69"/>
        <xdr:cNvSpPr txBox="1"/>
      </xdr:nvSpPr>
      <xdr:spPr>
        <a:xfrm>
          <a:off x="11106150" y="21964650"/>
          <a:ext cx="5543549" cy="62865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baseline="0">
              <a:latin typeface="Times New Roman" pitchFamily="18" charset="0"/>
              <a:cs typeface="Times New Roman" pitchFamily="18" charset="0"/>
            </a:rPr>
            <a:t>поток в газовые клапаны рассчитывается из условия обеспечения требуемого давления Т в диверторе (т.е. </a:t>
          </a:r>
          <a:r>
            <a:rPr lang="en-US" sz="1200" baseline="0">
              <a:latin typeface="Times New Roman" pitchFamily="18" charset="0"/>
              <a:cs typeface="Times New Roman" pitchFamily="18" charset="0"/>
            </a:rPr>
            <a:t>PnCp*f(T,div))</a:t>
          </a:r>
          <a:r>
            <a:rPr lang="ru-RU" sz="1200" baseline="0">
              <a:latin typeface="Times New Roman" pitchFamily="18" charset="0"/>
              <a:cs typeface="Times New Roman" pitchFamily="18" charset="0"/>
            </a:rPr>
            <a:t>, </a:t>
          </a:r>
          <a:r>
            <a:rPr lang="ru-RU" sz="1200" b="1" baseline="0">
              <a:latin typeface="Times New Roman" pitchFamily="18" charset="0"/>
              <a:cs typeface="Times New Roman" pitchFamily="18" charset="0"/>
            </a:rPr>
            <a:t>поэтому 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D</a:t>
          </a:r>
          <a:r>
            <a:rPr lang="ru-RU" sz="1200" b="1" baseline="0">
              <a:latin typeface="Times New Roman" pitchFamily="18" charset="0"/>
              <a:cs typeface="Times New Roman" pitchFamily="18" charset="0"/>
            </a:rPr>
            <a:t> должен рассчитываться аналогично!</a:t>
          </a:r>
          <a:r>
            <a:rPr lang="ru-RU" sz="1200" baseline="0">
              <a:latin typeface="Times New Roman" pitchFamily="18" charset="0"/>
              <a:cs typeface="Times New Roman" pitchFamily="18" charset="0"/>
            </a:rPr>
            <a:t> </a:t>
          </a:r>
          <a:r>
            <a:rPr lang="ru-RU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иначе парциальное давление </a:t>
          </a:r>
          <a:r>
            <a:rPr lang="en-US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D </a:t>
          </a:r>
          <a:r>
            <a:rPr lang="ru-RU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не будет получено!!!</a:t>
          </a:r>
          <a:endParaRPr lang="en-US" sz="1200" baseline="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5199530</xdr:colOff>
      <xdr:row>71</xdr:row>
      <xdr:rowOff>134471</xdr:rowOff>
    </xdr:from>
    <xdr:to>
      <xdr:col>2</xdr:col>
      <xdr:colOff>89647</xdr:colOff>
      <xdr:row>75</xdr:row>
      <xdr:rowOff>44823</xdr:rowOff>
    </xdr:to>
    <xdr:sp macro="" textlink="">
      <xdr:nvSpPr>
        <xdr:cNvPr id="71" name="Прямоугольник 70"/>
        <xdr:cNvSpPr/>
      </xdr:nvSpPr>
      <xdr:spPr>
        <a:xfrm>
          <a:off x="5199530" y="14500412"/>
          <a:ext cx="1165411" cy="717176"/>
        </a:xfrm>
        <a:prstGeom prst="rect">
          <a:avLst/>
        </a:prstGeom>
        <a:noFill/>
        <a:ln w="571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33616</xdr:rowOff>
    </xdr:from>
    <xdr:to>
      <xdr:col>16</xdr:col>
      <xdr:colOff>68034</xdr:colOff>
      <xdr:row>12</xdr:row>
      <xdr:rowOff>190499</xdr:rowOff>
    </xdr:to>
    <xdr:sp macro="" textlink="">
      <xdr:nvSpPr>
        <xdr:cNvPr id="79" name="Прямоугольник 78"/>
        <xdr:cNvSpPr/>
      </xdr:nvSpPr>
      <xdr:spPr>
        <a:xfrm>
          <a:off x="0" y="33616"/>
          <a:ext cx="18022659" cy="2671483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153</xdr:row>
      <xdr:rowOff>190499</xdr:rowOff>
    </xdr:from>
    <xdr:to>
      <xdr:col>16</xdr:col>
      <xdr:colOff>11206</xdr:colOff>
      <xdr:row>175</xdr:row>
      <xdr:rowOff>201705</xdr:rowOff>
    </xdr:to>
    <xdr:sp macro="" textlink="">
      <xdr:nvSpPr>
        <xdr:cNvPr id="105" name="Прямоугольник 104"/>
        <xdr:cNvSpPr/>
      </xdr:nvSpPr>
      <xdr:spPr>
        <a:xfrm>
          <a:off x="0" y="32104852"/>
          <a:ext cx="18433677" cy="4448735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101</xdr:row>
      <xdr:rowOff>9525</xdr:rowOff>
    </xdr:from>
    <xdr:to>
      <xdr:col>16</xdr:col>
      <xdr:colOff>27214</xdr:colOff>
      <xdr:row>108</xdr:row>
      <xdr:rowOff>21166</xdr:rowOff>
    </xdr:to>
    <xdr:sp macro="" textlink="">
      <xdr:nvSpPr>
        <xdr:cNvPr id="106" name="Прямоугольник 105"/>
        <xdr:cNvSpPr/>
      </xdr:nvSpPr>
      <xdr:spPr>
        <a:xfrm>
          <a:off x="0" y="14573250"/>
          <a:ext cx="17981839" cy="1249891"/>
        </a:xfrm>
        <a:prstGeom prst="rect">
          <a:avLst/>
        </a:prstGeom>
        <a:noFill/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176</xdr:row>
      <xdr:rowOff>190500</xdr:rowOff>
    </xdr:from>
    <xdr:to>
      <xdr:col>16</xdr:col>
      <xdr:colOff>27214</xdr:colOff>
      <xdr:row>192</xdr:row>
      <xdr:rowOff>22412</xdr:rowOff>
    </xdr:to>
    <xdr:sp macro="" textlink="">
      <xdr:nvSpPr>
        <xdr:cNvPr id="112" name="Прямоугольник 111"/>
        <xdr:cNvSpPr/>
      </xdr:nvSpPr>
      <xdr:spPr>
        <a:xfrm>
          <a:off x="0" y="36744088"/>
          <a:ext cx="18449685" cy="28575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221</xdr:row>
      <xdr:rowOff>22411</xdr:rowOff>
    </xdr:from>
    <xdr:to>
      <xdr:col>16</xdr:col>
      <xdr:colOff>27214</xdr:colOff>
      <xdr:row>285</xdr:row>
      <xdr:rowOff>186765</xdr:rowOff>
    </xdr:to>
    <xdr:sp macro="" textlink="">
      <xdr:nvSpPr>
        <xdr:cNvPr id="113" name="Прямоугольник 112"/>
        <xdr:cNvSpPr/>
      </xdr:nvSpPr>
      <xdr:spPr>
        <a:xfrm>
          <a:off x="0" y="44633029"/>
          <a:ext cx="18449685" cy="13779501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326</xdr:row>
      <xdr:rowOff>1</xdr:rowOff>
    </xdr:from>
    <xdr:to>
      <xdr:col>16</xdr:col>
      <xdr:colOff>27214</xdr:colOff>
      <xdr:row>357</xdr:row>
      <xdr:rowOff>19051</xdr:rowOff>
    </xdr:to>
    <xdr:sp macro="" textlink="">
      <xdr:nvSpPr>
        <xdr:cNvPr id="117" name="Прямоугольник 116"/>
        <xdr:cNvSpPr/>
      </xdr:nvSpPr>
      <xdr:spPr>
        <a:xfrm>
          <a:off x="0" y="57664351"/>
          <a:ext cx="18239014" cy="60198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323850</xdr:colOff>
      <xdr:row>243</xdr:row>
      <xdr:rowOff>66675</xdr:rowOff>
    </xdr:from>
    <xdr:to>
      <xdr:col>9</xdr:col>
      <xdr:colOff>542925</xdr:colOff>
      <xdr:row>245</xdr:row>
      <xdr:rowOff>161925</xdr:rowOff>
    </xdr:to>
    <xdr:sp macro="" textlink="">
      <xdr:nvSpPr>
        <xdr:cNvPr id="121" name="Правая фигурная скобка 120"/>
        <xdr:cNvSpPr/>
      </xdr:nvSpPr>
      <xdr:spPr>
        <a:xfrm>
          <a:off x="9858375" y="43357800"/>
          <a:ext cx="219075" cy="295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304800</xdr:colOff>
      <xdr:row>247</xdr:row>
      <xdr:rowOff>57150</xdr:rowOff>
    </xdr:from>
    <xdr:to>
      <xdr:col>9</xdr:col>
      <xdr:colOff>523875</xdr:colOff>
      <xdr:row>249</xdr:row>
      <xdr:rowOff>152400</xdr:rowOff>
    </xdr:to>
    <xdr:sp macro="" textlink="">
      <xdr:nvSpPr>
        <xdr:cNvPr id="122" name="Правая фигурная скобка 121"/>
        <xdr:cNvSpPr/>
      </xdr:nvSpPr>
      <xdr:spPr>
        <a:xfrm>
          <a:off x="9839325" y="43748325"/>
          <a:ext cx="219075" cy="295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664348</xdr:colOff>
      <xdr:row>193</xdr:row>
      <xdr:rowOff>104057</xdr:rowOff>
    </xdr:from>
    <xdr:to>
      <xdr:col>11</xdr:col>
      <xdr:colOff>106456</xdr:colOff>
      <xdr:row>198</xdr:row>
      <xdr:rowOff>158485</xdr:rowOff>
    </xdr:to>
    <xdr:sp macro="" textlink="">
      <xdr:nvSpPr>
        <xdr:cNvPr id="149" name="Овал 148"/>
        <xdr:cNvSpPr/>
      </xdr:nvSpPr>
      <xdr:spPr>
        <a:xfrm>
          <a:off x="10413466" y="39884939"/>
          <a:ext cx="999725" cy="1062958"/>
        </a:xfrm>
        <a:prstGeom prst="ellipse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108</xdr:row>
      <xdr:rowOff>201705</xdr:rowOff>
    </xdr:from>
    <xdr:to>
      <xdr:col>16</xdr:col>
      <xdr:colOff>11206</xdr:colOff>
      <xdr:row>153</xdr:row>
      <xdr:rowOff>0</xdr:rowOff>
    </xdr:to>
    <xdr:sp macro="" textlink="">
      <xdr:nvSpPr>
        <xdr:cNvPr id="172" name="Прямоугольник 171"/>
        <xdr:cNvSpPr/>
      </xdr:nvSpPr>
      <xdr:spPr>
        <a:xfrm>
          <a:off x="0" y="15979587"/>
          <a:ext cx="18209559" cy="7720854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11205</xdr:colOff>
      <xdr:row>13</xdr:row>
      <xdr:rowOff>186765</xdr:rowOff>
    </xdr:from>
    <xdr:to>
      <xdr:col>16</xdr:col>
      <xdr:colOff>0</xdr:colOff>
      <xdr:row>100</xdr:row>
      <xdr:rowOff>33992</xdr:rowOff>
    </xdr:to>
    <xdr:sp macro="" textlink="">
      <xdr:nvSpPr>
        <xdr:cNvPr id="173" name="Прямоугольник 172"/>
        <xdr:cNvSpPr/>
      </xdr:nvSpPr>
      <xdr:spPr>
        <a:xfrm>
          <a:off x="11205" y="2779059"/>
          <a:ext cx="19307736" cy="18105345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2711823</xdr:colOff>
      <xdr:row>318</xdr:row>
      <xdr:rowOff>123264</xdr:rowOff>
    </xdr:from>
    <xdr:to>
      <xdr:col>3</xdr:col>
      <xdr:colOff>369455</xdr:colOff>
      <xdr:row>322</xdr:row>
      <xdr:rowOff>115453</xdr:rowOff>
    </xdr:to>
    <xdr:sp macro="" textlink="">
      <xdr:nvSpPr>
        <xdr:cNvPr id="174" name="Дуга 173"/>
        <xdr:cNvSpPr/>
      </xdr:nvSpPr>
      <xdr:spPr>
        <a:xfrm rot="10800000">
          <a:off x="2711823" y="56187414"/>
          <a:ext cx="3753632" cy="792289"/>
        </a:xfrm>
        <a:prstGeom prst="arc">
          <a:avLst>
            <a:gd name="adj1" fmla="val 17533944"/>
            <a:gd name="adj2" fmla="val 276930"/>
          </a:avLst>
        </a:prstGeom>
        <a:ln>
          <a:solidFill>
            <a:srgbClr val="7030A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9</xdr:col>
      <xdr:colOff>262093</xdr:colOff>
      <xdr:row>180</xdr:row>
      <xdr:rowOff>158127</xdr:rowOff>
    </xdr:from>
    <xdr:to>
      <xdr:col>10</xdr:col>
      <xdr:colOff>412750</xdr:colOff>
      <xdr:row>182</xdr:row>
      <xdr:rowOff>33616</xdr:rowOff>
    </xdr:to>
    <xdr:sp macro="" textlink="">
      <xdr:nvSpPr>
        <xdr:cNvPr id="91" name="Стрелка вправо 90"/>
        <xdr:cNvSpPr/>
      </xdr:nvSpPr>
      <xdr:spPr>
        <a:xfrm>
          <a:off x="10011211" y="37518539"/>
          <a:ext cx="890245" cy="278901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>
              <a:solidFill>
                <a:schemeClr val="bg1"/>
              </a:solidFill>
            </a:rPr>
            <a:t>отличие!</a:t>
          </a:r>
        </a:p>
      </xdr:txBody>
    </xdr:sp>
    <xdr:clientData/>
  </xdr:twoCellAnchor>
  <xdr:twoCellAnchor>
    <xdr:from>
      <xdr:col>0</xdr:col>
      <xdr:colOff>3236685</xdr:colOff>
      <xdr:row>328</xdr:row>
      <xdr:rowOff>49893</xdr:rowOff>
    </xdr:from>
    <xdr:to>
      <xdr:col>11</xdr:col>
      <xdr:colOff>485018</xdr:colOff>
      <xdr:row>332</xdr:row>
      <xdr:rowOff>76200</xdr:rowOff>
    </xdr:to>
    <xdr:sp macro="" textlink="">
      <xdr:nvSpPr>
        <xdr:cNvPr id="102" name="Овал 101"/>
        <xdr:cNvSpPr/>
      </xdr:nvSpPr>
      <xdr:spPr>
        <a:xfrm>
          <a:off x="3236685" y="58314318"/>
          <a:ext cx="8344958" cy="826407"/>
        </a:xfrm>
        <a:prstGeom prst="ellipse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1190063</xdr:colOff>
      <xdr:row>185</xdr:row>
      <xdr:rowOff>148167</xdr:rowOff>
    </xdr:from>
    <xdr:to>
      <xdr:col>0</xdr:col>
      <xdr:colOff>2026147</xdr:colOff>
      <xdr:row>187</xdr:row>
      <xdr:rowOff>52916</xdr:rowOff>
    </xdr:to>
    <xdr:sp macro="" textlink="">
      <xdr:nvSpPr>
        <xdr:cNvPr id="247" name="Стрелка вправо 246"/>
        <xdr:cNvSpPr/>
      </xdr:nvSpPr>
      <xdr:spPr>
        <a:xfrm>
          <a:off x="1190063" y="35877500"/>
          <a:ext cx="836084" cy="30691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>
              <a:solidFill>
                <a:schemeClr val="bg1"/>
              </a:solidFill>
            </a:rPr>
            <a:t>отличие!</a:t>
          </a:r>
        </a:p>
      </xdr:txBody>
    </xdr:sp>
    <xdr:clientData/>
  </xdr:twoCellAnchor>
  <xdr:twoCellAnchor>
    <xdr:from>
      <xdr:col>13</xdr:col>
      <xdr:colOff>854046</xdr:colOff>
      <xdr:row>137</xdr:row>
      <xdr:rowOff>190499</xdr:rowOff>
    </xdr:from>
    <xdr:to>
      <xdr:col>15</xdr:col>
      <xdr:colOff>3061607</xdr:colOff>
      <xdr:row>143</xdr:row>
      <xdr:rowOff>33616</xdr:rowOff>
    </xdr:to>
    <xdr:sp macro="" textlink="">
      <xdr:nvSpPr>
        <xdr:cNvPr id="3" name="Скругленная прямоугольная выноска 2"/>
        <xdr:cNvSpPr/>
      </xdr:nvSpPr>
      <xdr:spPr>
        <a:xfrm>
          <a:off x="13644760" y="20533178"/>
          <a:ext cx="4058133" cy="1067759"/>
        </a:xfrm>
        <a:prstGeom prst="wedgeRoundRectCallout">
          <a:avLst>
            <a:gd name="adj1" fmla="val -112389"/>
            <a:gd name="adj2" fmla="val 11677"/>
            <a:gd name="adj3" fmla="val 16667"/>
          </a:avLst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287</xdr:row>
      <xdr:rowOff>16494</xdr:rowOff>
    </xdr:from>
    <xdr:to>
      <xdr:col>16</xdr:col>
      <xdr:colOff>0</xdr:colOff>
      <xdr:row>325</xdr:row>
      <xdr:rowOff>29002</xdr:rowOff>
    </xdr:to>
    <xdr:sp macro="" textlink="">
      <xdr:nvSpPr>
        <xdr:cNvPr id="42" name="Прямоугольник 41"/>
        <xdr:cNvSpPr/>
      </xdr:nvSpPr>
      <xdr:spPr>
        <a:xfrm>
          <a:off x="0" y="41591676"/>
          <a:ext cx="19096182" cy="4723053"/>
        </a:xfrm>
        <a:prstGeom prst="rect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>
            <a:solidFill>
              <a:srgbClr val="00FF00"/>
            </a:solidFill>
          </a:endParaRPr>
        </a:p>
      </xdr:txBody>
    </xdr:sp>
    <xdr:clientData/>
  </xdr:twoCellAnchor>
  <xdr:twoCellAnchor>
    <xdr:from>
      <xdr:col>9</xdr:col>
      <xdr:colOff>212912</xdr:colOff>
      <xdr:row>162</xdr:row>
      <xdr:rowOff>0</xdr:rowOff>
    </xdr:from>
    <xdr:to>
      <xdr:col>9</xdr:col>
      <xdr:colOff>437029</xdr:colOff>
      <xdr:row>171</xdr:row>
      <xdr:rowOff>11206</xdr:rowOff>
    </xdr:to>
    <xdr:sp macro="" textlink="">
      <xdr:nvSpPr>
        <xdr:cNvPr id="40" name="Правая фигурная скобка 39"/>
        <xdr:cNvSpPr/>
      </xdr:nvSpPr>
      <xdr:spPr>
        <a:xfrm>
          <a:off x="9737912" y="27532853"/>
          <a:ext cx="224117" cy="122144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4528859</xdr:colOff>
      <xdr:row>109</xdr:row>
      <xdr:rowOff>189380</xdr:rowOff>
    </xdr:from>
    <xdr:to>
      <xdr:col>10</xdr:col>
      <xdr:colOff>175374</xdr:colOff>
      <xdr:row>120</xdr:row>
      <xdr:rowOff>76201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719631</xdr:colOff>
      <xdr:row>243</xdr:row>
      <xdr:rowOff>38207</xdr:rowOff>
    </xdr:from>
    <xdr:to>
      <xdr:col>15</xdr:col>
      <xdr:colOff>407912</xdr:colOff>
      <xdr:row>250</xdr:row>
      <xdr:rowOff>94770</xdr:rowOff>
    </xdr:to>
    <xdr:sp macro="" textlink="">
      <xdr:nvSpPr>
        <xdr:cNvPr id="34" name="Овал 33"/>
        <xdr:cNvSpPr/>
      </xdr:nvSpPr>
      <xdr:spPr>
        <a:xfrm>
          <a:off x="10244631" y="42418854"/>
          <a:ext cx="4809369" cy="1468504"/>
        </a:xfrm>
        <a:prstGeom prst="ellipse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8</xdr:col>
      <xdr:colOff>280519</xdr:colOff>
      <xdr:row>338</xdr:row>
      <xdr:rowOff>114303</xdr:rowOff>
    </xdr:from>
    <xdr:to>
      <xdr:col>13</xdr:col>
      <xdr:colOff>85724</xdr:colOff>
      <xdr:row>355</xdr:row>
      <xdr:rowOff>142878</xdr:rowOff>
    </xdr:to>
    <xdr:sp macro="" textlink="">
      <xdr:nvSpPr>
        <xdr:cNvPr id="24" name="Дуга 23"/>
        <xdr:cNvSpPr/>
      </xdr:nvSpPr>
      <xdr:spPr>
        <a:xfrm rot="5400000">
          <a:off x="9460472" y="59981075"/>
          <a:ext cx="3429000" cy="3424705"/>
        </a:xfrm>
        <a:prstGeom prst="arc">
          <a:avLst>
            <a:gd name="adj1" fmla="val 11135100"/>
            <a:gd name="adj2" fmla="val 21199889"/>
          </a:avLst>
        </a:prstGeom>
        <a:ln>
          <a:solidFill>
            <a:srgbClr val="00FF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193</xdr:row>
      <xdr:rowOff>0</xdr:rowOff>
    </xdr:from>
    <xdr:to>
      <xdr:col>16</xdr:col>
      <xdr:colOff>11205</xdr:colOff>
      <xdr:row>220</xdr:row>
      <xdr:rowOff>0</xdr:rowOff>
    </xdr:to>
    <xdr:sp macro="" textlink="">
      <xdr:nvSpPr>
        <xdr:cNvPr id="23" name="Прямоугольник 22"/>
        <xdr:cNvSpPr/>
      </xdr:nvSpPr>
      <xdr:spPr>
        <a:xfrm>
          <a:off x="0" y="39780882"/>
          <a:ext cx="18433676" cy="4639236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5</xdr:row>
      <xdr:rowOff>116995</xdr:rowOff>
    </xdr:from>
    <xdr:to>
      <xdr:col>3</xdr:col>
      <xdr:colOff>295276</xdr:colOff>
      <xdr:row>8</xdr:row>
      <xdr:rowOff>25334</xdr:rowOff>
    </xdr:to>
    <xdr:sp macro="" textlink="">
      <xdr:nvSpPr>
        <xdr:cNvPr id="861" name="Прямоугольник 860"/>
        <xdr:cNvSpPr/>
      </xdr:nvSpPr>
      <xdr:spPr>
        <a:xfrm>
          <a:off x="971551" y="116995"/>
          <a:ext cx="1238250" cy="546514"/>
        </a:xfrm>
        <a:prstGeom prst="rect">
          <a:avLst/>
        </a:prstGeom>
        <a:solidFill>
          <a:schemeClr val="tx2">
            <a:lumMod val="20000"/>
            <a:lumOff val="80000"/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 sz="1200"/>
        </a:p>
      </xdr:txBody>
    </xdr:sp>
    <xdr:clientData/>
  </xdr:twoCellAnchor>
  <xdr:twoCellAnchor>
    <xdr:from>
      <xdr:col>1</xdr:col>
      <xdr:colOff>276639</xdr:colOff>
      <xdr:row>5</xdr:row>
      <xdr:rowOff>57552</xdr:rowOff>
    </xdr:from>
    <xdr:to>
      <xdr:col>13</xdr:col>
      <xdr:colOff>76200</xdr:colOff>
      <xdr:row>8</xdr:row>
      <xdr:rowOff>81643</xdr:rowOff>
    </xdr:to>
    <xdr:sp macro="" textlink="">
      <xdr:nvSpPr>
        <xdr:cNvPr id="965" name="Прямоугольник 964"/>
        <xdr:cNvSpPr/>
      </xdr:nvSpPr>
      <xdr:spPr>
        <a:xfrm>
          <a:off x="895764" y="1095777"/>
          <a:ext cx="8105361" cy="614641"/>
        </a:xfrm>
        <a:prstGeom prst="rect">
          <a:avLst/>
        </a:prstGeom>
        <a:solidFill>
          <a:schemeClr val="tx2">
            <a:lumMod val="20000"/>
            <a:lumOff val="80000"/>
            <a:alpha val="27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10</xdr:col>
      <xdr:colOff>1</xdr:colOff>
      <xdr:row>9</xdr:row>
      <xdr:rowOff>5845</xdr:rowOff>
    </xdr:from>
    <xdr:to>
      <xdr:col>13</xdr:col>
      <xdr:colOff>8284</xdr:colOff>
      <xdr:row>19</xdr:row>
      <xdr:rowOff>180975</xdr:rowOff>
    </xdr:to>
    <xdr:sp macro="" textlink="">
      <xdr:nvSpPr>
        <xdr:cNvPr id="139" name="Прямоугольник 138"/>
        <xdr:cNvSpPr/>
      </xdr:nvSpPr>
      <xdr:spPr>
        <a:xfrm>
          <a:off x="6838951" y="882145"/>
          <a:ext cx="2094258" cy="2327780"/>
        </a:xfrm>
        <a:prstGeom prst="rect">
          <a:avLst/>
        </a:prstGeom>
        <a:solidFill>
          <a:schemeClr val="tx2">
            <a:lumMod val="20000"/>
            <a:lumOff val="80000"/>
            <a:alpha val="41000"/>
          </a:schemeClr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10</xdr:col>
      <xdr:colOff>58011</xdr:colOff>
      <xdr:row>14</xdr:row>
      <xdr:rowOff>106300</xdr:rowOff>
    </xdr:from>
    <xdr:to>
      <xdr:col>12</xdr:col>
      <xdr:colOff>588066</xdr:colOff>
      <xdr:row>17</xdr:row>
      <xdr:rowOff>22412</xdr:rowOff>
    </xdr:to>
    <xdr:sp macro="" textlink="">
      <xdr:nvSpPr>
        <xdr:cNvPr id="307" name="Прямоугольник 306"/>
        <xdr:cNvSpPr/>
      </xdr:nvSpPr>
      <xdr:spPr>
        <a:xfrm>
          <a:off x="6891163" y="1895343"/>
          <a:ext cx="1962946" cy="595286"/>
        </a:xfrm>
        <a:prstGeom prst="rect">
          <a:avLst/>
        </a:prstGeom>
        <a:solidFill>
          <a:schemeClr val="tx2">
            <a:lumMod val="20000"/>
            <a:lumOff val="80000"/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12</xdr:col>
      <xdr:colOff>89189</xdr:colOff>
      <xdr:row>5</xdr:row>
      <xdr:rowOff>123825</xdr:rowOff>
    </xdr:from>
    <xdr:to>
      <xdr:col>13</xdr:col>
      <xdr:colOff>0</xdr:colOff>
      <xdr:row>7</xdr:row>
      <xdr:rowOff>188767</xdr:rowOff>
    </xdr:to>
    <xdr:sp macro="" textlink="">
      <xdr:nvSpPr>
        <xdr:cNvPr id="746" name="Прямоугольник 745"/>
        <xdr:cNvSpPr/>
      </xdr:nvSpPr>
      <xdr:spPr>
        <a:xfrm>
          <a:off x="8366414" y="1162050"/>
          <a:ext cx="558511" cy="464992"/>
        </a:xfrm>
        <a:prstGeom prst="rect">
          <a:avLst/>
        </a:prstGeom>
        <a:solidFill>
          <a:schemeClr val="tx2">
            <a:lumMod val="20000"/>
            <a:lumOff val="80000"/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 sz="1200"/>
        </a:p>
      </xdr:txBody>
    </xdr:sp>
    <xdr:clientData/>
  </xdr:twoCellAnchor>
  <xdr:twoCellAnchor>
    <xdr:from>
      <xdr:col>24</xdr:col>
      <xdr:colOff>0</xdr:colOff>
      <xdr:row>0</xdr:row>
      <xdr:rowOff>112060</xdr:rowOff>
    </xdr:from>
    <xdr:to>
      <xdr:col>44</xdr:col>
      <xdr:colOff>0</xdr:colOff>
      <xdr:row>55</xdr:row>
      <xdr:rowOff>27214</xdr:rowOff>
    </xdr:to>
    <xdr:sp macro="" textlink="">
      <xdr:nvSpPr>
        <xdr:cNvPr id="504" name="Прямоугольник 503"/>
        <xdr:cNvSpPr/>
      </xdr:nvSpPr>
      <xdr:spPr>
        <a:xfrm>
          <a:off x="17266227" y="112060"/>
          <a:ext cx="14893637" cy="116395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37</xdr:col>
      <xdr:colOff>314364</xdr:colOff>
      <xdr:row>115</xdr:row>
      <xdr:rowOff>63950</xdr:rowOff>
    </xdr:from>
    <xdr:to>
      <xdr:col>43</xdr:col>
      <xdr:colOff>114340</xdr:colOff>
      <xdr:row>130</xdr:row>
      <xdr:rowOff>54427</xdr:rowOff>
    </xdr:to>
    <xdr:grpSp>
      <xdr:nvGrpSpPr>
        <xdr:cNvPr id="686" name="Группа 685"/>
        <xdr:cNvGrpSpPr/>
      </xdr:nvGrpSpPr>
      <xdr:grpSpPr>
        <a:xfrm>
          <a:off x="28209540" y="22737185"/>
          <a:ext cx="4484035" cy="2904007"/>
          <a:chOff x="161639234" y="57149"/>
          <a:chExt cx="2857500" cy="2886076"/>
        </a:xfrm>
      </xdr:grpSpPr>
      <xdr:graphicFrame macro="">
        <xdr:nvGraphicFramePr>
          <xdr:cNvPr id="687" name="Диаграмма 686"/>
          <xdr:cNvGraphicFramePr/>
        </xdr:nvGraphicFramePr>
        <xdr:xfrm>
          <a:off x="161639234" y="57149"/>
          <a:ext cx="2857500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88" name="Диаграмма 687"/>
          <xdr:cNvGraphicFramePr>
            <a:graphicFrameLocks/>
          </xdr:cNvGraphicFramePr>
        </xdr:nvGraphicFramePr>
        <xdr:xfrm>
          <a:off x="161820197" y="76200"/>
          <a:ext cx="2638425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14</xdr:col>
      <xdr:colOff>695739</xdr:colOff>
      <xdr:row>39</xdr:row>
      <xdr:rowOff>14009</xdr:rowOff>
    </xdr:from>
    <xdr:to>
      <xdr:col>18</xdr:col>
      <xdr:colOff>74542</xdr:colOff>
      <xdr:row>46</xdr:row>
      <xdr:rowOff>190500</xdr:rowOff>
    </xdr:to>
    <xdr:sp macro="" textlink="">
      <xdr:nvSpPr>
        <xdr:cNvPr id="309" name="Прямоугольник 308"/>
        <xdr:cNvSpPr/>
      </xdr:nvSpPr>
      <xdr:spPr>
        <a:xfrm>
          <a:off x="10370418" y="7293830"/>
          <a:ext cx="2317945" cy="1632456"/>
        </a:xfrm>
        <a:prstGeom prst="rect">
          <a:avLst/>
        </a:prstGeom>
        <a:solidFill>
          <a:schemeClr val="tx2">
            <a:lumMod val="20000"/>
            <a:lumOff val="80000"/>
            <a:alpha val="48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11</xdr:col>
      <xdr:colOff>455551</xdr:colOff>
      <xdr:row>16</xdr:row>
      <xdr:rowOff>114299</xdr:rowOff>
    </xdr:from>
    <xdr:to>
      <xdr:col>14</xdr:col>
      <xdr:colOff>133350</xdr:colOff>
      <xdr:row>35</xdr:row>
      <xdr:rowOff>16563</xdr:rowOff>
    </xdr:to>
    <xdr:sp macro="" textlink="">
      <xdr:nvSpPr>
        <xdr:cNvPr id="305" name="Дуга 304"/>
        <xdr:cNvSpPr/>
      </xdr:nvSpPr>
      <xdr:spPr>
        <a:xfrm flipV="1">
          <a:off x="8008876" y="2428874"/>
          <a:ext cx="1801874" cy="3893239"/>
        </a:xfrm>
        <a:prstGeom prst="arc">
          <a:avLst>
            <a:gd name="adj1" fmla="val 16337427"/>
            <a:gd name="adj2" fmla="val 5427015"/>
          </a:avLst>
        </a:prstGeom>
        <a:ln w="38100">
          <a:solidFill>
            <a:srgbClr val="FF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</xdr:col>
      <xdr:colOff>596347</xdr:colOff>
      <xdr:row>23</xdr:row>
      <xdr:rowOff>67233</xdr:rowOff>
    </xdr:from>
    <xdr:to>
      <xdr:col>4</xdr:col>
      <xdr:colOff>273326</xdr:colOff>
      <xdr:row>29</xdr:row>
      <xdr:rowOff>33129</xdr:rowOff>
    </xdr:to>
    <xdr:sp macro="" textlink="">
      <xdr:nvSpPr>
        <xdr:cNvPr id="484" name="Прямоугольник 483"/>
        <xdr:cNvSpPr/>
      </xdr:nvSpPr>
      <xdr:spPr>
        <a:xfrm>
          <a:off x="3735456" y="3802690"/>
          <a:ext cx="273327" cy="1282830"/>
        </a:xfrm>
        <a:prstGeom prst="rect">
          <a:avLst/>
        </a:prstGeom>
        <a:solidFill>
          <a:schemeClr val="tx2">
            <a:lumMod val="20000"/>
            <a:lumOff val="80000"/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753718</xdr:colOff>
      <xdr:row>23</xdr:row>
      <xdr:rowOff>231913</xdr:rowOff>
    </xdr:from>
    <xdr:to>
      <xdr:col>18</xdr:col>
      <xdr:colOff>41412</xdr:colOff>
      <xdr:row>28</xdr:row>
      <xdr:rowOff>66260</xdr:rowOff>
    </xdr:to>
    <xdr:sp macro="" textlink="">
      <xdr:nvSpPr>
        <xdr:cNvPr id="479" name="Прямоугольник 478"/>
        <xdr:cNvSpPr/>
      </xdr:nvSpPr>
      <xdr:spPr>
        <a:xfrm>
          <a:off x="11140109" y="3925956"/>
          <a:ext cx="2310846" cy="911087"/>
        </a:xfrm>
        <a:prstGeom prst="rect">
          <a:avLst/>
        </a:prstGeom>
        <a:solidFill>
          <a:schemeClr val="tx2">
            <a:lumMod val="20000"/>
            <a:lumOff val="80000"/>
            <a:alpha val="3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56030</xdr:colOff>
      <xdr:row>20</xdr:row>
      <xdr:rowOff>9525</xdr:rowOff>
    </xdr:from>
    <xdr:to>
      <xdr:col>12</xdr:col>
      <xdr:colOff>57150</xdr:colOff>
      <xdr:row>24</xdr:row>
      <xdr:rowOff>22412</xdr:rowOff>
    </xdr:to>
    <xdr:cxnSp macro="">
      <xdr:nvCxnSpPr>
        <xdr:cNvPr id="330" name="Straight Arrow Connector 150"/>
        <xdr:cNvCxnSpPr/>
      </xdr:nvCxnSpPr>
      <xdr:spPr>
        <a:xfrm flipH="1">
          <a:off x="8333255" y="3238500"/>
          <a:ext cx="1120" cy="841562"/>
        </a:xfrm>
        <a:prstGeom prst="straightConnector1">
          <a:avLst/>
        </a:prstGeom>
        <a:ln w="38100">
          <a:solidFill>
            <a:srgbClr val="FFC000"/>
          </a:solidFill>
          <a:tailEnd type="arrow"/>
        </a:ln>
        <a:effectLst>
          <a:outerShdw blurRad="50800" dist="50800" dir="5400000" algn="ctr" rotWithShape="0">
            <a:schemeClr val="tx1">
              <a:alpha val="61000"/>
            </a:scheme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16566</xdr:colOff>
      <xdr:row>9</xdr:row>
      <xdr:rowOff>11207</xdr:rowOff>
    </xdr:from>
    <xdr:to>
      <xdr:col>9</xdr:col>
      <xdr:colOff>8284</xdr:colOff>
      <xdr:row>18</xdr:row>
      <xdr:rowOff>107674</xdr:rowOff>
    </xdr:to>
    <xdr:sp macro="" textlink="">
      <xdr:nvSpPr>
        <xdr:cNvPr id="142" name="Прямоугольник 141"/>
        <xdr:cNvSpPr/>
      </xdr:nvSpPr>
      <xdr:spPr>
        <a:xfrm>
          <a:off x="3752023" y="806337"/>
          <a:ext cx="3536674" cy="1968337"/>
        </a:xfrm>
        <a:prstGeom prst="rect">
          <a:avLst/>
        </a:prstGeom>
        <a:solidFill>
          <a:schemeClr val="tx2">
            <a:lumMod val="20000"/>
            <a:lumOff val="80000"/>
            <a:alpha val="32000"/>
          </a:schemeClr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4</xdr:col>
      <xdr:colOff>82826</xdr:colOff>
      <xdr:row>10</xdr:row>
      <xdr:rowOff>108616</xdr:rowOff>
    </xdr:from>
    <xdr:to>
      <xdr:col>6</xdr:col>
      <xdr:colOff>165653</xdr:colOff>
      <xdr:row>18</xdr:row>
      <xdr:rowOff>49696</xdr:rowOff>
    </xdr:to>
    <xdr:sp macro="" textlink="">
      <xdr:nvSpPr>
        <xdr:cNvPr id="272" name="Прямоугольник 271"/>
        <xdr:cNvSpPr/>
      </xdr:nvSpPr>
      <xdr:spPr>
        <a:xfrm>
          <a:off x="3818283" y="1102529"/>
          <a:ext cx="1482587" cy="1614167"/>
        </a:xfrm>
        <a:prstGeom prst="rect">
          <a:avLst/>
        </a:prstGeom>
        <a:solidFill>
          <a:schemeClr val="tx2">
            <a:lumMod val="20000"/>
            <a:lumOff val="80000"/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505240</xdr:colOff>
      <xdr:row>10</xdr:row>
      <xdr:rowOff>112059</xdr:rowOff>
    </xdr:from>
    <xdr:to>
      <xdr:col>8</xdr:col>
      <xdr:colOff>646042</xdr:colOff>
      <xdr:row>18</xdr:row>
      <xdr:rowOff>57978</xdr:rowOff>
    </xdr:to>
    <xdr:sp macro="" textlink="">
      <xdr:nvSpPr>
        <xdr:cNvPr id="273" name="Прямоугольник 272"/>
        <xdr:cNvSpPr/>
      </xdr:nvSpPr>
      <xdr:spPr>
        <a:xfrm>
          <a:off x="5640457" y="1105972"/>
          <a:ext cx="1590259" cy="1619006"/>
        </a:xfrm>
        <a:prstGeom prst="rect">
          <a:avLst/>
        </a:prstGeom>
        <a:solidFill>
          <a:schemeClr val="tx2">
            <a:lumMod val="20000"/>
            <a:lumOff val="80000"/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46605</xdr:colOff>
      <xdr:row>33</xdr:row>
      <xdr:rowOff>70598</xdr:rowOff>
    </xdr:from>
    <xdr:to>
      <xdr:col>7</xdr:col>
      <xdr:colOff>20577</xdr:colOff>
      <xdr:row>41</xdr:row>
      <xdr:rowOff>82826</xdr:rowOff>
    </xdr:to>
    <xdr:sp macro="" textlink="">
      <xdr:nvSpPr>
        <xdr:cNvPr id="245" name="Прямоугольник 244"/>
        <xdr:cNvSpPr/>
      </xdr:nvSpPr>
      <xdr:spPr>
        <a:xfrm>
          <a:off x="5181822" y="5926402"/>
          <a:ext cx="644864" cy="1743294"/>
        </a:xfrm>
        <a:prstGeom prst="rect">
          <a:avLst/>
        </a:prstGeom>
        <a:solidFill>
          <a:schemeClr val="tx2">
            <a:lumMod val="20000"/>
            <a:lumOff val="80000"/>
            <a:alpha val="37000"/>
          </a:schemeClr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145677</xdr:colOff>
      <xdr:row>38</xdr:row>
      <xdr:rowOff>14438</xdr:rowOff>
    </xdr:from>
    <xdr:to>
      <xdr:col>8</xdr:col>
      <xdr:colOff>689913</xdr:colOff>
      <xdr:row>41</xdr:row>
      <xdr:rowOff>83791</xdr:rowOff>
    </xdr:to>
    <xdr:sp macro="" textlink="">
      <xdr:nvSpPr>
        <xdr:cNvPr id="259" name="Прямоугольник 258"/>
        <xdr:cNvSpPr/>
      </xdr:nvSpPr>
      <xdr:spPr>
        <a:xfrm>
          <a:off x="5951786" y="6905568"/>
          <a:ext cx="1322801" cy="765093"/>
        </a:xfrm>
        <a:prstGeom prst="rect">
          <a:avLst/>
        </a:prstGeom>
        <a:solidFill>
          <a:schemeClr val="tx2">
            <a:lumMod val="20000"/>
            <a:lumOff val="80000"/>
            <a:alpha val="37000"/>
          </a:schemeClr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14</xdr:col>
      <xdr:colOff>679174</xdr:colOff>
      <xdr:row>33</xdr:row>
      <xdr:rowOff>0</xdr:rowOff>
    </xdr:from>
    <xdr:to>
      <xdr:col>18</xdr:col>
      <xdr:colOff>67236</xdr:colOff>
      <xdr:row>38</xdr:row>
      <xdr:rowOff>22412</xdr:rowOff>
    </xdr:to>
    <xdr:sp macro="" textlink="">
      <xdr:nvSpPr>
        <xdr:cNvPr id="240" name="Прямоугольник 239"/>
        <xdr:cNvSpPr/>
      </xdr:nvSpPr>
      <xdr:spPr>
        <a:xfrm>
          <a:off x="10344978" y="5814391"/>
          <a:ext cx="2320106" cy="1057738"/>
        </a:xfrm>
        <a:prstGeom prst="rect">
          <a:avLst/>
        </a:prstGeom>
        <a:solidFill>
          <a:schemeClr val="tx2">
            <a:lumMod val="20000"/>
            <a:lumOff val="80000"/>
            <a:alpha val="3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5846</xdr:rowOff>
    </xdr:from>
    <xdr:to>
      <xdr:col>13</xdr:col>
      <xdr:colOff>8283</xdr:colOff>
      <xdr:row>41</xdr:row>
      <xdr:rowOff>57977</xdr:rowOff>
    </xdr:to>
    <xdr:sp macro="" textlink="">
      <xdr:nvSpPr>
        <xdr:cNvPr id="135" name="Прямоугольник 134"/>
        <xdr:cNvSpPr/>
      </xdr:nvSpPr>
      <xdr:spPr>
        <a:xfrm>
          <a:off x="6833152" y="5820237"/>
          <a:ext cx="2087218" cy="1741783"/>
        </a:xfrm>
        <a:prstGeom prst="rect">
          <a:avLst/>
        </a:prstGeom>
        <a:solidFill>
          <a:schemeClr val="tx2">
            <a:lumMod val="20000"/>
            <a:lumOff val="80000"/>
            <a:alpha val="34000"/>
          </a:schemeClr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15</xdr:col>
      <xdr:colOff>19488</xdr:colOff>
      <xdr:row>33</xdr:row>
      <xdr:rowOff>69748</xdr:rowOff>
    </xdr:from>
    <xdr:to>
      <xdr:col>18</xdr:col>
      <xdr:colOff>19488</xdr:colOff>
      <xdr:row>35</xdr:row>
      <xdr:rowOff>188969</xdr:rowOff>
    </xdr:to>
    <xdr:sp macro="" textlink="">
      <xdr:nvSpPr>
        <xdr:cNvPr id="134" name="TextBox 22"/>
        <xdr:cNvSpPr txBox="1">
          <a:spLocks noChangeArrowheads="1"/>
        </xdr:cNvSpPr>
      </xdr:nvSpPr>
      <xdr:spPr bwMode="auto">
        <a:xfrm>
          <a:off x="10420788" y="5975248"/>
          <a:ext cx="2219325" cy="519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Каталитическое разложение </a:t>
          </a:r>
        </a:p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химических соединений водорода</a:t>
          </a:r>
        </a:p>
      </xdr:txBody>
    </xdr:sp>
    <xdr:clientData/>
  </xdr:twoCellAnchor>
  <xdr:twoCellAnchor>
    <xdr:from>
      <xdr:col>8</xdr:col>
      <xdr:colOff>673815</xdr:colOff>
      <xdr:row>15</xdr:row>
      <xdr:rowOff>165163</xdr:rowOff>
    </xdr:from>
    <xdr:to>
      <xdr:col>9</xdr:col>
      <xdr:colOff>690381</xdr:colOff>
      <xdr:row>15</xdr:row>
      <xdr:rowOff>173446</xdr:rowOff>
    </xdr:to>
    <xdr:cxnSp macro="">
      <xdr:nvCxnSpPr>
        <xdr:cNvPr id="138" name="Straight Arrow Connector 150"/>
        <xdr:cNvCxnSpPr/>
      </xdr:nvCxnSpPr>
      <xdr:spPr>
        <a:xfrm flipH="1">
          <a:off x="6097462" y="2215839"/>
          <a:ext cx="711331" cy="8283"/>
        </a:xfrm>
        <a:prstGeom prst="straightConnector1">
          <a:avLst/>
        </a:prstGeom>
        <a:ln w="38100">
          <a:solidFill>
            <a:srgbClr val="FF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545975</xdr:colOff>
      <xdr:row>33</xdr:row>
      <xdr:rowOff>44815</xdr:rowOff>
    </xdr:from>
    <xdr:to>
      <xdr:col>7</xdr:col>
      <xdr:colOff>209799</xdr:colOff>
      <xdr:row>35</xdr:row>
      <xdr:rowOff>56018</xdr:rowOff>
    </xdr:to>
    <xdr:sp macro="" textlink="">
      <xdr:nvSpPr>
        <xdr:cNvPr id="145" name="TextBox 22"/>
        <xdr:cNvSpPr txBox="1">
          <a:spLocks noChangeArrowheads="1"/>
        </xdr:cNvSpPr>
      </xdr:nvSpPr>
      <xdr:spPr bwMode="auto">
        <a:xfrm>
          <a:off x="4961093" y="5905491"/>
          <a:ext cx="952500" cy="414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литиевая</a:t>
          </a:r>
          <a:r>
            <a:rPr lang="ru-RU" u="sng" baseline="0">
              <a:latin typeface="Times New Roman" pitchFamily="18" charset="0"/>
              <a:cs typeface="Times New Roman" pitchFamily="18" charset="0"/>
            </a:rPr>
            <a:t> петля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4</xdr:col>
      <xdr:colOff>501064</xdr:colOff>
      <xdr:row>20</xdr:row>
      <xdr:rowOff>189377</xdr:rowOff>
    </xdr:from>
    <xdr:to>
      <xdr:col>8</xdr:col>
      <xdr:colOff>113126</xdr:colOff>
      <xdr:row>31</xdr:row>
      <xdr:rowOff>183866</xdr:rowOff>
    </xdr:to>
    <xdr:sp macro="" textlink="">
      <xdr:nvSpPr>
        <xdr:cNvPr id="157" name="Oval 266"/>
        <xdr:cNvSpPr/>
      </xdr:nvSpPr>
      <xdr:spPr>
        <a:xfrm>
          <a:off x="4236521" y="3253942"/>
          <a:ext cx="2461279" cy="2379881"/>
        </a:xfrm>
        <a:prstGeom prst="ellipse">
          <a:avLst/>
        </a:prstGeom>
        <a:solidFill>
          <a:srgbClr val="FF0000">
            <a:alpha val="36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/>
        </a:p>
      </xdr:txBody>
    </xdr:sp>
    <xdr:clientData/>
  </xdr:twoCellAnchor>
  <xdr:twoCellAnchor>
    <xdr:from>
      <xdr:col>10</xdr:col>
      <xdr:colOff>24938</xdr:colOff>
      <xdr:row>24</xdr:row>
      <xdr:rowOff>96371</xdr:rowOff>
    </xdr:from>
    <xdr:to>
      <xdr:col>13</xdr:col>
      <xdr:colOff>1</xdr:colOff>
      <xdr:row>28</xdr:row>
      <xdr:rowOff>66261</xdr:rowOff>
    </xdr:to>
    <xdr:sp macro="" textlink="">
      <xdr:nvSpPr>
        <xdr:cNvPr id="167" name="Прямоугольник 166"/>
        <xdr:cNvSpPr/>
      </xdr:nvSpPr>
      <xdr:spPr>
        <a:xfrm>
          <a:off x="6858090" y="4030610"/>
          <a:ext cx="2053998" cy="806434"/>
        </a:xfrm>
        <a:prstGeom prst="rect">
          <a:avLst/>
        </a:prstGeom>
        <a:solidFill>
          <a:schemeClr val="tx2">
            <a:lumMod val="20000"/>
            <a:lumOff val="80000"/>
            <a:alpha val="32000"/>
          </a:schemeClr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419484</xdr:colOff>
      <xdr:row>33</xdr:row>
      <xdr:rowOff>16566</xdr:rowOff>
    </xdr:from>
    <xdr:to>
      <xdr:col>21</xdr:col>
      <xdr:colOff>543723</xdr:colOff>
      <xdr:row>41</xdr:row>
      <xdr:rowOff>9526</xdr:rowOff>
    </xdr:to>
    <xdr:sp macro="" textlink="">
      <xdr:nvSpPr>
        <xdr:cNvPr id="173" name="Прямоугольник 172"/>
        <xdr:cNvSpPr/>
      </xdr:nvSpPr>
      <xdr:spPr>
        <a:xfrm>
          <a:off x="13040109" y="5922066"/>
          <a:ext cx="2486439" cy="1688410"/>
        </a:xfrm>
        <a:prstGeom prst="rect">
          <a:avLst/>
        </a:prstGeom>
        <a:solidFill>
          <a:schemeClr val="tx2">
            <a:lumMod val="20000"/>
            <a:lumOff val="80000"/>
            <a:alpha val="48000"/>
          </a:schemeClr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4</xdr:col>
      <xdr:colOff>149082</xdr:colOff>
      <xdr:row>10</xdr:row>
      <xdr:rowOff>130574</xdr:rowOff>
    </xdr:from>
    <xdr:to>
      <xdr:col>6</xdr:col>
      <xdr:colOff>157779</xdr:colOff>
      <xdr:row>11</xdr:row>
      <xdr:rowOff>165188</xdr:rowOff>
    </xdr:to>
    <xdr:sp macro="" textlink="">
      <xdr:nvSpPr>
        <xdr:cNvPr id="174" name="TextBox 22"/>
        <xdr:cNvSpPr txBox="1">
          <a:spLocks noChangeArrowheads="1"/>
        </xdr:cNvSpPr>
      </xdr:nvSpPr>
      <xdr:spPr bwMode="auto">
        <a:xfrm>
          <a:off x="2666995" y="1124487"/>
          <a:ext cx="1408458" cy="2333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>
            <a:lnSpc>
              <a:spcPts val="1100"/>
            </a:lnSpc>
          </a:pPr>
          <a:r>
            <a:rPr lang="ru-RU" u="sng">
              <a:latin typeface="Times New Roman" pitchFamily="18" charset="0"/>
              <a:cs typeface="Times New Roman" pitchFamily="18" charset="0"/>
            </a:rPr>
            <a:t>Пеллет-инжекция</a:t>
          </a:r>
        </a:p>
      </xdr:txBody>
    </xdr:sp>
    <xdr:clientData/>
  </xdr:twoCellAnchor>
  <xdr:twoCellAnchor>
    <xdr:from>
      <xdr:col>6</xdr:col>
      <xdr:colOff>553623</xdr:colOff>
      <xdr:row>10</xdr:row>
      <xdr:rowOff>120565</xdr:rowOff>
    </xdr:from>
    <xdr:to>
      <xdr:col>8</xdr:col>
      <xdr:colOff>521803</xdr:colOff>
      <xdr:row>11</xdr:row>
      <xdr:rowOff>176275</xdr:rowOff>
    </xdr:to>
    <xdr:sp macro="" textlink="">
      <xdr:nvSpPr>
        <xdr:cNvPr id="176" name="TextBox 22"/>
        <xdr:cNvSpPr txBox="1">
          <a:spLocks noChangeArrowheads="1"/>
        </xdr:cNvSpPr>
      </xdr:nvSpPr>
      <xdr:spPr bwMode="auto">
        <a:xfrm>
          <a:off x="5688840" y="1114478"/>
          <a:ext cx="1417637" cy="254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Газовые клапаны</a:t>
          </a:r>
        </a:p>
      </xdr:txBody>
    </xdr:sp>
    <xdr:clientData/>
  </xdr:twoCellAnchor>
  <xdr:twoCellAnchor>
    <xdr:from>
      <xdr:col>10</xdr:col>
      <xdr:colOff>3729</xdr:colOff>
      <xdr:row>24</xdr:row>
      <xdr:rowOff>124740</xdr:rowOff>
    </xdr:from>
    <xdr:to>
      <xdr:col>12</xdr:col>
      <xdr:colOff>240200</xdr:colOff>
      <xdr:row>26</xdr:row>
      <xdr:rowOff>102415</xdr:rowOff>
    </xdr:to>
    <xdr:sp macro="" textlink="">
      <xdr:nvSpPr>
        <xdr:cNvPr id="200" name="TextBox 22"/>
        <xdr:cNvSpPr txBox="1">
          <a:spLocks noChangeArrowheads="1"/>
        </xdr:cNvSpPr>
      </xdr:nvSpPr>
      <xdr:spPr bwMode="auto">
        <a:xfrm>
          <a:off x="6836881" y="4058979"/>
          <a:ext cx="1669362" cy="37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Нейтральная инжекция</a:t>
          </a:r>
        </a:p>
      </xdr:txBody>
    </xdr:sp>
    <xdr:clientData/>
  </xdr:twoCellAnchor>
  <xdr:twoCellAnchor>
    <xdr:from>
      <xdr:col>4</xdr:col>
      <xdr:colOff>8282</xdr:colOff>
      <xdr:row>33</xdr:row>
      <xdr:rowOff>69234</xdr:rowOff>
    </xdr:from>
    <xdr:to>
      <xdr:col>5</xdr:col>
      <xdr:colOff>604631</xdr:colOff>
      <xdr:row>36</xdr:row>
      <xdr:rowOff>16565</xdr:rowOff>
    </xdr:to>
    <xdr:sp macro="" textlink="">
      <xdr:nvSpPr>
        <xdr:cNvPr id="203" name="Прямоугольник 202"/>
        <xdr:cNvSpPr/>
      </xdr:nvSpPr>
      <xdr:spPr>
        <a:xfrm>
          <a:off x="3743739" y="5925038"/>
          <a:ext cx="1300370" cy="543679"/>
        </a:xfrm>
        <a:prstGeom prst="rect">
          <a:avLst/>
        </a:prstGeom>
        <a:solidFill>
          <a:schemeClr val="tx2">
            <a:lumMod val="20000"/>
            <a:lumOff val="80000"/>
            <a:alpha val="37000"/>
          </a:schemeClr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268942</xdr:colOff>
      <xdr:row>31</xdr:row>
      <xdr:rowOff>66677</xdr:rowOff>
    </xdr:from>
    <xdr:to>
      <xdr:col>5</xdr:col>
      <xdr:colOff>379908</xdr:colOff>
      <xdr:row>32</xdr:row>
      <xdr:rowOff>190501</xdr:rowOff>
    </xdr:to>
    <xdr:cxnSp macro="">
      <xdr:nvCxnSpPr>
        <xdr:cNvPr id="207" name="Straight Arrow Connector 150"/>
        <xdr:cNvCxnSpPr/>
      </xdr:nvCxnSpPr>
      <xdr:spPr>
        <a:xfrm flipH="1">
          <a:off x="55222589" y="6409206"/>
          <a:ext cx="110966" cy="32553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314739</xdr:colOff>
      <xdr:row>26</xdr:row>
      <xdr:rowOff>89647</xdr:rowOff>
    </xdr:from>
    <xdr:to>
      <xdr:col>5</xdr:col>
      <xdr:colOff>134470</xdr:colOff>
      <xdr:row>26</xdr:row>
      <xdr:rowOff>91109</xdr:rowOff>
    </xdr:to>
    <xdr:cxnSp macro="">
      <xdr:nvCxnSpPr>
        <xdr:cNvPr id="214" name="Прямая со стрелкой 213"/>
        <xdr:cNvCxnSpPr/>
      </xdr:nvCxnSpPr>
      <xdr:spPr>
        <a:xfrm flipH="1">
          <a:off x="4050196" y="4421451"/>
          <a:ext cx="523752" cy="1462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248985</xdr:colOff>
      <xdr:row>24</xdr:row>
      <xdr:rowOff>154828</xdr:rowOff>
    </xdr:from>
    <xdr:to>
      <xdr:col>5</xdr:col>
      <xdr:colOff>14130</xdr:colOff>
      <xdr:row>25</xdr:row>
      <xdr:rowOff>188060</xdr:rowOff>
    </xdr:to>
    <xdr:sp macro="" textlink="">
      <xdr:nvSpPr>
        <xdr:cNvPr id="215" name="TextBox 134"/>
        <xdr:cNvSpPr txBox="1">
          <a:spLocks noChangeArrowheads="1"/>
        </xdr:cNvSpPr>
      </xdr:nvSpPr>
      <xdr:spPr bwMode="auto">
        <a:xfrm>
          <a:off x="3984442" y="4089067"/>
          <a:ext cx="469166" cy="232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/>
        <a:p>
          <a:pPr algn="l" rtl="0">
            <a:defRPr sz="1000"/>
          </a:pPr>
          <a:r>
            <a:rPr lang="ru-RU" sz="1600" b="0" i="0" u="none" strike="noStrike" baseline="0">
              <a:solidFill>
                <a:srgbClr val="800080"/>
              </a:solidFill>
              <a:latin typeface="Times New Roman"/>
              <a:cs typeface="Times New Roman"/>
            </a:rPr>
            <a:t>n</a:t>
          </a:r>
        </a:p>
      </xdr:txBody>
    </xdr:sp>
    <xdr:clientData/>
  </xdr:twoCellAnchor>
  <xdr:twoCellAnchor>
    <xdr:from>
      <xdr:col>15</xdr:col>
      <xdr:colOff>27414</xdr:colOff>
      <xdr:row>43</xdr:row>
      <xdr:rowOff>7275</xdr:rowOff>
    </xdr:from>
    <xdr:to>
      <xdr:col>15</xdr:col>
      <xdr:colOff>590976</xdr:colOff>
      <xdr:row>46</xdr:row>
      <xdr:rowOff>113963</xdr:rowOff>
    </xdr:to>
    <xdr:sp macro="" textlink="">
      <xdr:nvSpPr>
        <xdr:cNvPr id="216" name="Прямоугольник 215"/>
        <xdr:cNvSpPr/>
      </xdr:nvSpPr>
      <xdr:spPr>
        <a:xfrm>
          <a:off x="10428714" y="8027325"/>
          <a:ext cx="563562" cy="69723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 sz="1200"/>
        </a:p>
      </xdr:txBody>
    </xdr:sp>
    <xdr:clientData/>
  </xdr:twoCellAnchor>
  <xdr:twoCellAnchor>
    <xdr:from>
      <xdr:col>15</xdr:col>
      <xdr:colOff>89321</xdr:colOff>
      <xdr:row>44</xdr:row>
      <xdr:rowOff>22738</xdr:rowOff>
    </xdr:from>
    <xdr:to>
      <xdr:col>15</xdr:col>
      <xdr:colOff>505254</xdr:colOff>
      <xdr:row>45</xdr:row>
      <xdr:rowOff>83734</xdr:rowOff>
    </xdr:to>
    <xdr:sp macro="" textlink="">
      <xdr:nvSpPr>
        <xdr:cNvPr id="217" name="TextBox 22"/>
        <xdr:cNvSpPr txBox="1">
          <a:spLocks noChangeArrowheads="1"/>
        </xdr:cNvSpPr>
      </xdr:nvSpPr>
      <xdr:spPr bwMode="auto">
        <a:xfrm>
          <a:off x="10490621" y="8242813"/>
          <a:ext cx="415933" cy="261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Ne</a:t>
          </a:r>
          <a:endParaRPr lang="ru-RU" sz="1200" baseline="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313764</xdr:colOff>
      <xdr:row>31</xdr:row>
      <xdr:rowOff>204144</xdr:rowOff>
    </xdr:from>
    <xdr:to>
      <xdr:col>6</xdr:col>
      <xdr:colOff>313764</xdr:colOff>
      <xdr:row>33</xdr:row>
      <xdr:rowOff>58468</xdr:rowOff>
    </xdr:to>
    <xdr:cxnSp macro="">
      <xdr:nvCxnSpPr>
        <xdr:cNvPr id="235" name="Straight Arrow Connector 150"/>
        <xdr:cNvCxnSpPr/>
      </xdr:nvCxnSpPr>
      <xdr:spPr>
        <a:xfrm>
          <a:off x="5448981" y="5654101"/>
          <a:ext cx="0" cy="26017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347872</xdr:colOff>
      <xdr:row>24</xdr:row>
      <xdr:rowOff>190501</xdr:rowOff>
    </xdr:from>
    <xdr:to>
      <xdr:col>3</xdr:col>
      <xdr:colOff>356155</xdr:colOff>
      <xdr:row>27</xdr:row>
      <xdr:rowOff>231914</xdr:rowOff>
    </xdr:to>
    <xdr:sp macro="" textlink="">
      <xdr:nvSpPr>
        <xdr:cNvPr id="241" name="Прямоугольник 240"/>
        <xdr:cNvSpPr/>
      </xdr:nvSpPr>
      <xdr:spPr>
        <a:xfrm>
          <a:off x="2261155" y="4124740"/>
          <a:ext cx="1234109" cy="679174"/>
        </a:xfrm>
        <a:prstGeom prst="rect">
          <a:avLst/>
        </a:prstGeom>
        <a:solidFill>
          <a:schemeClr val="tx2">
            <a:lumMod val="20000"/>
            <a:lumOff val="80000"/>
            <a:alpha val="48000"/>
          </a:schemeClr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4</xdr:col>
      <xdr:colOff>0</xdr:colOff>
      <xdr:row>36</xdr:row>
      <xdr:rowOff>223631</xdr:rowOff>
    </xdr:from>
    <xdr:to>
      <xdr:col>5</xdr:col>
      <xdr:colOff>604631</xdr:colOff>
      <xdr:row>41</xdr:row>
      <xdr:rowOff>82826</xdr:rowOff>
    </xdr:to>
    <xdr:sp macro="" textlink="">
      <xdr:nvSpPr>
        <xdr:cNvPr id="244" name="Прямоугольник 243"/>
        <xdr:cNvSpPr/>
      </xdr:nvSpPr>
      <xdr:spPr>
        <a:xfrm>
          <a:off x="3735457" y="6675783"/>
          <a:ext cx="1308652" cy="993913"/>
        </a:xfrm>
        <a:prstGeom prst="rect">
          <a:avLst/>
        </a:prstGeom>
        <a:solidFill>
          <a:schemeClr val="tx2">
            <a:lumMod val="20000"/>
            <a:lumOff val="80000"/>
            <a:alpha val="37000"/>
          </a:schemeClr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7</xdr:col>
      <xdr:colOff>165387</xdr:colOff>
      <xdr:row>33</xdr:row>
      <xdr:rowOff>66116</xdr:rowOff>
    </xdr:from>
    <xdr:to>
      <xdr:col>9</xdr:col>
      <xdr:colOff>0</xdr:colOff>
      <xdr:row>37</xdr:row>
      <xdr:rowOff>22412</xdr:rowOff>
    </xdr:to>
    <xdr:sp macro="" textlink="">
      <xdr:nvSpPr>
        <xdr:cNvPr id="246" name="Прямоугольник 245"/>
        <xdr:cNvSpPr/>
      </xdr:nvSpPr>
      <xdr:spPr>
        <a:xfrm>
          <a:off x="5869181" y="5926792"/>
          <a:ext cx="1313790" cy="763120"/>
        </a:xfrm>
        <a:prstGeom prst="rect">
          <a:avLst/>
        </a:prstGeom>
        <a:solidFill>
          <a:schemeClr val="tx2">
            <a:lumMod val="20000"/>
            <a:lumOff val="80000"/>
            <a:alpha val="37000"/>
          </a:schemeClr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280147</xdr:colOff>
      <xdr:row>31</xdr:row>
      <xdr:rowOff>89647</xdr:rowOff>
    </xdr:from>
    <xdr:to>
      <xdr:col>7</xdr:col>
      <xdr:colOff>381000</xdr:colOff>
      <xdr:row>33</xdr:row>
      <xdr:rowOff>0</xdr:rowOff>
    </xdr:to>
    <xdr:cxnSp macro="">
      <xdr:nvCxnSpPr>
        <xdr:cNvPr id="247" name="Straight Arrow Connector 150"/>
        <xdr:cNvCxnSpPr/>
      </xdr:nvCxnSpPr>
      <xdr:spPr>
        <a:xfrm>
          <a:off x="56421618" y="6432176"/>
          <a:ext cx="100853" cy="313765"/>
        </a:xfrm>
        <a:prstGeom prst="straightConnector1">
          <a:avLst/>
        </a:prstGeom>
        <a:ln w="38100">
          <a:solidFill>
            <a:srgbClr val="FF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40343</xdr:colOff>
      <xdr:row>33</xdr:row>
      <xdr:rowOff>23383</xdr:rowOff>
    </xdr:from>
    <xdr:to>
      <xdr:col>5</xdr:col>
      <xdr:colOff>549088</xdr:colOff>
      <xdr:row>35</xdr:row>
      <xdr:rowOff>140802</xdr:rowOff>
    </xdr:to>
    <xdr:sp macro="" textlink="">
      <xdr:nvSpPr>
        <xdr:cNvPr id="248" name="TextBox 22"/>
        <xdr:cNvSpPr txBox="1">
          <a:spLocks noChangeArrowheads="1"/>
        </xdr:cNvSpPr>
      </xdr:nvSpPr>
      <xdr:spPr bwMode="auto">
        <a:xfrm>
          <a:off x="3775800" y="5879187"/>
          <a:ext cx="1212766" cy="514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охлаждение дивертора и первой стенки</a:t>
          </a:r>
        </a:p>
      </xdr:txBody>
    </xdr:sp>
    <xdr:clientData/>
  </xdr:twoCellAnchor>
  <xdr:twoCellAnchor>
    <xdr:from>
      <xdr:col>7</xdr:col>
      <xdr:colOff>55832</xdr:colOff>
      <xdr:row>33</xdr:row>
      <xdr:rowOff>114300</xdr:rowOff>
    </xdr:from>
    <xdr:to>
      <xdr:col>9</xdr:col>
      <xdr:colOff>132032</xdr:colOff>
      <xdr:row>35</xdr:row>
      <xdr:rowOff>125503</xdr:rowOff>
    </xdr:to>
    <xdr:sp macro="" textlink="">
      <xdr:nvSpPr>
        <xdr:cNvPr id="249" name="TextBox 22"/>
        <xdr:cNvSpPr txBox="1">
          <a:spLocks noChangeArrowheads="1"/>
        </xdr:cNvSpPr>
      </xdr:nvSpPr>
      <xdr:spPr bwMode="auto">
        <a:xfrm>
          <a:off x="5861941" y="5928691"/>
          <a:ext cx="1550504" cy="408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вакуумная откачка</a:t>
          </a:r>
        </a:p>
      </xdr:txBody>
    </xdr:sp>
    <xdr:clientData/>
  </xdr:twoCellAnchor>
  <xdr:twoCellAnchor>
    <xdr:from>
      <xdr:col>4</xdr:col>
      <xdr:colOff>670891</xdr:colOff>
      <xdr:row>35</xdr:row>
      <xdr:rowOff>173927</xdr:rowOff>
    </xdr:from>
    <xdr:to>
      <xdr:col>4</xdr:col>
      <xdr:colOff>675031</xdr:colOff>
      <xdr:row>37</xdr:row>
      <xdr:rowOff>25525</xdr:rowOff>
    </xdr:to>
    <xdr:cxnSp macro="">
      <xdr:nvCxnSpPr>
        <xdr:cNvPr id="250" name="Straight Arrow Connector 150"/>
        <xdr:cNvCxnSpPr/>
      </xdr:nvCxnSpPr>
      <xdr:spPr>
        <a:xfrm>
          <a:off x="4406348" y="6427297"/>
          <a:ext cx="4140" cy="29057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39</xdr:row>
      <xdr:rowOff>179855</xdr:rowOff>
    </xdr:from>
    <xdr:to>
      <xdr:col>7</xdr:col>
      <xdr:colOff>200025</xdr:colOff>
      <xdr:row>39</xdr:row>
      <xdr:rowOff>180975</xdr:rowOff>
    </xdr:to>
    <xdr:cxnSp macro="">
      <xdr:nvCxnSpPr>
        <xdr:cNvPr id="251" name="Straight Arrow Connector 150"/>
        <xdr:cNvCxnSpPr/>
      </xdr:nvCxnSpPr>
      <xdr:spPr>
        <a:xfrm flipV="1">
          <a:off x="5695950" y="7361705"/>
          <a:ext cx="219075" cy="112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563216</xdr:colOff>
      <xdr:row>37</xdr:row>
      <xdr:rowOff>174619</xdr:rowOff>
    </xdr:from>
    <xdr:to>
      <xdr:col>5</xdr:col>
      <xdr:colOff>679173</xdr:colOff>
      <xdr:row>39</xdr:row>
      <xdr:rowOff>31547</xdr:rowOff>
    </xdr:to>
    <xdr:sp macro="" textlink="">
      <xdr:nvSpPr>
        <xdr:cNvPr id="252" name="TextBox 22"/>
        <xdr:cNvSpPr txBox="1">
          <a:spLocks noChangeArrowheads="1"/>
        </xdr:cNvSpPr>
      </xdr:nvSpPr>
      <xdr:spPr bwMode="auto">
        <a:xfrm>
          <a:off x="2400180" y="7046226"/>
          <a:ext cx="1422243" cy="2651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Coolant</a:t>
          </a:r>
          <a:r>
            <a:rPr lang="en-US" u="sng" baseline="0">
              <a:latin typeface="Times New Roman" pitchFamily="18" charset="0"/>
              <a:cs typeface="Times New Roman" pitchFamily="18" charset="0"/>
            </a:rPr>
            <a:t> T-processing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89645</xdr:colOff>
      <xdr:row>37</xdr:row>
      <xdr:rowOff>176866</xdr:rowOff>
    </xdr:from>
    <xdr:to>
      <xdr:col>9</xdr:col>
      <xdr:colOff>112059</xdr:colOff>
      <xdr:row>39</xdr:row>
      <xdr:rowOff>24538</xdr:rowOff>
    </xdr:to>
    <xdr:sp macro="" textlink="">
      <xdr:nvSpPr>
        <xdr:cNvPr id="253" name="TextBox 22"/>
        <xdr:cNvSpPr txBox="1">
          <a:spLocks noChangeArrowheads="1"/>
        </xdr:cNvSpPr>
      </xdr:nvSpPr>
      <xdr:spPr bwMode="auto">
        <a:xfrm>
          <a:off x="5895754" y="6869214"/>
          <a:ext cx="1496718" cy="2452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Li</a:t>
          </a:r>
          <a:r>
            <a:rPr lang="en-US" u="sng" baseline="0">
              <a:latin typeface="Times New Roman" pitchFamily="18" charset="0"/>
              <a:cs typeface="Times New Roman" pitchFamily="18" charset="0"/>
            </a:rPr>
            <a:t> loop T-processing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35792</xdr:colOff>
      <xdr:row>40</xdr:row>
      <xdr:rowOff>43558</xdr:rowOff>
    </xdr:from>
    <xdr:to>
      <xdr:col>12</xdr:col>
      <xdr:colOff>596348</xdr:colOff>
      <xdr:row>41</xdr:row>
      <xdr:rowOff>46649</xdr:rowOff>
    </xdr:to>
    <xdr:sp macro="" textlink="">
      <xdr:nvSpPr>
        <xdr:cNvPr id="254" name="TextBox 22"/>
        <xdr:cNvSpPr txBox="1">
          <a:spLocks noChangeArrowheads="1"/>
        </xdr:cNvSpPr>
      </xdr:nvSpPr>
      <xdr:spPr bwMode="auto">
        <a:xfrm>
          <a:off x="6868944" y="7299123"/>
          <a:ext cx="1993447" cy="251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Fuel Cleanup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68697</xdr:colOff>
      <xdr:row>33</xdr:row>
      <xdr:rowOff>82826</xdr:rowOff>
    </xdr:from>
    <xdr:to>
      <xdr:col>12</xdr:col>
      <xdr:colOff>588066</xdr:colOff>
      <xdr:row>40</xdr:row>
      <xdr:rowOff>36054</xdr:rowOff>
    </xdr:to>
    <xdr:sp macro="" textlink="">
      <xdr:nvSpPr>
        <xdr:cNvPr id="256" name="Прямоугольник 255"/>
        <xdr:cNvSpPr/>
      </xdr:nvSpPr>
      <xdr:spPr>
        <a:xfrm>
          <a:off x="6901849" y="5897217"/>
          <a:ext cx="1952260" cy="1435815"/>
        </a:xfrm>
        <a:prstGeom prst="rect">
          <a:avLst/>
        </a:prstGeom>
        <a:solidFill>
          <a:schemeClr val="tx2">
            <a:lumMod val="20000"/>
            <a:lumOff val="80000"/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33131</xdr:colOff>
      <xdr:row>18</xdr:row>
      <xdr:rowOff>182217</xdr:rowOff>
    </xdr:from>
    <xdr:to>
      <xdr:col>2</xdr:col>
      <xdr:colOff>33131</xdr:colOff>
      <xdr:row>24</xdr:row>
      <xdr:rowOff>107674</xdr:rowOff>
    </xdr:to>
    <xdr:cxnSp macro="">
      <xdr:nvCxnSpPr>
        <xdr:cNvPr id="257" name="Straight Arrow Connector 150"/>
        <xdr:cNvCxnSpPr/>
      </xdr:nvCxnSpPr>
      <xdr:spPr>
        <a:xfrm flipV="1">
          <a:off x="1341783" y="2932043"/>
          <a:ext cx="0" cy="1151283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89647</xdr:colOff>
      <xdr:row>35</xdr:row>
      <xdr:rowOff>84510</xdr:rowOff>
    </xdr:from>
    <xdr:to>
      <xdr:col>9</xdr:col>
      <xdr:colOff>548533</xdr:colOff>
      <xdr:row>35</xdr:row>
      <xdr:rowOff>84510</xdr:rowOff>
    </xdr:to>
    <xdr:cxnSp macro="">
      <xdr:nvCxnSpPr>
        <xdr:cNvPr id="260" name="Straight Arrow Connector 150"/>
        <xdr:cNvCxnSpPr/>
      </xdr:nvCxnSpPr>
      <xdr:spPr>
        <a:xfrm flipV="1">
          <a:off x="7370060" y="6379293"/>
          <a:ext cx="458886" cy="0"/>
        </a:xfrm>
        <a:prstGeom prst="straightConnector1">
          <a:avLst/>
        </a:prstGeom>
        <a:ln w="38100">
          <a:solidFill>
            <a:srgbClr val="FF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107577</xdr:colOff>
      <xdr:row>39</xdr:row>
      <xdr:rowOff>170239</xdr:rowOff>
    </xdr:from>
    <xdr:to>
      <xdr:col>9</xdr:col>
      <xdr:colOff>566463</xdr:colOff>
      <xdr:row>39</xdr:row>
      <xdr:rowOff>175293</xdr:rowOff>
    </xdr:to>
    <xdr:cxnSp macro="">
      <xdr:nvCxnSpPr>
        <xdr:cNvPr id="261" name="Straight Arrow Connector 150"/>
        <xdr:cNvCxnSpPr/>
      </xdr:nvCxnSpPr>
      <xdr:spPr>
        <a:xfrm flipV="1">
          <a:off x="7387990" y="7301565"/>
          <a:ext cx="458886" cy="505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314739</xdr:colOff>
      <xdr:row>14</xdr:row>
      <xdr:rowOff>134471</xdr:rowOff>
    </xdr:from>
    <xdr:to>
      <xdr:col>3</xdr:col>
      <xdr:colOff>447261</xdr:colOff>
      <xdr:row>18</xdr:row>
      <xdr:rowOff>103774</xdr:rowOff>
    </xdr:to>
    <xdr:sp macro="" textlink="">
      <xdr:nvSpPr>
        <xdr:cNvPr id="263" name="Прямоугольник 262"/>
        <xdr:cNvSpPr/>
      </xdr:nvSpPr>
      <xdr:spPr>
        <a:xfrm>
          <a:off x="931063" y="1949824"/>
          <a:ext cx="1421198" cy="876979"/>
        </a:xfrm>
        <a:prstGeom prst="rect">
          <a:avLst/>
        </a:prstGeom>
        <a:solidFill>
          <a:schemeClr val="tx2">
            <a:lumMod val="20000"/>
            <a:lumOff val="80000"/>
            <a:alpha val="48000"/>
          </a:schemeClr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1</xdr:col>
      <xdr:colOff>389284</xdr:colOff>
      <xdr:row>14</xdr:row>
      <xdr:rowOff>137951</xdr:rowOff>
    </xdr:from>
    <xdr:to>
      <xdr:col>3</xdr:col>
      <xdr:colOff>389279</xdr:colOff>
      <xdr:row>15</xdr:row>
      <xdr:rowOff>152248</xdr:rowOff>
    </xdr:to>
    <xdr:sp macro="" textlink="">
      <xdr:nvSpPr>
        <xdr:cNvPr id="264" name="TextBox 22"/>
        <xdr:cNvSpPr txBox="1">
          <a:spLocks noChangeArrowheads="1"/>
        </xdr:cNvSpPr>
      </xdr:nvSpPr>
      <xdr:spPr bwMode="auto">
        <a:xfrm>
          <a:off x="1010480" y="1926994"/>
          <a:ext cx="1300364" cy="254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 baseline="0">
              <a:latin typeface="Times New Roman" pitchFamily="18" charset="0"/>
              <a:cs typeface="Times New Roman" pitchFamily="18" charset="0"/>
            </a:rPr>
            <a:t>T- extraction </a:t>
          </a:r>
        </a:p>
      </xdr:txBody>
    </xdr:sp>
    <xdr:clientData/>
  </xdr:twoCellAnchor>
  <xdr:twoCellAnchor>
    <xdr:from>
      <xdr:col>5</xdr:col>
      <xdr:colOff>630940</xdr:colOff>
      <xdr:row>37</xdr:row>
      <xdr:rowOff>95492</xdr:rowOff>
    </xdr:from>
    <xdr:to>
      <xdr:col>9</xdr:col>
      <xdr:colOff>563217</xdr:colOff>
      <xdr:row>37</xdr:row>
      <xdr:rowOff>99391</xdr:rowOff>
    </xdr:to>
    <xdr:cxnSp macro="">
      <xdr:nvCxnSpPr>
        <xdr:cNvPr id="265" name="Straight Arrow Connector 150"/>
        <xdr:cNvCxnSpPr/>
      </xdr:nvCxnSpPr>
      <xdr:spPr>
        <a:xfrm>
          <a:off x="5070418" y="6787840"/>
          <a:ext cx="2773212" cy="3899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462919</xdr:colOff>
      <xdr:row>13</xdr:row>
      <xdr:rowOff>13137</xdr:rowOff>
    </xdr:from>
    <xdr:to>
      <xdr:col>2</xdr:col>
      <xdr:colOff>466396</xdr:colOff>
      <xdr:row>14</xdr:row>
      <xdr:rowOff>120561</xdr:rowOff>
    </xdr:to>
    <xdr:cxnSp macro="">
      <xdr:nvCxnSpPr>
        <xdr:cNvPr id="266" name="Straight Arrow Connector 150"/>
        <xdr:cNvCxnSpPr/>
      </xdr:nvCxnSpPr>
      <xdr:spPr>
        <a:xfrm flipV="1">
          <a:off x="1763574" y="1596258"/>
          <a:ext cx="3477" cy="304493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372727</xdr:colOff>
      <xdr:row>24</xdr:row>
      <xdr:rowOff>145643</xdr:rowOff>
    </xdr:from>
    <xdr:to>
      <xdr:col>3</xdr:col>
      <xdr:colOff>372717</xdr:colOff>
      <xdr:row>25</xdr:row>
      <xdr:rowOff>173934</xdr:rowOff>
    </xdr:to>
    <xdr:sp macro="" textlink="">
      <xdr:nvSpPr>
        <xdr:cNvPr id="267" name="TextBox 22"/>
        <xdr:cNvSpPr txBox="1">
          <a:spLocks noChangeArrowheads="1"/>
        </xdr:cNvSpPr>
      </xdr:nvSpPr>
      <xdr:spPr bwMode="auto">
        <a:xfrm>
          <a:off x="2286010" y="4079882"/>
          <a:ext cx="1225816" cy="227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Бланкет</a:t>
          </a:r>
        </a:p>
      </xdr:txBody>
    </xdr:sp>
    <xdr:clientData/>
  </xdr:twoCellAnchor>
  <xdr:twoCellAnchor>
    <xdr:from>
      <xdr:col>7</xdr:col>
      <xdr:colOff>347869</xdr:colOff>
      <xdr:row>18</xdr:row>
      <xdr:rowOff>182217</xdr:rowOff>
    </xdr:from>
    <xdr:to>
      <xdr:col>7</xdr:col>
      <xdr:colOff>588068</xdr:colOff>
      <xdr:row>21</xdr:row>
      <xdr:rowOff>0</xdr:rowOff>
    </xdr:to>
    <xdr:cxnSp macro="">
      <xdr:nvCxnSpPr>
        <xdr:cNvPr id="269" name="Straight Arrow Connector 150"/>
        <xdr:cNvCxnSpPr/>
      </xdr:nvCxnSpPr>
      <xdr:spPr>
        <a:xfrm flipH="1">
          <a:off x="6153978" y="2849217"/>
          <a:ext cx="240199" cy="455544"/>
        </a:xfrm>
        <a:prstGeom prst="straightConnector1">
          <a:avLst/>
        </a:prstGeom>
        <a:ln w="38100">
          <a:solidFill>
            <a:srgbClr val="FF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156305</xdr:colOff>
      <xdr:row>18</xdr:row>
      <xdr:rowOff>149025</xdr:rowOff>
    </xdr:from>
    <xdr:to>
      <xdr:col>5</xdr:col>
      <xdr:colOff>430701</xdr:colOff>
      <xdr:row>21</xdr:row>
      <xdr:rowOff>74543</xdr:rowOff>
    </xdr:to>
    <xdr:cxnSp macro="">
      <xdr:nvCxnSpPr>
        <xdr:cNvPr id="271" name="Straight Arrow Connector 150"/>
        <xdr:cNvCxnSpPr/>
      </xdr:nvCxnSpPr>
      <xdr:spPr>
        <a:xfrm>
          <a:off x="3378240" y="2857438"/>
          <a:ext cx="274396" cy="521866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36423</xdr:colOff>
      <xdr:row>9</xdr:row>
      <xdr:rowOff>37374</xdr:rowOff>
    </xdr:from>
    <xdr:to>
      <xdr:col>7</xdr:col>
      <xdr:colOff>590550</xdr:colOff>
      <xdr:row>10</xdr:row>
      <xdr:rowOff>90162</xdr:rowOff>
    </xdr:to>
    <xdr:sp macro="" textlink="">
      <xdr:nvSpPr>
        <xdr:cNvPr id="274" name="TextBox 22"/>
        <xdr:cNvSpPr txBox="1">
          <a:spLocks noChangeArrowheads="1"/>
        </xdr:cNvSpPr>
      </xdr:nvSpPr>
      <xdr:spPr bwMode="auto">
        <a:xfrm>
          <a:off x="4475901" y="832504"/>
          <a:ext cx="1920758" cy="251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Fueling</a:t>
          </a:r>
          <a:r>
            <a:rPr lang="en-US" u="sng" baseline="0">
              <a:latin typeface="Times New Roman" pitchFamily="18" charset="0"/>
              <a:cs typeface="Times New Roman" pitchFamily="18" charset="0"/>
            </a:rPr>
            <a:t> system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15</xdr:col>
      <xdr:colOff>22076</xdr:colOff>
      <xdr:row>24</xdr:row>
      <xdr:rowOff>67295</xdr:rowOff>
    </xdr:from>
    <xdr:to>
      <xdr:col>18</xdr:col>
      <xdr:colOff>41414</xdr:colOff>
      <xdr:row>25</xdr:row>
      <xdr:rowOff>120082</xdr:rowOff>
    </xdr:to>
    <xdr:sp macro="" textlink="">
      <xdr:nvSpPr>
        <xdr:cNvPr id="281" name="TextBox 22"/>
        <xdr:cNvSpPr txBox="1">
          <a:spLocks noChangeArrowheads="1"/>
        </xdr:cNvSpPr>
      </xdr:nvSpPr>
      <xdr:spPr bwMode="auto">
        <a:xfrm>
          <a:off x="10408467" y="4042947"/>
          <a:ext cx="2230795" cy="251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 baseline="0">
              <a:latin typeface="Times New Roman" pitchFamily="18" charset="0"/>
              <a:cs typeface="Times New Roman" pitchFamily="18" charset="0"/>
            </a:rPr>
            <a:t>Разделение изотопов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605118</xdr:colOff>
      <xdr:row>20</xdr:row>
      <xdr:rowOff>40078</xdr:rowOff>
    </xdr:from>
    <xdr:to>
      <xdr:col>11</xdr:col>
      <xdr:colOff>605119</xdr:colOff>
      <xdr:row>24</xdr:row>
      <xdr:rowOff>47224</xdr:rowOff>
    </xdr:to>
    <xdr:cxnSp macro="">
      <xdr:nvCxnSpPr>
        <xdr:cNvPr id="287" name="Straight Arrow Connector 150"/>
        <xdr:cNvCxnSpPr/>
      </xdr:nvCxnSpPr>
      <xdr:spPr>
        <a:xfrm>
          <a:off x="8157082" y="3333007"/>
          <a:ext cx="1" cy="85078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3756</xdr:colOff>
      <xdr:row>28</xdr:row>
      <xdr:rowOff>92766</xdr:rowOff>
    </xdr:from>
    <xdr:to>
      <xdr:col>12</xdr:col>
      <xdr:colOff>5784</xdr:colOff>
      <xdr:row>33</xdr:row>
      <xdr:rowOff>7042</xdr:rowOff>
    </xdr:to>
    <xdr:cxnSp macro="">
      <xdr:nvCxnSpPr>
        <xdr:cNvPr id="288" name="Straight Arrow Connector 150"/>
        <xdr:cNvCxnSpPr/>
      </xdr:nvCxnSpPr>
      <xdr:spPr>
        <a:xfrm>
          <a:off x="10083691" y="4904962"/>
          <a:ext cx="2028" cy="95788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36</xdr:row>
      <xdr:rowOff>85725</xdr:rowOff>
    </xdr:from>
    <xdr:to>
      <xdr:col>18</xdr:col>
      <xdr:colOff>428625</xdr:colOff>
      <xdr:row>36</xdr:row>
      <xdr:rowOff>95251</xdr:rowOff>
    </xdr:to>
    <xdr:cxnSp macro="">
      <xdr:nvCxnSpPr>
        <xdr:cNvPr id="297" name="Straight Arrow Connector 150"/>
        <xdr:cNvCxnSpPr/>
      </xdr:nvCxnSpPr>
      <xdr:spPr>
        <a:xfrm flipV="1">
          <a:off x="12620625" y="6591300"/>
          <a:ext cx="428625" cy="95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683963</xdr:colOff>
      <xdr:row>39</xdr:row>
      <xdr:rowOff>51839</xdr:rowOff>
    </xdr:from>
    <xdr:to>
      <xdr:col>18</xdr:col>
      <xdr:colOff>124237</xdr:colOff>
      <xdr:row>40</xdr:row>
      <xdr:rowOff>107550</xdr:rowOff>
    </xdr:to>
    <xdr:sp macro="" textlink="">
      <xdr:nvSpPr>
        <xdr:cNvPr id="310" name="TextBox 22"/>
        <xdr:cNvSpPr txBox="1">
          <a:spLocks noChangeArrowheads="1"/>
        </xdr:cNvSpPr>
      </xdr:nvSpPr>
      <xdr:spPr bwMode="auto">
        <a:xfrm>
          <a:off x="12238202" y="8251622"/>
          <a:ext cx="2388883" cy="254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Разделение</a:t>
          </a:r>
          <a:r>
            <a:rPr lang="ru-RU" u="sng" baseline="0">
              <a:latin typeface="Times New Roman" pitchFamily="18" charset="0"/>
              <a:cs typeface="Times New Roman" pitchFamily="18" charset="0"/>
            </a:rPr>
            <a:t> вспомогательных газов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82499</xdr:colOff>
      <xdr:row>13</xdr:row>
      <xdr:rowOff>72398</xdr:rowOff>
    </xdr:from>
    <xdr:to>
      <xdr:col>11</xdr:col>
      <xdr:colOff>89086</xdr:colOff>
      <xdr:row>14</xdr:row>
      <xdr:rowOff>168089</xdr:rowOff>
    </xdr:to>
    <xdr:cxnSp macro="">
      <xdr:nvCxnSpPr>
        <xdr:cNvPr id="315" name="Straight Arrow Connector 150"/>
        <xdr:cNvCxnSpPr/>
      </xdr:nvCxnSpPr>
      <xdr:spPr>
        <a:xfrm>
          <a:off x="7635824" y="1748798"/>
          <a:ext cx="6587" cy="29571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57978</xdr:colOff>
      <xdr:row>9</xdr:row>
      <xdr:rowOff>168088</xdr:rowOff>
    </xdr:from>
    <xdr:to>
      <xdr:col>12</xdr:col>
      <xdr:colOff>107674</xdr:colOff>
      <xdr:row>13</xdr:row>
      <xdr:rowOff>67235</xdr:rowOff>
    </xdr:to>
    <xdr:sp macro="" textlink="">
      <xdr:nvSpPr>
        <xdr:cNvPr id="311" name="Прямоугольник 310"/>
        <xdr:cNvSpPr/>
      </xdr:nvSpPr>
      <xdr:spPr>
        <a:xfrm>
          <a:off x="6904772" y="974912"/>
          <a:ext cx="1495255" cy="705970"/>
        </a:xfrm>
        <a:prstGeom prst="rect">
          <a:avLst/>
        </a:prstGeom>
        <a:solidFill>
          <a:schemeClr val="tx2">
            <a:lumMod val="20000"/>
            <a:lumOff val="80000"/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155439</xdr:colOff>
      <xdr:row>43</xdr:row>
      <xdr:rowOff>2793</xdr:rowOff>
    </xdr:from>
    <xdr:to>
      <xdr:col>18</xdr:col>
      <xdr:colOff>4626</xdr:colOff>
      <xdr:row>46</xdr:row>
      <xdr:rowOff>109481</xdr:rowOff>
    </xdr:to>
    <xdr:sp macro="" textlink="">
      <xdr:nvSpPr>
        <xdr:cNvPr id="322" name="Прямоугольник 321"/>
        <xdr:cNvSpPr/>
      </xdr:nvSpPr>
      <xdr:spPr>
        <a:xfrm>
          <a:off x="12061689" y="8022843"/>
          <a:ext cx="563562" cy="69723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 sz="1200"/>
        </a:p>
      </xdr:txBody>
    </xdr:sp>
    <xdr:clientData/>
  </xdr:twoCellAnchor>
  <xdr:twoCellAnchor>
    <xdr:from>
      <xdr:col>15</xdr:col>
      <xdr:colOff>296430</xdr:colOff>
      <xdr:row>41</xdr:row>
      <xdr:rowOff>175160</xdr:rowOff>
    </xdr:from>
    <xdr:to>
      <xdr:col>15</xdr:col>
      <xdr:colOff>298175</xdr:colOff>
      <xdr:row>42</xdr:row>
      <xdr:rowOff>197004</xdr:rowOff>
    </xdr:to>
    <xdr:cxnSp macro="">
      <xdr:nvCxnSpPr>
        <xdr:cNvPr id="323" name="Прямая соединительная линия 322"/>
        <xdr:cNvCxnSpPr/>
      </xdr:nvCxnSpPr>
      <xdr:spPr>
        <a:xfrm flipH="1">
          <a:off x="10697730" y="7776110"/>
          <a:ext cx="1745" cy="231394"/>
        </a:xfrm>
        <a:prstGeom prst="line">
          <a:avLst/>
        </a:prstGeom>
        <a:ln w="1270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217615</xdr:colOff>
      <xdr:row>44</xdr:row>
      <xdr:rowOff>12775</xdr:rowOff>
    </xdr:from>
    <xdr:to>
      <xdr:col>17</xdr:col>
      <xdr:colOff>679176</xdr:colOff>
      <xdr:row>45</xdr:row>
      <xdr:rowOff>73771</xdr:rowOff>
    </xdr:to>
    <xdr:sp macro="" textlink="">
      <xdr:nvSpPr>
        <xdr:cNvPr id="219" name="TextBox 22"/>
        <xdr:cNvSpPr txBox="1">
          <a:spLocks noChangeArrowheads="1"/>
        </xdr:cNvSpPr>
      </xdr:nvSpPr>
      <xdr:spPr bwMode="auto">
        <a:xfrm>
          <a:off x="12123865" y="8232850"/>
          <a:ext cx="461561" cy="261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He</a:t>
          </a:r>
          <a:endParaRPr lang="ru-RU" sz="1200" baseline="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144925</xdr:colOff>
      <xdr:row>44</xdr:row>
      <xdr:rowOff>2930</xdr:rowOff>
    </xdr:from>
    <xdr:to>
      <xdr:col>17</xdr:col>
      <xdr:colOff>575888</xdr:colOff>
      <xdr:row>45</xdr:row>
      <xdr:rowOff>63926</xdr:rowOff>
    </xdr:to>
    <xdr:sp macro="" textlink="">
      <xdr:nvSpPr>
        <xdr:cNvPr id="324" name="TextBox 22"/>
        <xdr:cNvSpPr txBox="1">
          <a:spLocks noChangeArrowheads="1"/>
        </xdr:cNvSpPr>
      </xdr:nvSpPr>
      <xdr:spPr bwMode="auto">
        <a:xfrm>
          <a:off x="11327275" y="8223005"/>
          <a:ext cx="1154863" cy="261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...</a:t>
          </a:r>
          <a:endParaRPr lang="ru-RU" sz="1200" baseline="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14</xdr:col>
      <xdr:colOff>323850</xdr:colOff>
      <xdr:row>15</xdr:row>
      <xdr:rowOff>142875</xdr:rowOff>
    </xdr:from>
    <xdr:to>
      <xdr:col>14</xdr:col>
      <xdr:colOff>331306</xdr:colOff>
      <xdr:row>35</xdr:row>
      <xdr:rowOff>10886</xdr:rowOff>
    </xdr:to>
    <xdr:cxnSp macro="">
      <xdr:nvCxnSpPr>
        <xdr:cNvPr id="347" name="Straight Arrow Connector 150"/>
        <xdr:cNvCxnSpPr/>
      </xdr:nvCxnSpPr>
      <xdr:spPr>
        <a:xfrm flipH="1" flipV="1">
          <a:off x="10001250" y="2257425"/>
          <a:ext cx="7456" cy="4059011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173934</xdr:colOff>
      <xdr:row>26</xdr:row>
      <xdr:rowOff>143674</xdr:rowOff>
    </xdr:from>
    <xdr:to>
      <xdr:col>9</xdr:col>
      <xdr:colOff>715715</xdr:colOff>
      <xdr:row>26</xdr:row>
      <xdr:rowOff>151468</xdr:rowOff>
    </xdr:to>
    <xdr:cxnSp macro="">
      <xdr:nvCxnSpPr>
        <xdr:cNvPr id="349" name="Straight Arrow Connector 150"/>
        <xdr:cNvCxnSpPr/>
      </xdr:nvCxnSpPr>
      <xdr:spPr>
        <a:xfrm flipH="1">
          <a:off x="5589577" y="4688460"/>
          <a:ext cx="1235745" cy="779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558341</xdr:colOff>
      <xdr:row>33</xdr:row>
      <xdr:rowOff>49068</xdr:rowOff>
    </xdr:from>
    <xdr:to>
      <xdr:col>21</xdr:col>
      <xdr:colOff>521313</xdr:colOff>
      <xdr:row>34</xdr:row>
      <xdr:rowOff>104779</xdr:rowOff>
    </xdr:to>
    <xdr:sp macro="" textlink="">
      <xdr:nvSpPr>
        <xdr:cNvPr id="354" name="TextBox 22"/>
        <xdr:cNvSpPr txBox="1">
          <a:spLocks noChangeArrowheads="1"/>
        </xdr:cNvSpPr>
      </xdr:nvSpPr>
      <xdr:spPr bwMode="auto">
        <a:xfrm>
          <a:off x="15081165" y="8296597"/>
          <a:ext cx="2248972" cy="2574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Detritiation</a:t>
          </a:r>
          <a:r>
            <a:rPr lang="en-US" u="sng" baseline="0">
              <a:latin typeface="Times New Roman" pitchFamily="18" charset="0"/>
              <a:cs typeface="Times New Roman" pitchFamily="18" charset="0"/>
            </a:rPr>
            <a:t> System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492079</xdr:colOff>
      <xdr:row>34</xdr:row>
      <xdr:rowOff>139972</xdr:rowOff>
    </xdr:from>
    <xdr:to>
      <xdr:col>21</xdr:col>
      <xdr:colOff>459435</xdr:colOff>
      <xdr:row>36</xdr:row>
      <xdr:rowOff>171450</xdr:rowOff>
    </xdr:to>
    <xdr:sp macro="" textlink="">
      <xdr:nvSpPr>
        <xdr:cNvPr id="355" name="Прямоугольник 354"/>
        <xdr:cNvSpPr/>
      </xdr:nvSpPr>
      <xdr:spPr>
        <a:xfrm>
          <a:off x="13112704" y="6245497"/>
          <a:ext cx="2329556" cy="431528"/>
        </a:xfrm>
        <a:prstGeom prst="rect">
          <a:avLst/>
        </a:prstGeom>
        <a:solidFill>
          <a:schemeClr val="tx2">
            <a:lumMod val="20000"/>
            <a:lumOff val="80000"/>
            <a:alpha val="48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500362</xdr:colOff>
      <xdr:row>38</xdr:row>
      <xdr:rowOff>133350</xdr:rowOff>
    </xdr:from>
    <xdr:to>
      <xdr:col>21</xdr:col>
      <xdr:colOff>448230</xdr:colOff>
      <xdr:row>40</xdr:row>
      <xdr:rowOff>171449</xdr:rowOff>
    </xdr:to>
    <xdr:sp macro="" textlink="">
      <xdr:nvSpPr>
        <xdr:cNvPr id="356" name="Прямоугольник 355"/>
        <xdr:cNvSpPr/>
      </xdr:nvSpPr>
      <xdr:spPr>
        <a:xfrm>
          <a:off x="13120987" y="7077075"/>
          <a:ext cx="2310068" cy="447674"/>
        </a:xfrm>
        <a:prstGeom prst="rect">
          <a:avLst/>
        </a:prstGeom>
        <a:solidFill>
          <a:schemeClr val="tx2">
            <a:lumMod val="20000"/>
            <a:lumOff val="80000"/>
            <a:alpha val="48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591470</xdr:colOff>
      <xdr:row>38</xdr:row>
      <xdr:rowOff>120367</xdr:rowOff>
    </xdr:from>
    <xdr:to>
      <xdr:col>21</xdr:col>
      <xdr:colOff>363942</xdr:colOff>
      <xdr:row>40</xdr:row>
      <xdr:rowOff>127445</xdr:rowOff>
    </xdr:to>
    <xdr:sp macro="" textlink="">
      <xdr:nvSpPr>
        <xdr:cNvPr id="357" name="TextBox 22"/>
        <xdr:cNvSpPr txBox="1">
          <a:spLocks noChangeArrowheads="1"/>
        </xdr:cNvSpPr>
      </xdr:nvSpPr>
      <xdr:spPr bwMode="auto">
        <a:xfrm>
          <a:off x="13212095" y="7064092"/>
          <a:ext cx="2134672" cy="416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Water Detritiation</a:t>
          </a:r>
        </a:p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CECE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534735</xdr:colOff>
      <xdr:row>34</xdr:row>
      <xdr:rowOff>156957</xdr:rowOff>
    </xdr:from>
    <xdr:to>
      <xdr:col>21</xdr:col>
      <xdr:colOff>424138</xdr:colOff>
      <xdr:row>36</xdr:row>
      <xdr:rowOff>173560</xdr:rowOff>
    </xdr:to>
    <xdr:sp macro="" textlink="">
      <xdr:nvSpPr>
        <xdr:cNvPr id="358" name="TextBox 22"/>
        <xdr:cNvSpPr txBox="1">
          <a:spLocks noChangeArrowheads="1"/>
        </xdr:cNvSpPr>
      </xdr:nvSpPr>
      <xdr:spPr bwMode="auto">
        <a:xfrm>
          <a:off x="13155360" y="6262482"/>
          <a:ext cx="2251603" cy="416653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Exhaust Detritiation</a:t>
          </a:r>
          <a:endParaRPr lang="ru-RU" u="sng">
            <a:latin typeface="Times New Roman" pitchFamily="18" charset="0"/>
            <a:cs typeface="Times New Roman" pitchFamily="18" charset="0"/>
          </a:endParaRPr>
        </a:p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PERMCAT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388531</xdr:colOff>
      <xdr:row>36</xdr:row>
      <xdr:rowOff>217001</xdr:rowOff>
    </xdr:from>
    <xdr:to>
      <xdr:col>20</xdr:col>
      <xdr:colOff>400979</xdr:colOff>
      <xdr:row>38</xdr:row>
      <xdr:rowOff>71885</xdr:rowOff>
    </xdr:to>
    <xdr:cxnSp macro="">
      <xdr:nvCxnSpPr>
        <xdr:cNvPr id="359" name="Straight Arrow Connector 150"/>
        <xdr:cNvCxnSpPr/>
      </xdr:nvCxnSpPr>
      <xdr:spPr>
        <a:xfrm flipH="1">
          <a:off x="14637931" y="6722576"/>
          <a:ext cx="12448" cy="29303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368349</xdr:colOff>
      <xdr:row>36</xdr:row>
      <xdr:rowOff>189224</xdr:rowOff>
    </xdr:from>
    <xdr:to>
      <xdr:col>19</xdr:col>
      <xdr:colOff>368350</xdr:colOff>
      <xdr:row>38</xdr:row>
      <xdr:rowOff>62245</xdr:rowOff>
    </xdr:to>
    <xdr:cxnSp macro="">
      <xdr:nvCxnSpPr>
        <xdr:cNvPr id="360" name="Straight Arrow Connector 150"/>
        <xdr:cNvCxnSpPr/>
      </xdr:nvCxnSpPr>
      <xdr:spPr>
        <a:xfrm flipH="1" flipV="1">
          <a:off x="13798599" y="6694799"/>
          <a:ext cx="1" cy="31117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664233</xdr:colOff>
      <xdr:row>28</xdr:row>
      <xdr:rowOff>103039</xdr:rowOff>
    </xdr:from>
    <xdr:to>
      <xdr:col>7</xdr:col>
      <xdr:colOff>311331</xdr:colOff>
      <xdr:row>29</xdr:row>
      <xdr:rowOff>137019</xdr:rowOff>
    </xdr:to>
    <xdr:sp macro="" textlink="">
      <xdr:nvSpPr>
        <xdr:cNvPr id="382" name="TextBox 134"/>
        <xdr:cNvSpPr txBox="1">
          <a:spLocks noChangeArrowheads="1"/>
        </xdr:cNvSpPr>
      </xdr:nvSpPr>
      <xdr:spPr bwMode="auto">
        <a:xfrm>
          <a:off x="5079351" y="4932774"/>
          <a:ext cx="1014215" cy="26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H&lt;0.5% </a:t>
          </a:r>
          <a:endParaRPr lang="ru-RU" sz="120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12</xdr:col>
      <xdr:colOff>640592</xdr:colOff>
      <xdr:row>36</xdr:row>
      <xdr:rowOff>89057</xdr:rowOff>
    </xdr:from>
    <xdr:to>
      <xdr:col>14</xdr:col>
      <xdr:colOff>713593</xdr:colOff>
      <xdr:row>37</xdr:row>
      <xdr:rowOff>108590</xdr:rowOff>
    </xdr:to>
    <xdr:sp macro="" textlink="">
      <xdr:nvSpPr>
        <xdr:cNvPr id="383" name="TextBox 134"/>
        <xdr:cNvSpPr txBox="1">
          <a:spLocks noChangeArrowheads="1"/>
        </xdr:cNvSpPr>
      </xdr:nvSpPr>
      <xdr:spPr bwMode="auto">
        <a:xfrm>
          <a:off x="8917817" y="6594632"/>
          <a:ext cx="1473176" cy="2576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C,</a:t>
          </a:r>
          <a:r>
            <a:rPr lang="en-US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N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, Ne,</a:t>
          </a:r>
          <a:r>
            <a:rPr lang="en-US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Ar, ... 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He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379513</xdr:colOff>
      <xdr:row>14</xdr:row>
      <xdr:rowOff>15721</xdr:rowOff>
    </xdr:from>
    <xdr:to>
      <xdr:col>14</xdr:col>
      <xdr:colOff>284749</xdr:colOff>
      <xdr:row>15</xdr:row>
      <xdr:rowOff>60927</xdr:rowOff>
    </xdr:to>
    <xdr:sp macro="" textlink="">
      <xdr:nvSpPr>
        <xdr:cNvPr id="386" name="TextBox 134"/>
        <xdr:cNvSpPr txBox="1">
          <a:spLocks noChangeArrowheads="1"/>
        </xdr:cNvSpPr>
      </xdr:nvSpPr>
      <xdr:spPr bwMode="auto">
        <a:xfrm>
          <a:off x="9304438" y="1892146"/>
          <a:ext cx="657711" cy="283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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%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329934</xdr:colOff>
      <xdr:row>19</xdr:row>
      <xdr:rowOff>187064</xdr:rowOff>
    </xdr:from>
    <xdr:to>
      <xdr:col>12</xdr:col>
      <xdr:colOff>74444</xdr:colOff>
      <xdr:row>20</xdr:row>
      <xdr:rowOff>174760</xdr:rowOff>
    </xdr:to>
    <xdr:sp macro="" textlink="">
      <xdr:nvSpPr>
        <xdr:cNvPr id="389" name="TextBox 134"/>
        <xdr:cNvSpPr txBox="1">
          <a:spLocks noChangeArrowheads="1"/>
        </xdr:cNvSpPr>
      </xdr:nvSpPr>
      <xdr:spPr bwMode="auto">
        <a:xfrm>
          <a:off x="7160720" y="3275885"/>
          <a:ext cx="1186867" cy="191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D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r>
            <a:rPr lang="ru-RU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или</a:t>
          </a:r>
          <a:r>
            <a:rPr lang="ru-RU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D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2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+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T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2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</xdr:colOff>
      <xdr:row>9</xdr:row>
      <xdr:rowOff>162933</xdr:rowOff>
    </xdr:from>
    <xdr:to>
      <xdr:col>12</xdr:col>
      <xdr:colOff>117902</xdr:colOff>
      <xdr:row>11</xdr:row>
      <xdr:rowOff>15696</xdr:rowOff>
    </xdr:to>
    <xdr:sp macro="" textlink="">
      <xdr:nvSpPr>
        <xdr:cNvPr id="313" name="TextBox 22"/>
        <xdr:cNvSpPr txBox="1">
          <a:spLocks noChangeArrowheads="1"/>
        </xdr:cNvSpPr>
      </xdr:nvSpPr>
      <xdr:spPr bwMode="auto">
        <a:xfrm>
          <a:off x="6838951" y="1039233"/>
          <a:ext cx="1556176" cy="252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Стартовый накопитель </a:t>
          </a:r>
        </a:p>
      </xdr:txBody>
    </xdr:sp>
    <xdr:clientData/>
  </xdr:twoCellAnchor>
  <xdr:twoCellAnchor>
    <xdr:from>
      <xdr:col>1</xdr:col>
      <xdr:colOff>307947</xdr:colOff>
      <xdr:row>5</xdr:row>
      <xdr:rowOff>170029</xdr:rowOff>
    </xdr:from>
    <xdr:to>
      <xdr:col>2</xdr:col>
      <xdr:colOff>561975</xdr:colOff>
      <xdr:row>7</xdr:row>
      <xdr:rowOff>190501</xdr:rowOff>
    </xdr:to>
    <xdr:sp macro="" textlink="">
      <xdr:nvSpPr>
        <xdr:cNvPr id="314" name="TextBox 22"/>
        <xdr:cNvSpPr txBox="1">
          <a:spLocks noChangeArrowheads="1"/>
        </xdr:cNvSpPr>
      </xdr:nvSpPr>
      <xdr:spPr bwMode="auto">
        <a:xfrm>
          <a:off x="927072" y="170029"/>
          <a:ext cx="939828" cy="458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Long-term Storage Bed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537888</xdr:colOff>
      <xdr:row>28</xdr:row>
      <xdr:rowOff>240197</xdr:rowOff>
    </xdr:from>
    <xdr:to>
      <xdr:col>20</xdr:col>
      <xdr:colOff>538320</xdr:colOff>
      <xdr:row>32</xdr:row>
      <xdr:rowOff>173935</xdr:rowOff>
    </xdr:to>
    <xdr:cxnSp macro="">
      <xdr:nvCxnSpPr>
        <xdr:cNvPr id="289" name="Straight Arrow Connector 150"/>
        <xdr:cNvCxnSpPr/>
      </xdr:nvCxnSpPr>
      <xdr:spPr>
        <a:xfrm flipV="1">
          <a:off x="16607123" y="7367138"/>
          <a:ext cx="432" cy="85262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224118</xdr:colOff>
      <xdr:row>22</xdr:row>
      <xdr:rowOff>78442</xdr:rowOff>
    </xdr:from>
    <xdr:to>
      <xdr:col>21</xdr:col>
      <xdr:colOff>123265</xdr:colOff>
      <xdr:row>27</xdr:row>
      <xdr:rowOff>134472</xdr:rowOff>
    </xdr:to>
    <xdr:sp macro="" textlink="">
      <xdr:nvSpPr>
        <xdr:cNvPr id="15" name="Трапеция 14"/>
        <xdr:cNvSpPr/>
      </xdr:nvSpPr>
      <xdr:spPr>
        <a:xfrm>
          <a:off x="14500412" y="3653118"/>
          <a:ext cx="627529" cy="1098178"/>
        </a:xfrm>
        <a:prstGeom prst="trapezoid">
          <a:avLst/>
        </a:prstGeom>
        <a:solidFill>
          <a:schemeClr val="accent1">
            <a:alpha val="29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20</xdr:col>
      <xdr:colOff>152147</xdr:colOff>
      <xdr:row>27</xdr:row>
      <xdr:rowOff>156884</xdr:rowOff>
    </xdr:from>
    <xdr:to>
      <xdr:col>21</xdr:col>
      <xdr:colOff>185764</xdr:colOff>
      <xdr:row>28</xdr:row>
      <xdr:rowOff>212912</xdr:rowOff>
    </xdr:to>
    <xdr:sp macro="" textlink="">
      <xdr:nvSpPr>
        <xdr:cNvPr id="20" name="Прямоугольник 19"/>
        <xdr:cNvSpPr/>
      </xdr:nvSpPr>
      <xdr:spPr>
        <a:xfrm>
          <a:off x="16221382" y="7082119"/>
          <a:ext cx="773206" cy="257734"/>
        </a:xfrm>
        <a:prstGeom prst="rect">
          <a:avLst/>
        </a:prstGeom>
        <a:solidFill>
          <a:schemeClr val="accent1">
            <a:alpha val="29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Stack</a:t>
          </a:r>
          <a:endParaRPr lang="ru-RU" sz="1100" u="sng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2262</xdr:colOff>
      <xdr:row>27</xdr:row>
      <xdr:rowOff>121549</xdr:rowOff>
    </xdr:from>
    <xdr:to>
      <xdr:col>14</xdr:col>
      <xdr:colOff>714375</xdr:colOff>
      <xdr:row>27</xdr:row>
      <xdr:rowOff>123825</xdr:rowOff>
    </xdr:to>
    <xdr:cxnSp macro="">
      <xdr:nvCxnSpPr>
        <xdr:cNvPr id="304" name="Straight Arrow Connector 150"/>
        <xdr:cNvCxnSpPr/>
      </xdr:nvCxnSpPr>
      <xdr:spPr>
        <a:xfrm>
          <a:off x="8927187" y="4779274"/>
          <a:ext cx="1464588" cy="2276"/>
        </a:xfrm>
        <a:prstGeom prst="straightConnector1">
          <a:avLst/>
        </a:prstGeom>
        <a:ln w="38100">
          <a:solidFill>
            <a:srgbClr val="FFC000"/>
          </a:solidFill>
          <a:prstDash val="dash"/>
          <a:tailEnd type="arrow"/>
        </a:ln>
        <a:effectLst>
          <a:outerShdw blurRad="50800" dist="50800" dir="5400000" algn="ctr" rotWithShape="0">
            <a:schemeClr val="tx1">
              <a:alpha val="61000"/>
            </a:scheme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667310</xdr:colOff>
      <xdr:row>35</xdr:row>
      <xdr:rowOff>125506</xdr:rowOff>
    </xdr:from>
    <xdr:to>
      <xdr:col>11</xdr:col>
      <xdr:colOff>615203</xdr:colOff>
      <xdr:row>38</xdr:row>
      <xdr:rowOff>101413</xdr:rowOff>
    </xdr:to>
    <xdr:sp macro="" textlink="">
      <xdr:nvSpPr>
        <xdr:cNvPr id="335" name="Овал 334"/>
        <xdr:cNvSpPr/>
      </xdr:nvSpPr>
      <xdr:spPr>
        <a:xfrm>
          <a:off x="28973369" y="6770594"/>
          <a:ext cx="665069" cy="67067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61</xdr:col>
      <xdr:colOff>571500</xdr:colOff>
      <xdr:row>34</xdr:row>
      <xdr:rowOff>205467</xdr:rowOff>
    </xdr:from>
    <xdr:to>
      <xdr:col>65</xdr:col>
      <xdr:colOff>2722</xdr:colOff>
      <xdr:row>36</xdr:row>
      <xdr:rowOff>9525</xdr:rowOff>
    </xdr:to>
    <xdr:sp macro="" textlink="">
      <xdr:nvSpPr>
        <xdr:cNvPr id="194" name="Прямоугольник 193"/>
        <xdr:cNvSpPr/>
      </xdr:nvSpPr>
      <xdr:spPr>
        <a:xfrm>
          <a:off x="44424600" y="7149192"/>
          <a:ext cx="1936297" cy="2231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278549</xdr:colOff>
      <xdr:row>23</xdr:row>
      <xdr:rowOff>25256</xdr:rowOff>
    </xdr:from>
    <xdr:to>
      <xdr:col>7</xdr:col>
      <xdr:colOff>414620</xdr:colOff>
      <xdr:row>30</xdr:row>
      <xdr:rowOff>8282</xdr:rowOff>
    </xdr:to>
    <xdr:sp macro="" textlink="">
      <xdr:nvSpPr>
        <xdr:cNvPr id="202" name="Oval 266"/>
        <xdr:cNvSpPr/>
      </xdr:nvSpPr>
      <xdr:spPr>
        <a:xfrm>
          <a:off x="4718027" y="3760713"/>
          <a:ext cx="1502702" cy="1457330"/>
        </a:xfrm>
        <a:prstGeom prst="ellipse">
          <a:avLst/>
        </a:prstGeom>
        <a:solidFill>
          <a:srgbClr val="FF0000">
            <a:alpha val="36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/>
        </a:p>
      </xdr:txBody>
    </xdr:sp>
    <xdr:clientData/>
  </xdr:twoCellAnchor>
  <xdr:twoCellAnchor>
    <xdr:from>
      <xdr:col>5</xdr:col>
      <xdr:colOff>326656</xdr:colOff>
      <xdr:row>24</xdr:row>
      <xdr:rowOff>188260</xdr:rowOff>
    </xdr:from>
    <xdr:to>
      <xdr:col>7</xdr:col>
      <xdr:colOff>383804</xdr:colOff>
      <xdr:row>27</xdr:row>
      <xdr:rowOff>211433</xdr:rowOff>
    </xdr:to>
    <xdr:sp macro="" textlink="">
      <xdr:nvSpPr>
        <xdr:cNvPr id="158" name="TextBox 267"/>
        <xdr:cNvSpPr txBox="1">
          <a:spLocks noChangeArrowheads="1"/>
        </xdr:cNvSpPr>
      </xdr:nvSpPr>
      <xdr:spPr bwMode="auto">
        <a:xfrm>
          <a:off x="3546106" y="4217335"/>
          <a:ext cx="1476373" cy="623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sz="1800">
              <a:latin typeface="Times New Roman" pitchFamily="18" charset="0"/>
              <a:cs typeface="Times New Roman" pitchFamily="18" charset="0"/>
            </a:rPr>
            <a:t>plasma</a:t>
          </a:r>
        </a:p>
        <a:p>
          <a:pPr algn="ctr" eaLnBrk="1" hangingPunct="1"/>
          <a:r>
            <a:rPr lang="en-US" sz="1800">
              <a:latin typeface="Times New Roman" pitchFamily="18" charset="0"/>
              <a:cs typeface="Times New Roman" pitchFamily="18" charset="0"/>
            </a:rPr>
            <a:t>core</a:t>
          </a:r>
        </a:p>
      </xdr:txBody>
    </xdr:sp>
    <xdr:clientData/>
  </xdr:twoCellAnchor>
  <xdr:twoCellAnchor>
    <xdr:from>
      <xdr:col>5</xdr:col>
      <xdr:colOff>549583</xdr:colOff>
      <xdr:row>21</xdr:row>
      <xdr:rowOff>184165</xdr:rowOff>
    </xdr:from>
    <xdr:to>
      <xdr:col>6</xdr:col>
      <xdr:colOff>24855</xdr:colOff>
      <xdr:row>23</xdr:row>
      <xdr:rowOff>74543</xdr:rowOff>
    </xdr:to>
    <xdr:cxnSp macro="">
      <xdr:nvCxnSpPr>
        <xdr:cNvPr id="206" name="Straight Arrow Connector 150"/>
        <xdr:cNvCxnSpPr/>
      </xdr:nvCxnSpPr>
      <xdr:spPr>
        <a:xfrm>
          <a:off x="3771518" y="3488926"/>
          <a:ext cx="171011" cy="279660"/>
        </a:xfrm>
        <a:prstGeom prst="straightConnector1">
          <a:avLst/>
        </a:prstGeom>
        <a:ln w="38100">
          <a:solidFill>
            <a:srgbClr val="FF0000"/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13641</xdr:colOff>
      <xdr:row>21</xdr:row>
      <xdr:rowOff>173935</xdr:rowOff>
    </xdr:from>
    <xdr:to>
      <xdr:col>7</xdr:col>
      <xdr:colOff>223630</xdr:colOff>
      <xdr:row>23</xdr:row>
      <xdr:rowOff>83386</xdr:rowOff>
    </xdr:to>
    <xdr:cxnSp macro="">
      <xdr:nvCxnSpPr>
        <xdr:cNvPr id="209" name="Straight Arrow Connector 150"/>
        <xdr:cNvCxnSpPr/>
      </xdr:nvCxnSpPr>
      <xdr:spPr>
        <a:xfrm flipH="1">
          <a:off x="5819750" y="3478696"/>
          <a:ext cx="209989" cy="340147"/>
        </a:xfrm>
        <a:prstGeom prst="straightConnector1">
          <a:avLst/>
        </a:prstGeom>
        <a:ln w="38100">
          <a:solidFill>
            <a:srgbClr val="FF00FF"/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447258</xdr:colOff>
      <xdr:row>26</xdr:row>
      <xdr:rowOff>112079</xdr:rowOff>
    </xdr:from>
    <xdr:to>
      <xdr:col>8</xdr:col>
      <xdr:colOff>63428</xdr:colOff>
      <xdr:row>26</xdr:row>
      <xdr:rowOff>115957</xdr:rowOff>
    </xdr:to>
    <xdr:cxnSp macro="">
      <xdr:nvCxnSpPr>
        <xdr:cNvPr id="211" name="Straight Arrow Connector 150"/>
        <xdr:cNvCxnSpPr/>
      </xdr:nvCxnSpPr>
      <xdr:spPr>
        <a:xfrm flipH="1">
          <a:off x="6253367" y="4443883"/>
          <a:ext cx="394735" cy="3878"/>
        </a:xfrm>
        <a:prstGeom prst="straightConnector1">
          <a:avLst/>
        </a:prstGeom>
        <a:ln w="38100"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31893</xdr:colOff>
      <xdr:row>12</xdr:row>
      <xdr:rowOff>180975</xdr:rowOff>
    </xdr:from>
    <xdr:to>
      <xdr:col>18</xdr:col>
      <xdr:colOff>3313</xdr:colOff>
      <xdr:row>17</xdr:row>
      <xdr:rowOff>30675</xdr:rowOff>
    </xdr:to>
    <xdr:sp macro="" textlink="">
      <xdr:nvSpPr>
        <xdr:cNvPr id="480" name="Прямоугольник 479"/>
        <xdr:cNvSpPr/>
      </xdr:nvSpPr>
      <xdr:spPr>
        <a:xfrm>
          <a:off x="10433193" y="1666875"/>
          <a:ext cx="2190745" cy="916500"/>
        </a:xfrm>
        <a:prstGeom prst="rect">
          <a:avLst/>
        </a:prstGeom>
        <a:solidFill>
          <a:schemeClr val="tx2">
            <a:lumMod val="20000"/>
            <a:lumOff val="80000"/>
            <a:alpha val="3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268941</xdr:colOff>
      <xdr:row>9</xdr:row>
      <xdr:rowOff>24846</xdr:rowOff>
    </xdr:from>
    <xdr:to>
      <xdr:col>3</xdr:col>
      <xdr:colOff>448235</xdr:colOff>
      <xdr:row>13</xdr:row>
      <xdr:rowOff>89646</xdr:rowOff>
    </xdr:to>
    <xdr:sp macro="" textlink="">
      <xdr:nvSpPr>
        <xdr:cNvPr id="482" name="Прямоугольник 481"/>
        <xdr:cNvSpPr/>
      </xdr:nvSpPr>
      <xdr:spPr>
        <a:xfrm>
          <a:off x="885265" y="831670"/>
          <a:ext cx="1467970" cy="871623"/>
        </a:xfrm>
        <a:prstGeom prst="rect">
          <a:avLst/>
        </a:prstGeom>
        <a:solidFill>
          <a:schemeClr val="tx2">
            <a:lumMod val="20000"/>
            <a:lumOff val="80000"/>
            <a:alpha val="48000"/>
          </a:schemeClr>
        </a:solidFill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320540" rtl="0" fontAlgn="auto">
            <a:spcBef>
              <a:spcPts val="0"/>
            </a:spcBef>
            <a:spcAft>
              <a:spcPts val="0"/>
            </a:spcAft>
            <a:defRPr/>
          </a:pPr>
          <a:endParaRPr lang="ru-RU" sz="110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198782</xdr:colOff>
      <xdr:row>19</xdr:row>
      <xdr:rowOff>190508</xdr:rowOff>
    </xdr:from>
    <xdr:to>
      <xdr:col>8</xdr:col>
      <xdr:colOff>430697</xdr:colOff>
      <xdr:row>32</xdr:row>
      <xdr:rowOff>182215</xdr:rowOff>
    </xdr:to>
    <xdr:sp macro="" textlink="">
      <xdr:nvSpPr>
        <xdr:cNvPr id="28" name="Овал 27"/>
        <xdr:cNvSpPr/>
      </xdr:nvSpPr>
      <xdr:spPr>
        <a:xfrm>
          <a:off x="2112065" y="3056291"/>
          <a:ext cx="4903306" cy="2874054"/>
        </a:xfrm>
        <a:prstGeom prst="ellipse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140803</xdr:colOff>
      <xdr:row>14</xdr:row>
      <xdr:rowOff>47625</xdr:rowOff>
    </xdr:from>
    <xdr:to>
      <xdr:col>14</xdr:col>
      <xdr:colOff>666750</xdr:colOff>
      <xdr:row>14</xdr:row>
      <xdr:rowOff>49628</xdr:rowOff>
    </xdr:to>
    <xdr:cxnSp macro="">
      <xdr:nvCxnSpPr>
        <xdr:cNvPr id="483" name="Straight Arrow Connector 150"/>
        <xdr:cNvCxnSpPr/>
      </xdr:nvCxnSpPr>
      <xdr:spPr>
        <a:xfrm flipH="1">
          <a:off x="4055578" y="1924050"/>
          <a:ext cx="6288572" cy="2003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359479</xdr:colOff>
      <xdr:row>24</xdr:row>
      <xdr:rowOff>190502</xdr:rowOff>
    </xdr:from>
    <xdr:to>
      <xdr:col>4</xdr:col>
      <xdr:colOff>57992</xdr:colOff>
      <xdr:row>24</xdr:row>
      <xdr:rowOff>193815</xdr:rowOff>
    </xdr:to>
    <xdr:cxnSp macro="">
      <xdr:nvCxnSpPr>
        <xdr:cNvPr id="485" name="Прямая со стрелкой 484"/>
        <xdr:cNvCxnSpPr/>
      </xdr:nvCxnSpPr>
      <xdr:spPr>
        <a:xfrm flipH="1">
          <a:off x="3498588" y="4124741"/>
          <a:ext cx="294861" cy="3313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354510</xdr:colOff>
      <xdr:row>25</xdr:row>
      <xdr:rowOff>110989</xdr:rowOff>
    </xdr:from>
    <xdr:to>
      <xdr:col>4</xdr:col>
      <xdr:colOff>53023</xdr:colOff>
      <xdr:row>25</xdr:row>
      <xdr:rowOff>114302</xdr:rowOff>
    </xdr:to>
    <xdr:cxnSp macro="">
      <xdr:nvCxnSpPr>
        <xdr:cNvPr id="486" name="Прямая со стрелкой 485"/>
        <xdr:cNvCxnSpPr/>
      </xdr:nvCxnSpPr>
      <xdr:spPr>
        <a:xfrm flipH="1">
          <a:off x="3493619" y="4244011"/>
          <a:ext cx="294861" cy="3313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354509</xdr:colOff>
      <xdr:row>26</xdr:row>
      <xdr:rowOff>36446</xdr:rowOff>
    </xdr:from>
    <xdr:to>
      <xdr:col>4</xdr:col>
      <xdr:colOff>53022</xdr:colOff>
      <xdr:row>26</xdr:row>
      <xdr:rowOff>39759</xdr:rowOff>
    </xdr:to>
    <xdr:cxnSp macro="">
      <xdr:nvCxnSpPr>
        <xdr:cNvPr id="487" name="Прямая со стрелкой 486"/>
        <xdr:cNvCxnSpPr/>
      </xdr:nvCxnSpPr>
      <xdr:spPr>
        <a:xfrm flipH="1">
          <a:off x="3493618" y="4368250"/>
          <a:ext cx="294861" cy="3313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349540</xdr:colOff>
      <xdr:row>26</xdr:row>
      <xdr:rowOff>155716</xdr:rowOff>
    </xdr:from>
    <xdr:to>
      <xdr:col>4</xdr:col>
      <xdr:colOff>48053</xdr:colOff>
      <xdr:row>26</xdr:row>
      <xdr:rowOff>159029</xdr:rowOff>
    </xdr:to>
    <xdr:cxnSp macro="">
      <xdr:nvCxnSpPr>
        <xdr:cNvPr id="488" name="Прямая со стрелкой 487"/>
        <xdr:cNvCxnSpPr/>
      </xdr:nvCxnSpPr>
      <xdr:spPr>
        <a:xfrm flipH="1">
          <a:off x="3488649" y="4487520"/>
          <a:ext cx="294861" cy="3313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332613</xdr:colOff>
      <xdr:row>27</xdr:row>
      <xdr:rowOff>70062</xdr:rowOff>
    </xdr:from>
    <xdr:to>
      <xdr:col>4</xdr:col>
      <xdr:colOff>47691</xdr:colOff>
      <xdr:row>27</xdr:row>
      <xdr:rowOff>73375</xdr:rowOff>
    </xdr:to>
    <xdr:cxnSp macro="">
      <xdr:nvCxnSpPr>
        <xdr:cNvPr id="489" name="Прямая со стрелкой 488"/>
        <xdr:cNvCxnSpPr/>
      </xdr:nvCxnSpPr>
      <xdr:spPr>
        <a:xfrm flipH="1">
          <a:off x="2237613" y="4630856"/>
          <a:ext cx="320196" cy="3313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347133</xdr:colOff>
      <xdr:row>27</xdr:row>
      <xdr:rowOff>166921</xdr:rowOff>
    </xdr:from>
    <xdr:to>
      <xdr:col>4</xdr:col>
      <xdr:colOff>62211</xdr:colOff>
      <xdr:row>27</xdr:row>
      <xdr:rowOff>170234</xdr:rowOff>
    </xdr:to>
    <xdr:cxnSp macro="">
      <xdr:nvCxnSpPr>
        <xdr:cNvPr id="490" name="Прямая со стрелкой 489"/>
        <xdr:cNvCxnSpPr/>
      </xdr:nvCxnSpPr>
      <xdr:spPr>
        <a:xfrm flipH="1">
          <a:off x="2252133" y="4727715"/>
          <a:ext cx="320196" cy="3313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493060</xdr:colOff>
      <xdr:row>18</xdr:row>
      <xdr:rowOff>158833</xdr:rowOff>
    </xdr:from>
    <xdr:to>
      <xdr:col>2</xdr:col>
      <xdr:colOff>494031</xdr:colOff>
      <xdr:row>24</xdr:row>
      <xdr:rowOff>123265</xdr:rowOff>
    </xdr:to>
    <xdr:cxnSp macro="">
      <xdr:nvCxnSpPr>
        <xdr:cNvPr id="499" name="Straight Arrow Connector 150"/>
        <xdr:cNvCxnSpPr/>
      </xdr:nvCxnSpPr>
      <xdr:spPr>
        <a:xfrm flipV="1">
          <a:off x="1792942" y="2848245"/>
          <a:ext cx="971" cy="1197079"/>
        </a:xfrm>
        <a:prstGeom prst="straightConnector1">
          <a:avLst/>
        </a:prstGeom>
        <a:ln w="38100">
          <a:solidFill>
            <a:schemeClr val="bg1">
              <a:lumMod val="6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502310</xdr:colOff>
      <xdr:row>19</xdr:row>
      <xdr:rowOff>71156</xdr:rowOff>
    </xdr:from>
    <xdr:to>
      <xdr:col>3</xdr:col>
      <xdr:colOff>320093</xdr:colOff>
      <xdr:row>24</xdr:row>
      <xdr:rowOff>79926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802192" y="2962274"/>
          <a:ext cx="422901" cy="10397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36576" tIns="32004" rIns="0" bIns="0" anchor="t" upright="1"/>
        <a:lstStyle/>
        <a:p>
          <a:pPr algn="ctr" rtl="0">
            <a:defRPr sz="1000"/>
          </a:pPr>
          <a:r>
            <a:rPr lang="ru-RU" sz="1200" b="0" i="0" u="none" strike="noStrik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теплоноситель</a:t>
          </a:r>
        </a:p>
      </xdr:txBody>
    </xdr:sp>
    <xdr:clientData/>
  </xdr:twoCellAnchor>
  <xdr:twoCellAnchor>
    <xdr:from>
      <xdr:col>13</xdr:col>
      <xdr:colOff>74543</xdr:colOff>
      <xdr:row>36</xdr:row>
      <xdr:rowOff>10768</xdr:rowOff>
    </xdr:from>
    <xdr:to>
      <xdr:col>14</xdr:col>
      <xdr:colOff>637761</xdr:colOff>
      <xdr:row>36</xdr:row>
      <xdr:rowOff>16565</xdr:rowOff>
    </xdr:to>
    <xdr:cxnSp macro="">
      <xdr:nvCxnSpPr>
        <xdr:cNvPr id="514" name="Straight Arrow Connector 150"/>
        <xdr:cNvCxnSpPr/>
      </xdr:nvCxnSpPr>
      <xdr:spPr>
        <a:xfrm flipV="1">
          <a:off x="8986630" y="6421507"/>
          <a:ext cx="1316935" cy="5797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495398</xdr:colOff>
      <xdr:row>27</xdr:row>
      <xdr:rowOff>20738</xdr:rowOff>
    </xdr:from>
    <xdr:to>
      <xdr:col>9</xdr:col>
      <xdr:colOff>679174</xdr:colOff>
      <xdr:row>27</xdr:row>
      <xdr:rowOff>27214</xdr:rowOff>
    </xdr:to>
    <xdr:cxnSp macro="">
      <xdr:nvCxnSpPr>
        <xdr:cNvPr id="518" name="Straight Arrow Connector 150"/>
        <xdr:cNvCxnSpPr/>
      </xdr:nvCxnSpPr>
      <xdr:spPr>
        <a:xfrm>
          <a:off x="5911041" y="4769631"/>
          <a:ext cx="877740" cy="647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114731</xdr:colOff>
      <xdr:row>26</xdr:row>
      <xdr:rowOff>61789</xdr:rowOff>
    </xdr:from>
    <xdr:to>
      <xdr:col>13</xdr:col>
      <xdr:colOff>202113</xdr:colOff>
      <xdr:row>27</xdr:row>
      <xdr:rowOff>238246</xdr:rowOff>
    </xdr:to>
    <xdr:sp macro="" textlink="">
      <xdr:nvSpPr>
        <xdr:cNvPr id="524" name="TextBox 22"/>
        <xdr:cNvSpPr txBox="1">
          <a:spLocks noChangeArrowheads="1"/>
        </xdr:cNvSpPr>
      </xdr:nvSpPr>
      <xdr:spPr bwMode="auto">
        <a:xfrm>
          <a:off x="7660188" y="4393593"/>
          <a:ext cx="1454012" cy="37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l" eaLnBrk="1" hangingPunct="1"/>
          <a:r>
            <a:rPr lang="ru-RU" u="none">
              <a:latin typeface="Times New Roman" pitchFamily="18" charset="0"/>
              <a:cs typeface="Times New Roman" pitchFamily="18" charset="0"/>
            </a:rPr>
            <a:t> - источник ионов</a:t>
          </a:r>
        </a:p>
        <a:p>
          <a:pPr algn="l" eaLnBrk="1" hangingPunct="1"/>
          <a:r>
            <a:rPr lang="ru-RU" u="none">
              <a:latin typeface="Times New Roman" pitchFamily="18" charset="0"/>
              <a:cs typeface="Times New Roman" pitchFamily="18" charset="0"/>
            </a:rPr>
            <a:t> - нейтрализатор</a:t>
          </a:r>
        </a:p>
      </xdr:txBody>
    </xdr:sp>
    <xdr:clientData/>
  </xdr:twoCellAnchor>
  <xdr:twoCellAnchor>
    <xdr:from>
      <xdr:col>13</xdr:col>
      <xdr:colOff>435679</xdr:colOff>
      <xdr:row>34</xdr:row>
      <xdr:rowOff>173936</xdr:rowOff>
    </xdr:from>
    <xdr:to>
      <xdr:col>14</xdr:col>
      <xdr:colOff>662269</xdr:colOff>
      <xdr:row>36</xdr:row>
      <xdr:rowOff>4262</xdr:rowOff>
    </xdr:to>
    <xdr:sp macro="" textlink="">
      <xdr:nvSpPr>
        <xdr:cNvPr id="331" name="TextBox 134"/>
        <xdr:cNvSpPr txBox="1">
          <a:spLocks noChangeArrowheads="1"/>
        </xdr:cNvSpPr>
      </xdr:nvSpPr>
      <xdr:spPr bwMode="auto">
        <a:xfrm>
          <a:off x="9360604" y="6279461"/>
          <a:ext cx="979065" cy="230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&lt; </a:t>
          </a:r>
          <a:r>
            <a:rPr lang="ru-RU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1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%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413877</xdr:colOff>
      <xdr:row>33</xdr:row>
      <xdr:rowOff>117857</xdr:rowOff>
    </xdr:from>
    <xdr:to>
      <xdr:col>14</xdr:col>
      <xdr:colOff>638050</xdr:colOff>
      <xdr:row>34</xdr:row>
      <xdr:rowOff>151196</xdr:rowOff>
    </xdr:to>
    <xdr:sp macro="" textlink="">
      <xdr:nvSpPr>
        <xdr:cNvPr id="332" name="TextBox 134"/>
        <xdr:cNvSpPr txBox="1">
          <a:spLocks noChangeArrowheads="1"/>
        </xdr:cNvSpPr>
      </xdr:nvSpPr>
      <xdr:spPr bwMode="auto">
        <a:xfrm>
          <a:off x="9325964" y="5932248"/>
          <a:ext cx="977890" cy="232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&gt; 99%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15</xdr:col>
      <xdr:colOff>640265</xdr:colOff>
      <xdr:row>13</xdr:row>
      <xdr:rowOff>181471</xdr:rowOff>
    </xdr:from>
    <xdr:to>
      <xdr:col>17</xdr:col>
      <xdr:colOff>398310</xdr:colOff>
      <xdr:row>14</xdr:row>
      <xdr:rowOff>237181</xdr:rowOff>
    </xdr:to>
    <xdr:sp macro="" textlink="">
      <xdr:nvSpPr>
        <xdr:cNvPr id="525" name="TextBox 22"/>
        <xdr:cNvSpPr txBox="1">
          <a:spLocks noChangeArrowheads="1"/>
        </xdr:cNvSpPr>
      </xdr:nvSpPr>
      <xdr:spPr bwMode="auto">
        <a:xfrm>
          <a:off x="11036122" y="1923185"/>
          <a:ext cx="1254831" cy="259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+ </a:t>
          </a:r>
          <a:r>
            <a:rPr lang="ru-RU" u="sng">
              <a:latin typeface="Times New Roman" pitchFamily="18" charset="0"/>
              <a:cs typeface="Times New Roman" pitchFamily="18" charset="0"/>
            </a:rPr>
            <a:t>депротизация</a:t>
          </a:r>
        </a:p>
      </xdr:txBody>
    </xdr:sp>
    <xdr:clientData/>
  </xdr:twoCellAnchor>
  <xdr:twoCellAnchor>
    <xdr:from>
      <xdr:col>15</xdr:col>
      <xdr:colOff>660347</xdr:colOff>
      <xdr:row>25</xdr:row>
      <xdr:rowOff>35868</xdr:rowOff>
    </xdr:from>
    <xdr:to>
      <xdr:col>17</xdr:col>
      <xdr:colOff>500390</xdr:colOff>
      <xdr:row>26</xdr:row>
      <xdr:rowOff>90336</xdr:rowOff>
    </xdr:to>
    <xdr:sp macro="" textlink="">
      <xdr:nvSpPr>
        <xdr:cNvPr id="526" name="TextBox 22"/>
        <xdr:cNvSpPr txBox="1">
          <a:spLocks noChangeArrowheads="1"/>
        </xdr:cNvSpPr>
      </xdr:nvSpPr>
      <xdr:spPr bwMode="auto">
        <a:xfrm>
          <a:off x="11056204" y="4376547"/>
          <a:ext cx="1336829" cy="25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(детритизация)</a:t>
          </a:r>
        </a:p>
      </xdr:txBody>
    </xdr:sp>
    <xdr:clientData/>
  </xdr:twoCellAnchor>
  <xdr:twoCellAnchor>
    <xdr:from>
      <xdr:col>15</xdr:col>
      <xdr:colOff>71946</xdr:colOff>
      <xdr:row>12</xdr:row>
      <xdr:rowOff>179111</xdr:rowOff>
    </xdr:from>
    <xdr:to>
      <xdr:col>17</xdr:col>
      <xdr:colOff>646046</xdr:colOff>
      <xdr:row>14</xdr:row>
      <xdr:rowOff>204411</xdr:rowOff>
    </xdr:to>
    <xdr:sp macro="" textlink="">
      <xdr:nvSpPr>
        <xdr:cNvPr id="527" name="TextBox 22"/>
        <xdr:cNvSpPr txBox="1">
          <a:spLocks noChangeArrowheads="1"/>
        </xdr:cNvSpPr>
      </xdr:nvSpPr>
      <xdr:spPr bwMode="auto">
        <a:xfrm>
          <a:off x="10473246" y="1665011"/>
          <a:ext cx="2079050" cy="41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Разделение </a:t>
          </a:r>
          <a:r>
            <a:rPr lang="ru-RU" sz="1100" u="sng">
              <a:latin typeface="Times New Roman" pitchFamily="18" charset="0"/>
              <a:cs typeface="Times New Roman" pitchFamily="18" charset="0"/>
            </a:rPr>
            <a:t>изотопов</a:t>
          </a:r>
          <a:r>
            <a:rPr lang="ru-RU" sz="1100" u="sng" baseline="0">
              <a:latin typeface="Times New Roman" pitchFamily="18" charset="0"/>
              <a:cs typeface="Times New Roman" pitchFamily="18" charset="0"/>
            </a:rPr>
            <a:t> </a:t>
          </a:r>
        </a:p>
      </xdr:txBody>
    </xdr:sp>
    <xdr:clientData/>
  </xdr:twoCellAnchor>
  <xdr:twoCellAnchor>
    <xdr:from>
      <xdr:col>16</xdr:col>
      <xdr:colOff>314739</xdr:colOff>
      <xdr:row>38</xdr:row>
      <xdr:rowOff>8283</xdr:rowOff>
    </xdr:from>
    <xdr:to>
      <xdr:col>16</xdr:col>
      <xdr:colOff>318908</xdr:colOff>
      <xdr:row>39</xdr:row>
      <xdr:rowOff>60828</xdr:rowOff>
    </xdr:to>
    <xdr:cxnSp macro="">
      <xdr:nvCxnSpPr>
        <xdr:cNvPr id="528" name="Straight Arrow Connector 150"/>
        <xdr:cNvCxnSpPr/>
      </xdr:nvCxnSpPr>
      <xdr:spPr>
        <a:xfrm>
          <a:off x="11479696" y="6858000"/>
          <a:ext cx="4169" cy="251328"/>
        </a:xfrm>
        <a:prstGeom prst="straightConnector1">
          <a:avLst/>
        </a:prstGeom>
        <a:ln w="38100">
          <a:solidFill>
            <a:schemeClr val="accent6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660205</xdr:colOff>
      <xdr:row>43</xdr:row>
      <xdr:rowOff>2305</xdr:rowOff>
    </xdr:from>
    <xdr:to>
      <xdr:col>16</xdr:col>
      <xdr:colOff>503180</xdr:colOff>
      <xdr:row>46</xdr:row>
      <xdr:rowOff>108993</xdr:rowOff>
    </xdr:to>
    <xdr:sp macro="" textlink="">
      <xdr:nvSpPr>
        <xdr:cNvPr id="529" name="Прямоугольник 528"/>
        <xdr:cNvSpPr/>
      </xdr:nvSpPr>
      <xdr:spPr>
        <a:xfrm>
          <a:off x="11061505" y="8022355"/>
          <a:ext cx="624025" cy="69723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 sz="1200"/>
        </a:p>
      </xdr:txBody>
    </xdr:sp>
    <xdr:clientData/>
  </xdr:twoCellAnchor>
  <xdr:twoCellAnchor>
    <xdr:from>
      <xdr:col>16</xdr:col>
      <xdr:colOff>1525</xdr:colOff>
      <xdr:row>44</xdr:row>
      <xdr:rowOff>17768</xdr:rowOff>
    </xdr:from>
    <xdr:to>
      <xdr:col>16</xdr:col>
      <xdr:colOff>417458</xdr:colOff>
      <xdr:row>45</xdr:row>
      <xdr:rowOff>78764</xdr:rowOff>
    </xdr:to>
    <xdr:sp macro="" textlink="">
      <xdr:nvSpPr>
        <xdr:cNvPr id="530" name="TextBox 22"/>
        <xdr:cNvSpPr txBox="1">
          <a:spLocks noChangeArrowheads="1"/>
        </xdr:cNvSpPr>
      </xdr:nvSpPr>
      <xdr:spPr bwMode="auto">
        <a:xfrm>
          <a:off x="11183875" y="8237843"/>
          <a:ext cx="415933" cy="261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?</a:t>
          </a:r>
        </a:p>
      </xdr:txBody>
    </xdr:sp>
    <xdr:clientData/>
  </xdr:twoCellAnchor>
  <xdr:twoCellAnchor>
    <xdr:from>
      <xdr:col>17</xdr:col>
      <xdr:colOff>448830</xdr:colOff>
      <xdr:row>41</xdr:row>
      <xdr:rowOff>178473</xdr:rowOff>
    </xdr:from>
    <xdr:to>
      <xdr:col>17</xdr:col>
      <xdr:colOff>450575</xdr:colOff>
      <xdr:row>42</xdr:row>
      <xdr:rowOff>200317</xdr:rowOff>
    </xdr:to>
    <xdr:cxnSp macro="">
      <xdr:nvCxnSpPr>
        <xdr:cNvPr id="531" name="Прямая соединительная линия 530"/>
        <xdr:cNvCxnSpPr/>
      </xdr:nvCxnSpPr>
      <xdr:spPr>
        <a:xfrm flipH="1">
          <a:off x="12355080" y="7779423"/>
          <a:ext cx="1745" cy="231394"/>
        </a:xfrm>
        <a:prstGeom prst="line">
          <a:avLst/>
        </a:prstGeom>
        <a:ln w="1270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195382</xdr:colOff>
      <xdr:row>41</xdr:row>
      <xdr:rowOff>173502</xdr:rowOff>
    </xdr:from>
    <xdr:to>
      <xdr:col>16</xdr:col>
      <xdr:colOff>197127</xdr:colOff>
      <xdr:row>42</xdr:row>
      <xdr:rowOff>195346</xdr:rowOff>
    </xdr:to>
    <xdr:cxnSp macro="">
      <xdr:nvCxnSpPr>
        <xdr:cNvPr id="532" name="Прямая соединительная линия 531"/>
        <xdr:cNvCxnSpPr/>
      </xdr:nvCxnSpPr>
      <xdr:spPr>
        <a:xfrm flipH="1">
          <a:off x="11377732" y="7774452"/>
          <a:ext cx="1745" cy="231394"/>
        </a:xfrm>
        <a:prstGeom prst="line">
          <a:avLst/>
        </a:prstGeom>
        <a:ln w="1270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27066</xdr:colOff>
      <xdr:row>40</xdr:row>
      <xdr:rowOff>105848</xdr:rowOff>
    </xdr:from>
    <xdr:to>
      <xdr:col>17</xdr:col>
      <xdr:colOff>711063</xdr:colOff>
      <xdr:row>42</xdr:row>
      <xdr:rowOff>0</xdr:rowOff>
    </xdr:to>
    <xdr:sp macro="" textlink="">
      <xdr:nvSpPr>
        <xdr:cNvPr id="545" name="Прямоугольник 544"/>
        <xdr:cNvSpPr/>
      </xdr:nvSpPr>
      <xdr:spPr>
        <a:xfrm>
          <a:off x="10428366" y="7459148"/>
          <a:ext cx="2188947" cy="351352"/>
        </a:xfrm>
        <a:prstGeom prst="rect">
          <a:avLst/>
        </a:prstGeom>
        <a:solidFill>
          <a:schemeClr val="tx2">
            <a:lumMod val="20000"/>
            <a:lumOff val="80000"/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3</xdr:col>
      <xdr:colOff>293210</xdr:colOff>
      <xdr:row>21</xdr:row>
      <xdr:rowOff>57844</xdr:rowOff>
    </xdr:from>
    <xdr:to>
      <xdr:col>4</xdr:col>
      <xdr:colOff>637756</xdr:colOff>
      <xdr:row>22</xdr:row>
      <xdr:rowOff>94418</xdr:rowOff>
    </xdr:to>
    <xdr:sp macro="" textlink="">
      <xdr:nvSpPr>
        <xdr:cNvPr id="546" name="TextBox 22"/>
        <xdr:cNvSpPr txBox="1">
          <a:spLocks noChangeArrowheads="1"/>
        </xdr:cNvSpPr>
      </xdr:nvSpPr>
      <xdr:spPr bwMode="auto">
        <a:xfrm>
          <a:off x="3432319" y="3362605"/>
          <a:ext cx="940894" cy="227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Зона</a:t>
          </a:r>
          <a:r>
            <a:rPr lang="ru-RU" u="sng" baseline="0">
              <a:latin typeface="Times New Roman" pitchFamily="18" charset="0"/>
              <a:cs typeface="Times New Roman" pitchFamily="18" charset="0"/>
            </a:rPr>
            <a:t> деления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150716</xdr:colOff>
      <xdr:row>13</xdr:row>
      <xdr:rowOff>133350</xdr:rowOff>
    </xdr:from>
    <xdr:to>
      <xdr:col>14</xdr:col>
      <xdr:colOff>666750</xdr:colOff>
      <xdr:row>13</xdr:row>
      <xdr:rowOff>146383</xdr:rowOff>
    </xdr:to>
    <xdr:cxnSp macro="">
      <xdr:nvCxnSpPr>
        <xdr:cNvPr id="577" name="Straight Arrow Connector 150"/>
        <xdr:cNvCxnSpPr/>
      </xdr:nvCxnSpPr>
      <xdr:spPr>
        <a:xfrm flipH="1">
          <a:off x="4065491" y="1809750"/>
          <a:ext cx="6278659" cy="13033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675715</xdr:colOff>
      <xdr:row>15</xdr:row>
      <xdr:rowOff>194231</xdr:rowOff>
    </xdr:from>
    <xdr:to>
      <xdr:col>10</xdr:col>
      <xdr:colOff>33618</xdr:colOff>
      <xdr:row>18</xdr:row>
      <xdr:rowOff>1771</xdr:rowOff>
    </xdr:to>
    <xdr:sp macro="" textlink="">
      <xdr:nvSpPr>
        <xdr:cNvPr id="491" name="TextBox 134"/>
        <xdr:cNvSpPr txBox="1">
          <a:spLocks noChangeArrowheads="1"/>
        </xdr:cNvSpPr>
      </xdr:nvSpPr>
      <xdr:spPr bwMode="auto">
        <a:xfrm>
          <a:off x="6099362" y="2345760"/>
          <a:ext cx="781050" cy="479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D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2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+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T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2</a:t>
          </a:r>
          <a:endParaRPr kumimoji="0" lang="ru-RU" sz="1200" b="0" i="0" u="none" strike="noStrike" kern="0" cap="none" spc="0" normalizeH="0" baseline="-2500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Times New Roman" pitchFamily="18" charset="0"/>
            <a:ea typeface="+mn-ea"/>
            <a:cs typeface="Times New Roman" pitchFamily="18" charset="0"/>
            <a:sym typeface="Symbol" pitchFamily="18" charset="2"/>
          </a:endParaRPr>
        </a:p>
        <a:p>
          <a:pPr algn="ctr" eaLnBrk="1" hangingPunct="1"/>
          <a:r>
            <a:rPr lang="ru-RU" sz="1200" b="0" i="0" kern="120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+</a:t>
          </a:r>
          <a:r>
            <a:rPr lang="en-US" sz="1200" b="0" i="0" kern="1200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DT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12</xdr:col>
      <xdr:colOff>187997</xdr:colOff>
      <xdr:row>6</xdr:row>
      <xdr:rowOff>141847</xdr:rowOff>
    </xdr:from>
    <xdr:to>
      <xdr:col>12</xdr:col>
      <xdr:colOff>571500</xdr:colOff>
      <xdr:row>8</xdr:row>
      <xdr:rowOff>62835</xdr:rowOff>
    </xdr:to>
    <xdr:sp macro="" textlink="">
      <xdr:nvSpPr>
        <xdr:cNvPr id="497" name="TextBox 134"/>
        <xdr:cNvSpPr txBox="1">
          <a:spLocks noChangeArrowheads="1"/>
        </xdr:cNvSpPr>
      </xdr:nvSpPr>
      <xdr:spPr bwMode="auto">
        <a:xfrm>
          <a:off x="8465222" y="1380097"/>
          <a:ext cx="383503" cy="311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D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468623</xdr:colOff>
      <xdr:row>16</xdr:row>
      <xdr:rowOff>130888</xdr:rowOff>
    </xdr:from>
    <xdr:to>
      <xdr:col>14</xdr:col>
      <xdr:colOff>203587</xdr:colOff>
      <xdr:row>17</xdr:row>
      <xdr:rowOff>166073</xdr:rowOff>
    </xdr:to>
    <xdr:sp macro="" textlink="">
      <xdr:nvSpPr>
        <xdr:cNvPr id="501" name="TextBox 134"/>
        <xdr:cNvSpPr txBox="1">
          <a:spLocks noChangeArrowheads="1"/>
        </xdr:cNvSpPr>
      </xdr:nvSpPr>
      <xdr:spPr bwMode="auto">
        <a:xfrm>
          <a:off x="9398311" y="2500232"/>
          <a:ext cx="485057" cy="273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D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407059</xdr:colOff>
      <xdr:row>8</xdr:row>
      <xdr:rowOff>39900</xdr:rowOff>
    </xdr:from>
    <xdr:to>
      <xdr:col>11</xdr:col>
      <xdr:colOff>419100</xdr:colOff>
      <xdr:row>15</xdr:row>
      <xdr:rowOff>19050</xdr:rowOff>
    </xdr:to>
    <xdr:cxnSp macro="">
      <xdr:nvCxnSpPr>
        <xdr:cNvPr id="502" name="Straight Arrow Connector 150"/>
        <xdr:cNvCxnSpPr/>
      </xdr:nvCxnSpPr>
      <xdr:spPr>
        <a:xfrm>
          <a:off x="7960384" y="678075"/>
          <a:ext cx="12041" cy="1446000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649941</xdr:colOff>
      <xdr:row>93</xdr:row>
      <xdr:rowOff>33616</xdr:rowOff>
    </xdr:from>
    <xdr:to>
      <xdr:col>46</xdr:col>
      <xdr:colOff>168087</xdr:colOff>
      <xdr:row>100</xdr:row>
      <xdr:rowOff>22410</xdr:rowOff>
    </xdr:to>
    <xdr:sp macro="" textlink="">
      <xdr:nvSpPr>
        <xdr:cNvPr id="9" name="Левая фигурная скобка 8"/>
        <xdr:cNvSpPr/>
      </xdr:nvSpPr>
      <xdr:spPr>
        <a:xfrm>
          <a:off x="28642235" y="16730381"/>
          <a:ext cx="235323" cy="1400735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45</xdr:col>
      <xdr:colOff>381001</xdr:colOff>
      <xdr:row>94</xdr:row>
      <xdr:rowOff>22412</xdr:rowOff>
    </xdr:from>
    <xdr:to>
      <xdr:col>45</xdr:col>
      <xdr:colOff>638736</xdr:colOff>
      <xdr:row>99</xdr:row>
      <xdr:rowOff>11206</xdr:rowOff>
    </xdr:to>
    <xdr:sp macro="" textlink="">
      <xdr:nvSpPr>
        <xdr:cNvPr id="11" name="TextBox 10"/>
        <xdr:cNvSpPr txBox="1"/>
      </xdr:nvSpPr>
      <xdr:spPr>
        <a:xfrm rot="16200000">
          <a:off x="28003501" y="17290677"/>
          <a:ext cx="997323" cy="257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инжекция</a:t>
          </a:r>
        </a:p>
      </xdr:txBody>
    </xdr:sp>
    <xdr:clientData/>
  </xdr:twoCellAnchor>
  <xdr:twoCellAnchor>
    <xdr:from>
      <xdr:col>46</xdr:col>
      <xdr:colOff>78440</xdr:colOff>
      <xdr:row>101</xdr:row>
      <xdr:rowOff>174625</xdr:rowOff>
    </xdr:from>
    <xdr:to>
      <xdr:col>47</xdr:col>
      <xdr:colOff>123264</xdr:colOff>
      <xdr:row>105</xdr:row>
      <xdr:rowOff>47625</xdr:rowOff>
    </xdr:to>
    <xdr:sp macro="" textlink="">
      <xdr:nvSpPr>
        <xdr:cNvPr id="60" name="Овал 59"/>
        <xdr:cNvSpPr/>
      </xdr:nvSpPr>
      <xdr:spPr>
        <a:xfrm>
          <a:off x="52533175" y="4533713"/>
          <a:ext cx="717177" cy="74705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95250</xdr:colOff>
      <xdr:row>147</xdr:row>
      <xdr:rowOff>102754</xdr:rowOff>
    </xdr:from>
    <xdr:to>
      <xdr:col>29</xdr:col>
      <xdr:colOff>467589</xdr:colOff>
      <xdr:row>162</xdr:row>
      <xdr:rowOff>38678</xdr:rowOff>
    </xdr:to>
    <xdr:grpSp>
      <xdr:nvGrpSpPr>
        <xdr:cNvPr id="45" name="Группа 44"/>
        <xdr:cNvGrpSpPr/>
      </xdr:nvGrpSpPr>
      <xdr:grpSpPr>
        <a:xfrm>
          <a:off x="18166603" y="28969107"/>
          <a:ext cx="4189810" cy="2849453"/>
          <a:chOff x="32694129" y="19724254"/>
          <a:chExt cx="4886324" cy="3053197"/>
        </a:xfrm>
      </xdr:grpSpPr>
      <xdr:graphicFrame macro="">
        <xdr:nvGraphicFramePr>
          <xdr:cNvPr id="574" name="Диаграмма 573"/>
          <xdr:cNvGraphicFramePr>
            <a:graphicFrameLocks/>
          </xdr:cNvGraphicFramePr>
        </xdr:nvGraphicFramePr>
        <xdr:xfrm>
          <a:off x="32905544" y="19724743"/>
          <a:ext cx="4674909" cy="30414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09" name="Диаграмма 608"/>
          <xdr:cNvGraphicFramePr>
            <a:graphicFrameLocks/>
          </xdr:cNvGraphicFramePr>
        </xdr:nvGraphicFramePr>
        <xdr:xfrm>
          <a:off x="32694129" y="19724254"/>
          <a:ext cx="4805728" cy="30531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34</xdr:col>
      <xdr:colOff>313605</xdr:colOff>
      <xdr:row>131</xdr:row>
      <xdr:rowOff>6165</xdr:rowOff>
    </xdr:from>
    <xdr:to>
      <xdr:col>34</xdr:col>
      <xdr:colOff>318328</xdr:colOff>
      <xdr:row>132</xdr:row>
      <xdr:rowOff>48026</xdr:rowOff>
    </xdr:to>
    <xdr:cxnSp macro="">
      <xdr:nvCxnSpPr>
        <xdr:cNvPr id="660" name="Прямая со стрелкой 659"/>
        <xdr:cNvCxnSpPr/>
      </xdr:nvCxnSpPr>
      <xdr:spPr>
        <a:xfrm flipV="1">
          <a:off x="175764105" y="6895915"/>
          <a:ext cx="4723" cy="2387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323530</xdr:colOff>
      <xdr:row>131</xdr:row>
      <xdr:rowOff>29617</xdr:rowOff>
    </xdr:from>
    <xdr:to>
      <xdr:col>35</xdr:col>
      <xdr:colOff>324172</xdr:colOff>
      <xdr:row>133</xdr:row>
      <xdr:rowOff>60593</xdr:rowOff>
    </xdr:to>
    <xdr:cxnSp macro="">
      <xdr:nvCxnSpPr>
        <xdr:cNvPr id="661" name="Прямая со стрелкой 660"/>
        <xdr:cNvCxnSpPr/>
      </xdr:nvCxnSpPr>
      <xdr:spPr>
        <a:xfrm flipV="1">
          <a:off x="176459830" y="6919367"/>
          <a:ext cx="642" cy="424676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322293</xdr:colOff>
      <xdr:row>131</xdr:row>
      <xdr:rowOff>12115</xdr:rowOff>
    </xdr:from>
    <xdr:to>
      <xdr:col>32</xdr:col>
      <xdr:colOff>324468</xdr:colOff>
      <xdr:row>134</xdr:row>
      <xdr:rowOff>18681</xdr:rowOff>
    </xdr:to>
    <xdr:cxnSp macro="">
      <xdr:nvCxnSpPr>
        <xdr:cNvPr id="662" name="Прямая со стрелкой 661"/>
        <xdr:cNvCxnSpPr/>
      </xdr:nvCxnSpPr>
      <xdr:spPr>
        <a:xfrm flipH="1" flipV="1">
          <a:off x="174401193" y="6901865"/>
          <a:ext cx="2175" cy="59711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71437</xdr:colOff>
      <xdr:row>127</xdr:row>
      <xdr:rowOff>180416</xdr:rowOff>
    </xdr:from>
    <xdr:to>
      <xdr:col>29</xdr:col>
      <xdr:colOff>291353</xdr:colOff>
      <xdr:row>141</xdr:row>
      <xdr:rowOff>99733</xdr:rowOff>
    </xdr:to>
    <xdr:graphicFrame macro="">
      <xdr:nvGraphicFramePr>
        <xdr:cNvPr id="663" name="Диаграмма 6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119062</xdr:colOff>
      <xdr:row>113</xdr:row>
      <xdr:rowOff>78441</xdr:rowOff>
    </xdr:from>
    <xdr:to>
      <xdr:col>29</xdr:col>
      <xdr:colOff>313764</xdr:colOff>
      <xdr:row>127</xdr:row>
      <xdr:rowOff>8966</xdr:rowOff>
    </xdr:to>
    <xdr:graphicFrame macro="">
      <xdr:nvGraphicFramePr>
        <xdr:cNvPr id="664" name="Диаграмма 6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302561</xdr:colOff>
      <xdr:row>128</xdr:row>
      <xdr:rowOff>112058</xdr:rowOff>
    </xdr:from>
    <xdr:to>
      <xdr:col>29</xdr:col>
      <xdr:colOff>268946</xdr:colOff>
      <xdr:row>130</xdr:row>
      <xdr:rowOff>89646</xdr:rowOff>
    </xdr:to>
    <xdr:sp macro="" textlink="">
      <xdr:nvSpPr>
        <xdr:cNvPr id="665" name="TextBox 664"/>
        <xdr:cNvSpPr txBox="1"/>
      </xdr:nvSpPr>
      <xdr:spPr>
        <a:xfrm>
          <a:off x="171638261" y="3064808"/>
          <a:ext cx="652185" cy="371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2000">
              <a:latin typeface="Times New Roman" panose="02020603050405020304" pitchFamily="18" charset="0"/>
              <a:cs typeface="Times New Roman" panose="02020603050405020304" pitchFamily="18" charset="0"/>
            </a:rPr>
            <a:t>Гр</a:t>
          </a:r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342900</xdr:colOff>
      <xdr:row>113</xdr:row>
      <xdr:rowOff>186016</xdr:rowOff>
    </xdr:from>
    <xdr:to>
      <xdr:col>29</xdr:col>
      <xdr:colOff>309284</xdr:colOff>
      <xdr:row>115</xdr:row>
      <xdr:rowOff>163605</xdr:rowOff>
    </xdr:to>
    <xdr:sp macro="" textlink="">
      <xdr:nvSpPr>
        <xdr:cNvPr id="666" name="TextBox 665"/>
        <xdr:cNvSpPr txBox="1"/>
      </xdr:nvSpPr>
      <xdr:spPr>
        <a:xfrm>
          <a:off x="171678600" y="186016"/>
          <a:ext cx="652184" cy="371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2000">
              <a:latin typeface="Times New Roman" panose="02020603050405020304" pitchFamily="18" charset="0"/>
              <a:cs typeface="Times New Roman" panose="02020603050405020304" pitchFamily="18" charset="0"/>
            </a:rPr>
            <a:t>Ср</a:t>
          </a:r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426778</xdr:colOff>
      <xdr:row>118</xdr:row>
      <xdr:rowOff>122891</xdr:rowOff>
    </xdr:from>
    <xdr:to>
      <xdr:col>29</xdr:col>
      <xdr:colOff>510261</xdr:colOff>
      <xdr:row>120</xdr:row>
      <xdr:rowOff>50800</xdr:rowOff>
    </xdr:to>
    <xdr:sp macro="" textlink="">
      <xdr:nvSpPr>
        <xdr:cNvPr id="667" name="TextBox 666"/>
        <xdr:cNvSpPr txBox="1"/>
      </xdr:nvSpPr>
      <xdr:spPr>
        <a:xfrm>
          <a:off x="17680635" y="24615748"/>
          <a:ext cx="3730197" cy="336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при НЕнулевой согласованной пеллет-инжекции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464877</xdr:colOff>
      <xdr:row>117</xdr:row>
      <xdr:rowOff>11576</xdr:rowOff>
    </xdr:from>
    <xdr:to>
      <xdr:col>28</xdr:col>
      <xdr:colOff>255807</xdr:colOff>
      <xdr:row>118</xdr:row>
      <xdr:rowOff>85725</xdr:rowOff>
    </xdr:to>
    <xdr:sp macro="" textlink="">
      <xdr:nvSpPr>
        <xdr:cNvPr id="668" name="TextBox 667"/>
        <xdr:cNvSpPr txBox="1"/>
      </xdr:nvSpPr>
      <xdr:spPr>
        <a:xfrm>
          <a:off x="17718734" y="24300326"/>
          <a:ext cx="2716466" cy="2782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при НУЛЕВОЙ пеллет-инжекции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485606</xdr:colOff>
      <xdr:row>129</xdr:row>
      <xdr:rowOff>180785</xdr:rowOff>
    </xdr:from>
    <xdr:to>
      <xdr:col>28</xdr:col>
      <xdr:colOff>297082</xdr:colOff>
      <xdr:row>131</xdr:row>
      <xdr:rowOff>60325</xdr:rowOff>
    </xdr:to>
    <xdr:sp macro="" textlink="">
      <xdr:nvSpPr>
        <xdr:cNvPr id="669" name="TextBox 668"/>
        <xdr:cNvSpPr txBox="1"/>
      </xdr:nvSpPr>
      <xdr:spPr>
        <a:xfrm>
          <a:off x="17739463" y="26918821"/>
          <a:ext cx="2737012" cy="2877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при НУЛЕВОЙ пеллет-инжекции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483928</xdr:colOff>
      <xdr:row>131</xdr:row>
      <xdr:rowOff>148293</xdr:rowOff>
    </xdr:from>
    <xdr:to>
      <xdr:col>30</xdr:col>
      <xdr:colOff>119735</xdr:colOff>
      <xdr:row>133</xdr:row>
      <xdr:rowOff>82550</xdr:rowOff>
    </xdr:to>
    <xdr:sp macro="" textlink="">
      <xdr:nvSpPr>
        <xdr:cNvPr id="670" name="TextBox 669"/>
        <xdr:cNvSpPr txBox="1"/>
      </xdr:nvSpPr>
      <xdr:spPr>
        <a:xfrm>
          <a:off x="17737785" y="27294543"/>
          <a:ext cx="4003700" cy="342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при НЕнулевой согласованной пеллет-инжекции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508018</xdr:colOff>
      <xdr:row>133</xdr:row>
      <xdr:rowOff>125129</xdr:rowOff>
    </xdr:from>
    <xdr:to>
      <xdr:col>30</xdr:col>
      <xdr:colOff>126459</xdr:colOff>
      <xdr:row>134</xdr:row>
      <xdr:rowOff>177800</xdr:rowOff>
    </xdr:to>
    <xdr:sp macro="" textlink="">
      <xdr:nvSpPr>
        <xdr:cNvPr id="672" name="TextBox 671"/>
        <xdr:cNvSpPr txBox="1"/>
      </xdr:nvSpPr>
      <xdr:spPr>
        <a:xfrm>
          <a:off x="17761875" y="27679593"/>
          <a:ext cx="3986334" cy="256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для случая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DT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пучка и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DT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мишени 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424535</xdr:colOff>
      <xdr:row>120</xdr:row>
      <xdr:rowOff>49862</xdr:rowOff>
    </xdr:from>
    <xdr:to>
      <xdr:col>30</xdr:col>
      <xdr:colOff>42976</xdr:colOff>
      <xdr:row>121</xdr:row>
      <xdr:rowOff>117475</xdr:rowOff>
    </xdr:to>
    <xdr:sp macro="" textlink="">
      <xdr:nvSpPr>
        <xdr:cNvPr id="681" name="TextBox 680"/>
        <xdr:cNvSpPr txBox="1"/>
      </xdr:nvSpPr>
      <xdr:spPr>
        <a:xfrm>
          <a:off x="17678392" y="24950933"/>
          <a:ext cx="3986334" cy="271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для случая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DT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пучка и 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DT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мишени 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35</xdr:col>
      <xdr:colOff>6723</xdr:colOff>
      <xdr:row>113</xdr:row>
      <xdr:rowOff>6726</xdr:rowOff>
    </xdr:from>
    <xdr:to>
      <xdr:col>36</xdr:col>
      <xdr:colOff>11206</xdr:colOff>
      <xdr:row>130</xdr:row>
      <xdr:rowOff>190500</xdr:rowOff>
    </xdr:to>
    <xdr:sp macro="" textlink="">
      <xdr:nvSpPr>
        <xdr:cNvPr id="682" name="Прямоугольник 681"/>
        <xdr:cNvSpPr/>
      </xdr:nvSpPr>
      <xdr:spPr>
        <a:xfrm>
          <a:off x="25208752" y="23046020"/>
          <a:ext cx="1125072" cy="3612774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37</xdr:col>
      <xdr:colOff>368011</xdr:colOff>
      <xdr:row>149</xdr:row>
      <xdr:rowOff>33771</xdr:rowOff>
    </xdr:from>
    <xdr:to>
      <xdr:col>43</xdr:col>
      <xdr:colOff>225137</xdr:colOff>
      <xdr:row>158</xdr:row>
      <xdr:rowOff>86590</xdr:rowOff>
    </xdr:to>
    <xdr:sp macro="" textlink="">
      <xdr:nvSpPr>
        <xdr:cNvPr id="683" name="Овал 682"/>
        <xdr:cNvSpPr/>
      </xdr:nvSpPr>
      <xdr:spPr>
        <a:xfrm>
          <a:off x="14620875" y="24937316"/>
          <a:ext cx="4221307" cy="1923183"/>
        </a:xfrm>
        <a:prstGeom prst="ellipse">
          <a:avLst/>
        </a:prstGeom>
        <a:noFill/>
        <a:ln>
          <a:solidFill>
            <a:srgbClr val="00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41</xdr:col>
      <xdr:colOff>697820</xdr:colOff>
      <xdr:row>160</xdr:row>
      <xdr:rowOff>0</xdr:rowOff>
    </xdr:from>
    <xdr:to>
      <xdr:col>42</xdr:col>
      <xdr:colOff>666494</xdr:colOff>
      <xdr:row>162</xdr:row>
      <xdr:rowOff>0</xdr:rowOff>
    </xdr:to>
    <xdr:sp macro="" textlink="">
      <xdr:nvSpPr>
        <xdr:cNvPr id="684" name="Прямоугольник 683"/>
        <xdr:cNvSpPr/>
      </xdr:nvSpPr>
      <xdr:spPr>
        <a:xfrm>
          <a:off x="9634002" y="31345909"/>
          <a:ext cx="713356" cy="41563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30</xdr:col>
      <xdr:colOff>693962</xdr:colOff>
      <xdr:row>136</xdr:row>
      <xdr:rowOff>13607</xdr:rowOff>
    </xdr:from>
    <xdr:to>
      <xdr:col>35</xdr:col>
      <xdr:colOff>721176</xdr:colOff>
      <xdr:row>146</xdr:row>
      <xdr:rowOff>190500</xdr:rowOff>
    </xdr:to>
    <xdr:sp macro="" textlink="">
      <xdr:nvSpPr>
        <xdr:cNvPr id="685" name="Пятиугольник 684"/>
        <xdr:cNvSpPr/>
      </xdr:nvSpPr>
      <xdr:spPr>
        <a:xfrm rot="5400000" flipH="1">
          <a:off x="6769552" y="25329696"/>
          <a:ext cx="2217964" cy="3537857"/>
        </a:xfrm>
        <a:prstGeom prst="homePlate">
          <a:avLst>
            <a:gd name="adj" fmla="val 16695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100854</xdr:colOff>
      <xdr:row>23</xdr:row>
      <xdr:rowOff>180009</xdr:rowOff>
    </xdr:from>
    <xdr:to>
      <xdr:col>27</xdr:col>
      <xdr:colOff>714069</xdr:colOff>
      <xdr:row>26</xdr:row>
      <xdr:rowOff>156882</xdr:rowOff>
    </xdr:to>
    <xdr:sp macro="" textlink="">
      <xdr:nvSpPr>
        <xdr:cNvPr id="406" name="TextBox 405"/>
        <xdr:cNvSpPr txBox="1"/>
      </xdr:nvSpPr>
      <xdr:spPr>
        <a:xfrm>
          <a:off x="17391530" y="4942509"/>
          <a:ext cx="2764745" cy="615608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i="0" baseline="0"/>
            <a:t>разница возникает в результате неполного удовлетворения потребности плазмы по частицам </a:t>
          </a:r>
          <a:r>
            <a:rPr lang="en-US" sz="1100" b="1" i="0" baseline="0"/>
            <a:t>Snb+Spel</a:t>
          </a:r>
          <a:r>
            <a:rPr lang="ru-RU" sz="1100" b="1" i="0" baseline="0"/>
            <a:t> </a:t>
          </a:r>
          <a:r>
            <a:rPr lang="ru-RU" sz="1100" i="1" baseline="0"/>
            <a:t>(надо-факт)</a:t>
          </a:r>
          <a:endParaRPr lang="en-US" sz="1100" b="1" i="1" baseline="0"/>
        </a:p>
      </xdr:txBody>
    </xdr:sp>
    <xdr:clientData/>
  </xdr:twoCellAnchor>
  <xdr:twoCellAnchor>
    <xdr:from>
      <xdr:col>30</xdr:col>
      <xdr:colOff>0</xdr:colOff>
      <xdr:row>4</xdr:row>
      <xdr:rowOff>180975</xdr:rowOff>
    </xdr:from>
    <xdr:to>
      <xdr:col>31</xdr:col>
      <xdr:colOff>9525</xdr:colOff>
      <xdr:row>25</xdr:row>
      <xdr:rowOff>9525</xdr:rowOff>
    </xdr:to>
    <xdr:sp macro="" textlink="">
      <xdr:nvSpPr>
        <xdr:cNvPr id="407" name="Прямоугольник 406"/>
        <xdr:cNvSpPr/>
      </xdr:nvSpPr>
      <xdr:spPr>
        <a:xfrm>
          <a:off x="21660971" y="1021416"/>
          <a:ext cx="704289" cy="4109197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37</xdr:col>
      <xdr:colOff>95250</xdr:colOff>
      <xdr:row>59</xdr:row>
      <xdr:rowOff>152400</xdr:rowOff>
    </xdr:from>
    <xdr:to>
      <xdr:col>40</xdr:col>
      <xdr:colOff>438150</xdr:colOff>
      <xdr:row>59</xdr:row>
      <xdr:rowOff>161925</xdr:rowOff>
    </xdr:to>
    <xdr:cxnSp macro="">
      <xdr:nvCxnSpPr>
        <xdr:cNvPr id="18" name="Прямая со стрелкой 17"/>
        <xdr:cNvCxnSpPr/>
      </xdr:nvCxnSpPr>
      <xdr:spPr>
        <a:xfrm flipH="1">
          <a:off x="24993600" y="20345400"/>
          <a:ext cx="2714625" cy="9525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323850</xdr:colOff>
      <xdr:row>88</xdr:row>
      <xdr:rowOff>114300</xdr:rowOff>
    </xdr:from>
    <xdr:to>
      <xdr:col>40</xdr:col>
      <xdr:colOff>666750</xdr:colOff>
      <xdr:row>88</xdr:row>
      <xdr:rowOff>123825</xdr:rowOff>
    </xdr:to>
    <xdr:cxnSp macro="">
      <xdr:nvCxnSpPr>
        <xdr:cNvPr id="413" name="Прямая со стрелкой 412"/>
        <xdr:cNvCxnSpPr/>
      </xdr:nvCxnSpPr>
      <xdr:spPr>
        <a:xfrm flipH="1">
          <a:off x="25222200" y="25107900"/>
          <a:ext cx="2714625" cy="9525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82</xdr:row>
      <xdr:rowOff>142875</xdr:rowOff>
    </xdr:from>
    <xdr:to>
      <xdr:col>11</xdr:col>
      <xdr:colOff>619125</xdr:colOff>
      <xdr:row>86</xdr:row>
      <xdr:rowOff>19050</xdr:rowOff>
    </xdr:to>
    <xdr:sp macro="" textlink="">
      <xdr:nvSpPr>
        <xdr:cNvPr id="422" name="Скругленная прямоугольная выноска 421"/>
        <xdr:cNvSpPr/>
      </xdr:nvSpPr>
      <xdr:spPr>
        <a:xfrm>
          <a:off x="5667375" y="15649575"/>
          <a:ext cx="1066800" cy="676275"/>
        </a:xfrm>
        <a:prstGeom prst="wedgeRoundRectCallout">
          <a:avLst>
            <a:gd name="adj1" fmla="val -87694"/>
            <a:gd name="adj2" fmla="val 21449"/>
            <a:gd name="adj3" fmla="val 16667"/>
          </a:avLst>
        </a:prstGeom>
        <a:noFill/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FF99FF"/>
              </a:solidFill>
            </a:ln>
            <a:noFill/>
          </a:endParaRPr>
        </a:p>
      </xdr:txBody>
    </xdr:sp>
    <xdr:clientData/>
  </xdr:twoCellAnchor>
  <xdr:twoCellAnchor>
    <xdr:from>
      <xdr:col>10</xdr:col>
      <xdr:colOff>257175</xdr:colOff>
      <xdr:row>87</xdr:row>
      <xdr:rowOff>9526</xdr:rowOff>
    </xdr:from>
    <xdr:to>
      <xdr:col>11</xdr:col>
      <xdr:colOff>628650</xdr:colOff>
      <xdr:row>90</xdr:row>
      <xdr:rowOff>19051</xdr:rowOff>
    </xdr:to>
    <xdr:sp macro="" textlink="">
      <xdr:nvSpPr>
        <xdr:cNvPr id="423" name="Скругленная прямоугольная выноска 422"/>
        <xdr:cNvSpPr/>
      </xdr:nvSpPr>
      <xdr:spPr>
        <a:xfrm>
          <a:off x="5676900" y="16516351"/>
          <a:ext cx="1066800" cy="609600"/>
        </a:xfrm>
        <a:prstGeom prst="wedgeRoundRectCallout">
          <a:avLst>
            <a:gd name="adj1" fmla="val -89480"/>
            <a:gd name="adj2" fmla="val -8128"/>
            <a:gd name="adj3" fmla="val 16667"/>
          </a:avLst>
        </a:prstGeom>
        <a:noFill/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FF99FF"/>
              </a:solidFill>
            </a:ln>
            <a:noFill/>
          </a:endParaRPr>
        </a:p>
      </xdr:txBody>
    </xdr:sp>
    <xdr:clientData/>
  </xdr:twoCellAnchor>
  <xdr:twoCellAnchor>
    <xdr:from>
      <xdr:col>18</xdr:col>
      <xdr:colOff>196560</xdr:colOff>
      <xdr:row>70</xdr:row>
      <xdr:rowOff>3415</xdr:rowOff>
    </xdr:from>
    <xdr:to>
      <xdr:col>19</xdr:col>
      <xdr:colOff>86591</xdr:colOff>
      <xdr:row>73</xdr:row>
      <xdr:rowOff>12939</xdr:rowOff>
    </xdr:to>
    <xdr:sp macro="" textlink="">
      <xdr:nvSpPr>
        <xdr:cNvPr id="425" name="Скругленная прямоугольная выноска 424"/>
        <xdr:cNvSpPr/>
      </xdr:nvSpPr>
      <xdr:spPr>
        <a:xfrm>
          <a:off x="12848001" y="14537444"/>
          <a:ext cx="696855" cy="614642"/>
        </a:xfrm>
        <a:prstGeom prst="wedgeRoundRectCallout">
          <a:avLst>
            <a:gd name="adj1" fmla="val -76091"/>
            <a:gd name="adj2" fmla="val 27673"/>
            <a:gd name="adj3" fmla="val 16667"/>
          </a:avLst>
        </a:prstGeom>
        <a:noFill/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FF99FF"/>
              </a:solidFill>
            </a:ln>
            <a:noFill/>
          </a:endParaRPr>
        </a:p>
      </xdr:txBody>
    </xdr:sp>
    <xdr:clientData/>
  </xdr:twoCellAnchor>
  <xdr:twoCellAnchor>
    <xdr:from>
      <xdr:col>59</xdr:col>
      <xdr:colOff>373591</xdr:colOff>
      <xdr:row>117</xdr:row>
      <xdr:rowOff>40701</xdr:rowOff>
    </xdr:from>
    <xdr:to>
      <xdr:col>64</xdr:col>
      <xdr:colOff>0</xdr:colOff>
      <xdr:row>137</xdr:row>
      <xdr:rowOff>90671</xdr:rowOff>
    </xdr:to>
    <xdr:graphicFrame macro="">
      <xdr:nvGraphicFramePr>
        <xdr:cNvPr id="40" name="Диаграмма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420338</xdr:colOff>
      <xdr:row>139</xdr:row>
      <xdr:rowOff>130545</xdr:rowOff>
    </xdr:from>
    <xdr:to>
      <xdr:col>63</xdr:col>
      <xdr:colOff>690128</xdr:colOff>
      <xdr:row>159</xdr:row>
      <xdr:rowOff>85230</xdr:rowOff>
    </xdr:to>
    <xdr:graphicFrame macro="">
      <xdr:nvGraphicFramePr>
        <xdr:cNvPr id="434" name="Диаграмма 4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3132</xdr:colOff>
      <xdr:row>127</xdr:row>
      <xdr:rowOff>50576</xdr:rowOff>
    </xdr:from>
    <xdr:to>
      <xdr:col>71</xdr:col>
      <xdr:colOff>55412</xdr:colOff>
      <xdr:row>149</xdr:row>
      <xdr:rowOff>168052</xdr:rowOff>
    </xdr:to>
    <xdr:grpSp>
      <xdr:nvGrpSpPr>
        <xdr:cNvPr id="49" name="Группа 48"/>
        <xdr:cNvGrpSpPr/>
      </xdr:nvGrpSpPr>
      <xdr:grpSpPr>
        <a:xfrm>
          <a:off x="48345308" y="25054635"/>
          <a:ext cx="4631751" cy="4368241"/>
          <a:chOff x="47063730" y="24588290"/>
          <a:chExt cx="5267150" cy="4423353"/>
        </a:xfrm>
      </xdr:grpSpPr>
      <xdr:graphicFrame macro="">
        <xdr:nvGraphicFramePr>
          <xdr:cNvPr id="437" name="Диаграмма 436"/>
          <xdr:cNvGraphicFramePr>
            <a:graphicFrameLocks/>
          </xdr:cNvGraphicFramePr>
        </xdr:nvGraphicFramePr>
        <xdr:xfrm>
          <a:off x="47063730" y="24603959"/>
          <a:ext cx="5242486" cy="43768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445" name="Диаграмма 444"/>
          <xdr:cNvGraphicFramePr>
            <a:graphicFrameLocks/>
          </xdr:cNvGraphicFramePr>
        </xdr:nvGraphicFramePr>
        <xdr:xfrm>
          <a:off x="47138312" y="24588290"/>
          <a:ext cx="5192568" cy="44233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28</xdr:col>
      <xdr:colOff>16329</xdr:colOff>
      <xdr:row>3</xdr:row>
      <xdr:rowOff>169770</xdr:rowOff>
    </xdr:from>
    <xdr:to>
      <xdr:col>34</xdr:col>
      <xdr:colOff>22414</xdr:colOff>
      <xdr:row>4</xdr:row>
      <xdr:rowOff>190500</xdr:rowOff>
    </xdr:to>
    <xdr:sp macro="" textlink="">
      <xdr:nvSpPr>
        <xdr:cNvPr id="5" name="Левая фигурная скобка 4"/>
        <xdr:cNvSpPr/>
      </xdr:nvSpPr>
      <xdr:spPr>
        <a:xfrm rot="5400000">
          <a:off x="22241477" y="-1234848"/>
          <a:ext cx="256053" cy="427552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44</xdr:col>
      <xdr:colOff>675410</xdr:colOff>
      <xdr:row>0</xdr:row>
      <xdr:rowOff>139274</xdr:rowOff>
    </xdr:from>
    <xdr:to>
      <xdr:col>65</xdr:col>
      <xdr:colOff>708809</xdr:colOff>
      <xdr:row>55</xdr:row>
      <xdr:rowOff>0</xdr:rowOff>
    </xdr:to>
    <xdr:sp macro="" textlink="">
      <xdr:nvSpPr>
        <xdr:cNvPr id="505" name="Прямоугольник 504"/>
        <xdr:cNvSpPr/>
      </xdr:nvSpPr>
      <xdr:spPr>
        <a:xfrm>
          <a:off x="32835274" y="139274"/>
          <a:ext cx="14043808" cy="115851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36</xdr:col>
      <xdr:colOff>638736</xdr:colOff>
      <xdr:row>1</xdr:row>
      <xdr:rowOff>33619</xdr:rowOff>
    </xdr:from>
    <xdr:to>
      <xdr:col>42</xdr:col>
      <xdr:colOff>24494</xdr:colOff>
      <xdr:row>4</xdr:row>
      <xdr:rowOff>60832</xdr:rowOff>
    </xdr:to>
    <xdr:sp macro="" textlink="">
      <xdr:nvSpPr>
        <xdr:cNvPr id="433" name="TextBox 432"/>
        <xdr:cNvSpPr txBox="1"/>
      </xdr:nvSpPr>
      <xdr:spPr>
        <a:xfrm>
          <a:off x="26591560" y="235325"/>
          <a:ext cx="3879316" cy="665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потоки в вакуумной камере (плазме)</a:t>
          </a:r>
        </a:p>
      </xdr:txBody>
    </xdr:sp>
    <xdr:clientData/>
  </xdr:twoCellAnchor>
  <xdr:twoCellAnchor>
    <xdr:from>
      <xdr:col>45</xdr:col>
      <xdr:colOff>242207</xdr:colOff>
      <xdr:row>1</xdr:row>
      <xdr:rowOff>62275</xdr:rowOff>
    </xdr:from>
    <xdr:to>
      <xdr:col>49</xdr:col>
      <xdr:colOff>435428</xdr:colOff>
      <xdr:row>4</xdr:row>
      <xdr:rowOff>135591</xdr:rowOff>
    </xdr:to>
    <xdr:sp macro="" textlink="">
      <xdr:nvSpPr>
        <xdr:cNvPr id="450" name="TextBox 449"/>
        <xdr:cNvSpPr txBox="1"/>
      </xdr:nvSpPr>
      <xdr:spPr>
        <a:xfrm>
          <a:off x="33132032" y="262300"/>
          <a:ext cx="3079296" cy="7495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потоки и</a:t>
          </a:r>
          <a:r>
            <a:rPr lang="ru-RU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накопление </a:t>
          </a:r>
          <a:r>
            <a:rPr lang="en-US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T/D</a:t>
          </a:r>
          <a:endParaRPr lang="ru-RU" sz="1600" b="1" i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 системах ТЦ</a:t>
          </a:r>
        </a:p>
      </xdr:txBody>
    </xdr:sp>
    <xdr:clientData/>
  </xdr:twoCellAnchor>
  <xdr:twoCellAnchor>
    <xdr:from>
      <xdr:col>56</xdr:col>
      <xdr:colOff>1119</xdr:colOff>
      <xdr:row>60</xdr:row>
      <xdr:rowOff>71482</xdr:rowOff>
    </xdr:from>
    <xdr:to>
      <xdr:col>63</xdr:col>
      <xdr:colOff>324970</xdr:colOff>
      <xdr:row>67</xdr:row>
      <xdr:rowOff>100853</xdr:rowOff>
    </xdr:to>
    <xdr:grpSp>
      <xdr:nvGrpSpPr>
        <xdr:cNvPr id="653" name="Группа 652"/>
        <xdr:cNvGrpSpPr/>
      </xdr:nvGrpSpPr>
      <xdr:grpSpPr>
        <a:xfrm>
          <a:off x="42082943" y="12024423"/>
          <a:ext cx="5172262" cy="1389018"/>
          <a:chOff x="33129129" y="11440449"/>
          <a:chExt cx="4536695" cy="1201561"/>
        </a:xfrm>
      </xdr:grpSpPr>
      <xdr:grpSp>
        <xdr:nvGrpSpPr>
          <xdr:cNvPr id="671" name="Группа 670"/>
          <xdr:cNvGrpSpPr>
            <a:grpSpLocks noChangeAspect="1"/>
          </xdr:cNvGrpSpPr>
        </xdr:nvGrpSpPr>
        <xdr:grpSpPr>
          <a:xfrm>
            <a:off x="33129129" y="11440449"/>
            <a:ext cx="4536695" cy="1201561"/>
            <a:chOff x="33038779" y="12299560"/>
            <a:chExt cx="2193381" cy="587754"/>
          </a:xfrm>
        </xdr:grpSpPr>
        <xdr:pic>
          <xdr:nvPicPr>
            <xdr:cNvPr id="695" name="Рисунок 694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85029" t="84093" r="4564" b="2339"/>
            <a:stretch/>
          </xdr:blipFill>
          <xdr:spPr bwMode="auto">
            <a:xfrm>
              <a:off x="34311102" y="12299560"/>
              <a:ext cx="921058" cy="578555"/>
            </a:xfrm>
            <a:prstGeom prst="rect">
              <a:avLst/>
            </a:prstGeom>
            <a:solidFill>
              <a:schemeClr val="bg1"/>
            </a:solidFill>
          </xdr:spPr>
        </xdr:pic>
        <xdr:pic>
          <xdr:nvPicPr>
            <xdr:cNvPr id="696" name="Рисунок 695"/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432" t="84269" r="84814" b="2129"/>
            <a:stretch/>
          </xdr:blipFill>
          <xdr:spPr bwMode="auto">
            <a:xfrm>
              <a:off x="33038779" y="12307180"/>
              <a:ext cx="1217225" cy="580134"/>
            </a:xfrm>
            <a:prstGeom prst="rect">
              <a:avLst/>
            </a:prstGeom>
            <a:solidFill>
              <a:schemeClr val="bg1"/>
            </a:solidFill>
          </xdr:spPr>
        </xdr:pic>
      </xdr:grpSp>
      <xdr:cxnSp macro="">
        <xdr:nvCxnSpPr>
          <xdr:cNvPr id="673" name="Прямая соединительная линия 672"/>
          <xdr:cNvCxnSpPr/>
        </xdr:nvCxnSpPr>
        <xdr:spPr>
          <a:xfrm>
            <a:off x="33977904" y="12025819"/>
            <a:ext cx="3485745" cy="1216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Прямая соединительная линия 693"/>
          <xdr:cNvCxnSpPr/>
        </xdr:nvCxnSpPr>
        <xdr:spPr>
          <a:xfrm>
            <a:off x="33972230" y="12178219"/>
            <a:ext cx="3485745" cy="1216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57</xdr:col>
      <xdr:colOff>134478</xdr:colOff>
      <xdr:row>71</xdr:row>
      <xdr:rowOff>123264</xdr:rowOff>
    </xdr:from>
    <xdr:to>
      <xdr:col>57</xdr:col>
      <xdr:colOff>638736</xdr:colOff>
      <xdr:row>73</xdr:row>
      <xdr:rowOff>77304</xdr:rowOff>
    </xdr:to>
    <xdr:sp macro="" textlink="">
      <xdr:nvSpPr>
        <xdr:cNvPr id="697" name="Стрелка вправо 696"/>
        <xdr:cNvSpPr/>
      </xdr:nvSpPr>
      <xdr:spPr>
        <a:xfrm>
          <a:off x="20470353" y="8695764"/>
          <a:ext cx="504258" cy="344565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63</xdr:col>
      <xdr:colOff>111523</xdr:colOff>
      <xdr:row>71</xdr:row>
      <xdr:rowOff>100853</xdr:rowOff>
    </xdr:from>
    <xdr:to>
      <xdr:col>63</xdr:col>
      <xdr:colOff>549089</xdr:colOff>
      <xdr:row>73</xdr:row>
      <xdr:rowOff>82595</xdr:rowOff>
    </xdr:to>
    <xdr:sp macro="" textlink="">
      <xdr:nvSpPr>
        <xdr:cNvPr id="698" name="Стрелка вправо 697"/>
        <xdr:cNvSpPr/>
      </xdr:nvSpPr>
      <xdr:spPr>
        <a:xfrm>
          <a:off x="24609823" y="8673353"/>
          <a:ext cx="437566" cy="372267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55</xdr:col>
      <xdr:colOff>28574</xdr:colOff>
      <xdr:row>57</xdr:row>
      <xdr:rowOff>0</xdr:rowOff>
    </xdr:from>
    <xdr:to>
      <xdr:col>65</xdr:col>
      <xdr:colOff>692726</xdr:colOff>
      <xdr:row>86</xdr:row>
      <xdr:rowOff>0</xdr:rowOff>
    </xdr:to>
    <xdr:sp macro="" textlink="">
      <xdr:nvSpPr>
        <xdr:cNvPr id="699" name="Прямоугольник 698"/>
        <xdr:cNvSpPr/>
      </xdr:nvSpPr>
      <xdr:spPr>
        <a:xfrm>
          <a:off x="41297801" y="23570045"/>
          <a:ext cx="7158470" cy="6061364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57</xdr:col>
      <xdr:colOff>628650</xdr:colOff>
      <xdr:row>61</xdr:row>
      <xdr:rowOff>114300</xdr:rowOff>
    </xdr:from>
    <xdr:to>
      <xdr:col>62</xdr:col>
      <xdr:colOff>161925</xdr:colOff>
      <xdr:row>63</xdr:row>
      <xdr:rowOff>133350</xdr:rowOff>
    </xdr:to>
    <xdr:sp macro="" textlink="">
      <xdr:nvSpPr>
        <xdr:cNvPr id="700" name="TextBox 699"/>
        <xdr:cNvSpPr txBox="1"/>
      </xdr:nvSpPr>
      <xdr:spPr>
        <a:xfrm>
          <a:off x="20964525" y="6667500"/>
          <a:ext cx="29813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>
              <a:latin typeface="Times New Roman" panose="02020603050405020304" pitchFamily="18" charset="0"/>
              <a:cs typeface="Times New Roman" panose="02020603050405020304" pitchFamily="18" charset="0"/>
            </a:rPr>
            <a:t>кинетика</a:t>
          </a:r>
          <a:r>
            <a:rPr lang="ru-RU" sz="1600" b="1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изотопного обмена</a:t>
          </a:r>
          <a:endParaRPr lang="ru-RU" sz="1600" b="1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55</xdr:col>
      <xdr:colOff>219076</xdr:colOff>
      <xdr:row>77</xdr:row>
      <xdr:rowOff>180975</xdr:rowOff>
    </xdr:from>
    <xdr:to>
      <xdr:col>58</xdr:col>
      <xdr:colOff>19051</xdr:colOff>
      <xdr:row>84</xdr:row>
      <xdr:rowOff>171450</xdr:rowOff>
    </xdr:to>
    <xdr:sp macro="" textlink="">
      <xdr:nvSpPr>
        <xdr:cNvPr id="702" name="TextBox 701"/>
        <xdr:cNvSpPr txBox="1"/>
      </xdr:nvSpPr>
      <xdr:spPr>
        <a:xfrm>
          <a:off x="19192876" y="9925050"/>
          <a:ext cx="1828800" cy="1381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>
              <a:solidFill>
                <a:srgbClr val="00B0F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изменение доли протия при удалении фракций </a:t>
          </a:r>
          <a:r>
            <a:rPr lang="en-US" sz="1600" b="1" i="1">
              <a:solidFill>
                <a:srgbClr val="00B0F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HD </a:t>
          </a:r>
          <a:r>
            <a:rPr lang="ru-RU" sz="1600" b="1" i="1">
              <a:solidFill>
                <a:srgbClr val="00B0F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и Н2 из смеси</a:t>
          </a:r>
        </a:p>
      </xdr:txBody>
    </xdr:sp>
    <xdr:clientData/>
  </xdr:twoCellAnchor>
  <xdr:twoCellAnchor>
    <xdr:from>
      <xdr:col>24</xdr:col>
      <xdr:colOff>0</xdr:colOff>
      <xdr:row>111</xdr:row>
      <xdr:rowOff>0</xdr:rowOff>
    </xdr:from>
    <xdr:to>
      <xdr:col>44</xdr:col>
      <xdr:colOff>8225</xdr:colOff>
      <xdr:row>163</xdr:row>
      <xdr:rowOff>23812</xdr:rowOff>
    </xdr:to>
    <xdr:sp macro="" textlink="">
      <xdr:nvSpPr>
        <xdr:cNvPr id="712" name="Прямоугольник 711"/>
        <xdr:cNvSpPr/>
      </xdr:nvSpPr>
      <xdr:spPr>
        <a:xfrm>
          <a:off x="17216438" y="21859875"/>
          <a:ext cx="14891037" cy="9906000"/>
        </a:xfrm>
        <a:prstGeom prst="rect">
          <a:avLst/>
        </a:prstGeom>
        <a:noFill/>
        <a:ln>
          <a:solidFill>
            <a:srgbClr val="D3832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45</xdr:col>
      <xdr:colOff>6926</xdr:colOff>
      <xdr:row>110</xdr:row>
      <xdr:rowOff>184007</xdr:rowOff>
    </xdr:from>
    <xdr:to>
      <xdr:col>66</xdr:col>
      <xdr:colOff>23813</xdr:colOff>
      <xdr:row>163</xdr:row>
      <xdr:rowOff>9526</xdr:rowOff>
    </xdr:to>
    <xdr:sp macro="" textlink="">
      <xdr:nvSpPr>
        <xdr:cNvPr id="713" name="Прямоугольник 712"/>
        <xdr:cNvSpPr/>
      </xdr:nvSpPr>
      <xdr:spPr>
        <a:xfrm>
          <a:off x="32796739" y="21781945"/>
          <a:ext cx="14185324" cy="10041081"/>
        </a:xfrm>
        <a:prstGeom prst="rect">
          <a:avLst/>
        </a:prstGeom>
        <a:noFill/>
        <a:ln>
          <a:solidFill>
            <a:srgbClr val="D3832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55</xdr:col>
      <xdr:colOff>25111</xdr:colOff>
      <xdr:row>86</xdr:row>
      <xdr:rowOff>171450</xdr:rowOff>
    </xdr:from>
    <xdr:to>
      <xdr:col>66</xdr:col>
      <xdr:colOff>-1</xdr:colOff>
      <xdr:row>109</xdr:row>
      <xdr:rowOff>17318</xdr:rowOff>
    </xdr:to>
    <xdr:sp macro="" textlink="">
      <xdr:nvSpPr>
        <xdr:cNvPr id="714" name="Прямоугольник 713"/>
        <xdr:cNvSpPr/>
      </xdr:nvSpPr>
      <xdr:spPr>
        <a:xfrm>
          <a:off x="23670924" y="27555825"/>
          <a:ext cx="8428325" cy="4203556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0</xdr:colOff>
      <xdr:row>57</xdr:row>
      <xdr:rowOff>1730</xdr:rowOff>
    </xdr:from>
    <xdr:to>
      <xdr:col>43</xdr:col>
      <xdr:colOff>658091</xdr:colOff>
      <xdr:row>109</xdr:row>
      <xdr:rowOff>17318</xdr:rowOff>
    </xdr:to>
    <xdr:sp macro="" textlink="">
      <xdr:nvSpPr>
        <xdr:cNvPr id="715" name="Прямоугольник 714"/>
        <xdr:cNvSpPr/>
      </xdr:nvSpPr>
      <xdr:spPr>
        <a:xfrm>
          <a:off x="17266227" y="12141775"/>
          <a:ext cx="14859000" cy="10822134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45</xdr:col>
      <xdr:colOff>0</xdr:colOff>
      <xdr:row>56</xdr:row>
      <xdr:rowOff>173183</xdr:rowOff>
    </xdr:from>
    <xdr:to>
      <xdr:col>53</xdr:col>
      <xdr:colOff>704850</xdr:colOff>
      <xdr:row>81</xdr:row>
      <xdr:rowOff>0</xdr:rowOff>
    </xdr:to>
    <xdr:sp macro="" textlink="">
      <xdr:nvSpPr>
        <xdr:cNvPr id="717" name="Прямоугольник 716"/>
        <xdr:cNvSpPr/>
      </xdr:nvSpPr>
      <xdr:spPr>
        <a:xfrm>
          <a:off x="32889825" y="11793683"/>
          <a:ext cx="6372225" cy="4875067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56</xdr:col>
      <xdr:colOff>168815</xdr:colOff>
      <xdr:row>89</xdr:row>
      <xdr:rowOff>99317</xdr:rowOff>
    </xdr:from>
    <xdr:to>
      <xdr:col>64</xdr:col>
      <xdr:colOff>451968</xdr:colOff>
      <xdr:row>91</xdr:row>
      <xdr:rowOff>6664</xdr:rowOff>
    </xdr:to>
    <xdr:sp macro="" textlink="">
      <xdr:nvSpPr>
        <xdr:cNvPr id="719" name="TextBox 718"/>
        <xdr:cNvSpPr txBox="1"/>
      </xdr:nvSpPr>
      <xdr:spPr>
        <a:xfrm>
          <a:off x="48521179" y="30146362"/>
          <a:ext cx="62579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>
              <a:solidFill>
                <a:srgbClr val="00B0F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оценки</a:t>
          </a:r>
          <a:r>
            <a:rPr lang="ru-RU" sz="1600" b="1" i="1" baseline="0">
              <a:solidFill>
                <a:srgbClr val="00B0F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600" b="1" i="1">
              <a:solidFill>
                <a:srgbClr val="00B0F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параметров депротизации топливной смеси</a:t>
          </a:r>
        </a:p>
      </xdr:txBody>
    </xdr:sp>
    <xdr:clientData/>
  </xdr:twoCellAnchor>
  <xdr:twoCellAnchor>
    <xdr:from>
      <xdr:col>45</xdr:col>
      <xdr:colOff>13856</xdr:colOff>
      <xdr:row>82</xdr:row>
      <xdr:rowOff>13855</xdr:rowOff>
    </xdr:from>
    <xdr:to>
      <xdr:col>54</xdr:col>
      <xdr:colOff>9526</xdr:colOff>
      <xdr:row>109</xdr:row>
      <xdr:rowOff>0</xdr:rowOff>
    </xdr:to>
    <xdr:sp macro="" textlink="">
      <xdr:nvSpPr>
        <xdr:cNvPr id="720" name="Прямоугольник 719"/>
        <xdr:cNvSpPr/>
      </xdr:nvSpPr>
      <xdr:spPr>
        <a:xfrm>
          <a:off x="32903681" y="16882630"/>
          <a:ext cx="6377420" cy="538682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56029</xdr:colOff>
      <xdr:row>52</xdr:row>
      <xdr:rowOff>123264</xdr:rowOff>
    </xdr:from>
    <xdr:to>
      <xdr:col>27</xdr:col>
      <xdr:colOff>599076</xdr:colOff>
      <xdr:row>54</xdr:row>
      <xdr:rowOff>110380</xdr:rowOff>
    </xdr:to>
    <xdr:sp macro="" textlink="">
      <xdr:nvSpPr>
        <xdr:cNvPr id="721" name="TextBox 720"/>
        <xdr:cNvSpPr txBox="1"/>
      </xdr:nvSpPr>
      <xdr:spPr>
        <a:xfrm>
          <a:off x="25986441" y="6734735"/>
          <a:ext cx="2033429" cy="390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600" b="1" i="1" u="sng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величина</a:t>
          </a:r>
          <a:r>
            <a:rPr lang="ru-RU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 b="1" i="1" u="sng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gaspuff</a:t>
          </a:r>
          <a:endParaRPr lang="ru-RU" sz="1600" b="1" i="1" u="sng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40</xdr:col>
      <xdr:colOff>9071</xdr:colOff>
      <xdr:row>48</xdr:row>
      <xdr:rowOff>11205</xdr:rowOff>
    </xdr:from>
    <xdr:to>
      <xdr:col>41</xdr:col>
      <xdr:colOff>4590</xdr:colOff>
      <xdr:row>49</xdr:row>
      <xdr:rowOff>9072</xdr:rowOff>
    </xdr:to>
    <xdr:sp macro="" textlink="">
      <xdr:nvSpPr>
        <xdr:cNvPr id="466" name="Прямоугольник 465"/>
        <xdr:cNvSpPr/>
      </xdr:nvSpPr>
      <xdr:spPr>
        <a:xfrm>
          <a:off x="29648630" y="4930587"/>
          <a:ext cx="723901" cy="19957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57</xdr:col>
      <xdr:colOff>685800</xdr:colOff>
      <xdr:row>133</xdr:row>
      <xdr:rowOff>180975</xdr:rowOff>
    </xdr:from>
    <xdr:to>
      <xdr:col>60</xdr:col>
      <xdr:colOff>123825</xdr:colOff>
      <xdr:row>134</xdr:row>
      <xdr:rowOff>180975</xdr:rowOff>
    </xdr:to>
    <xdr:cxnSp macro="">
      <xdr:nvCxnSpPr>
        <xdr:cNvPr id="13" name="Прямая со стрелкой 12"/>
        <xdr:cNvCxnSpPr/>
      </xdr:nvCxnSpPr>
      <xdr:spPr>
        <a:xfrm flipV="1">
          <a:off x="27012900" y="27241500"/>
          <a:ext cx="1647825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695325</xdr:colOff>
      <xdr:row>134</xdr:row>
      <xdr:rowOff>76200</xdr:rowOff>
    </xdr:from>
    <xdr:to>
      <xdr:col>60</xdr:col>
      <xdr:colOff>104775</xdr:colOff>
      <xdr:row>134</xdr:row>
      <xdr:rowOff>171451</xdr:rowOff>
    </xdr:to>
    <xdr:cxnSp macro="">
      <xdr:nvCxnSpPr>
        <xdr:cNvPr id="468" name="Прямая со стрелкой 467"/>
        <xdr:cNvCxnSpPr/>
      </xdr:nvCxnSpPr>
      <xdr:spPr>
        <a:xfrm flipV="1">
          <a:off x="26241375" y="27336750"/>
          <a:ext cx="2400300" cy="952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227988</xdr:colOff>
      <xdr:row>49</xdr:row>
      <xdr:rowOff>11445</xdr:rowOff>
    </xdr:from>
    <xdr:to>
      <xdr:col>41</xdr:col>
      <xdr:colOff>599515</xdr:colOff>
      <xdr:row>50</xdr:row>
      <xdr:rowOff>211791</xdr:rowOff>
    </xdr:to>
    <xdr:sp macro="" textlink="">
      <xdr:nvSpPr>
        <xdr:cNvPr id="473" name="Дуга 472"/>
        <xdr:cNvSpPr/>
      </xdr:nvSpPr>
      <xdr:spPr>
        <a:xfrm>
          <a:off x="29867547" y="5132533"/>
          <a:ext cx="1099909" cy="402052"/>
        </a:xfrm>
        <a:prstGeom prst="arc">
          <a:avLst>
            <a:gd name="adj1" fmla="val 16200000"/>
            <a:gd name="adj2" fmla="val 5378105"/>
          </a:avLst>
        </a:prstGeom>
        <a:ln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10086</xdr:colOff>
      <xdr:row>35</xdr:row>
      <xdr:rowOff>92169</xdr:rowOff>
    </xdr:from>
    <xdr:to>
      <xdr:col>18</xdr:col>
      <xdr:colOff>409575</xdr:colOff>
      <xdr:row>35</xdr:row>
      <xdr:rowOff>95250</xdr:rowOff>
    </xdr:to>
    <xdr:cxnSp macro="">
      <xdr:nvCxnSpPr>
        <xdr:cNvPr id="689" name="Straight Arrow Connector 150"/>
        <xdr:cNvCxnSpPr/>
      </xdr:nvCxnSpPr>
      <xdr:spPr>
        <a:xfrm>
          <a:off x="12630711" y="6397719"/>
          <a:ext cx="399489" cy="308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78440</xdr:colOff>
      <xdr:row>101</xdr:row>
      <xdr:rowOff>174625</xdr:rowOff>
    </xdr:from>
    <xdr:to>
      <xdr:col>50</xdr:col>
      <xdr:colOff>123264</xdr:colOff>
      <xdr:row>105</xdr:row>
      <xdr:rowOff>47625</xdr:rowOff>
    </xdr:to>
    <xdr:sp macro="" textlink="">
      <xdr:nvSpPr>
        <xdr:cNvPr id="718" name="Овал 717"/>
        <xdr:cNvSpPr/>
      </xdr:nvSpPr>
      <xdr:spPr>
        <a:xfrm>
          <a:off x="51668662" y="20593403"/>
          <a:ext cx="827991" cy="66322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38</xdr:col>
      <xdr:colOff>9523</xdr:colOff>
      <xdr:row>68</xdr:row>
      <xdr:rowOff>22412</xdr:rowOff>
    </xdr:from>
    <xdr:to>
      <xdr:col>39</xdr:col>
      <xdr:colOff>11205</xdr:colOff>
      <xdr:row>83</xdr:row>
      <xdr:rowOff>33617</xdr:rowOff>
    </xdr:to>
    <xdr:sp macro="" textlink="">
      <xdr:nvSpPr>
        <xdr:cNvPr id="728" name="Прямоугольник 727"/>
        <xdr:cNvSpPr/>
      </xdr:nvSpPr>
      <xdr:spPr>
        <a:xfrm>
          <a:off x="27452729" y="13962530"/>
          <a:ext cx="730064" cy="3047999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45</xdr:col>
      <xdr:colOff>649941</xdr:colOff>
      <xdr:row>93</xdr:row>
      <xdr:rowOff>33616</xdr:rowOff>
    </xdr:from>
    <xdr:to>
      <xdr:col>46</xdr:col>
      <xdr:colOff>168087</xdr:colOff>
      <xdr:row>100</xdr:row>
      <xdr:rowOff>22410</xdr:rowOff>
    </xdr:to>
    <xdr:sp macro="" textlink="">
      <xdr:nvSpPr>
        <xdr:cNvPr id="731" name="Левая фигурная скобка 730"/>
        <xdr:cNvSpPr/>
      </xdr:nvSpPr>
      <xdr:spPr>
        <a:xfrm>
          <a:off x="49103616" y="19064566"/>
          <a:ext cx="337296" cy="1388969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46</xdr:col>
      <xdr:colOff>78440</xdr:colOff>
      <xdr:row>101</xdr:row>
      <xdr:rowOff>174625</xdr:rowOff>
    </xdr:from>
    <xdr:to>
      <xdr:col>47</xdr:col>
      <xdr:colOff>123264</xdr:colOff>
      <xdr:row>105</xdr:row>
      <xdr:rowOff>47625</xdr:rowOff>
    </xdr:to>
    <xdr:sp macro="" textlink="">
      <xdr:nvSpPr>
        <xdr:cNvPr id="732" name="Овал 731"/>
        <xdr:cNvSpPr/>
      </xdr:nvSpPr>
      <xdr:spPr>
        <a:xfrm>
          <a:off x="49351265" y="20805775"/>
          <a:ext cx="787774" cy="6731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49</xdr:col>
      <xdr:colOff>78440</xdr:colOff>
      <xdr:row>101</xdr:row>
      <xdr:rowOff>174625</xdr:rowOff>
    </xdr:from>
    <xdr:to>
      <xdr:col>50</xdr:col>
      <xdr:colOff>123264</xdr:colOff>
      <xdr:row>105</xdr:row>
      <xdr:rowOff>47625</xdr:rowOff>
    </xdr:to>
    <xdr:sp macro="" textlink="">
      <xdr:nvSpPr>
        <xdr:cNvPr id="733" name="Овал 732"/>
        <xdr:cNvSpPr/>
      </xdr:nvSpPr>
      <xdr:spPr>
        <a:xfrm>
          <a:off x="52313540" y="20805775"/>
          <a:ext cx="768724" cy="6731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37</xdr:col>
      <xdr:colOff>782809</xdr:colOff>
      <xdr:row>47</xdr:row>
      <xdr:rowOff>95998</xdr:rowOff>
    </xdr:from>
    <xdr:to>
      <xdr:col>39</xdr:col>
      <xdr:colOff>15206</xdr:colOff>
      <xdr:row>49</xdr:row>
      <xdr:rowOff>118410</xdr:rowOff>
    </xdr:to>
    <xdr:sp macro="" textlink="">
      <xdr:nvSpPr>
        <xdr:cNvPr id="735" name="Овал 734"/>
        <xdr:cNvSpPr/>
      </xdr:nvSpPr>
      <xdr:spPr>
        <a:xfrm>
          <a:off x="26377044" y="8365939"/>
          <a:ext cx="767603" cy="41461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31</xdr:col>
      <xdr:colOff>87406</xdr:colOff>
      <xdr:row>57</xdr:row>
      <xdr:rowOff>173692</xdr:rowOff>
    </xdr:from>
    <xdr:to>
      <xdr:col>36</xdr:col>
      <xdr:colOff>658906</xdr:colOff>
      <xdr:row>69</xdr:row>
      <xdr:rowOff>145676</xdr:rowOff>
    </xdr:to>
    <xdr:graphicFrame macro="">
      <xdr:nvGraphicFramePr>
        <xdr:cNvPr id="736" name="Диаграмма 7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64994</xdr:colOff>
      <xdr:row>84</xdr:row>
      <xdr:rowOff>39781</xdr:rowOff>
    </xdr:from>
    <xdr:to>
      <xdr:col>36</xdr:col>
      <xdr:colOff>626969</xdr:colOff>
      <xdr:row>98</xdr:row>
      <xdr:rowOff>100268</xdr:rowOff>
    </xdr:to>
    <xdr:graphicFrame macro="">
      <xdr:nvGraphicFramePr>
        <xdr:cNvPr id="737" name="Диаграмма 7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369794</xdr:colOff>
      <xdr:row>59</xdr:row>
      <xdr:rowOff>89650</xdr:rowOff>
    </xdr:from>
    <xdr:to>
      <xdr:col>36</xdr:col>
      <xdr:colOff>750793</xdr:colOff>
      <xdr:row>61</xdr:row>
      <xdr:rowOff>0</xdr:rowOff>
    </xdr:to>
    <xdr:sp macro="" textlink="">
      <xdr:nvSpPr>
        <xdr:cNvPr id="738" name="TextBox 737"/>
        <xdr:cNvSpPr txBox="1"/>
      </xdr:nvSpPr>
      <xdr:spPr>
        <a:xfrm>
          <a:off x="24148676" y="12180797"/>
          <a:ext cx="2980764" cy="347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Nplasma </a:t>
          </a:r>
          <a:r>
            <a:rPr lang="ru-RU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ТРИТИЙ</a:t>
          </a:r>
          <a:endParaRPr lang="en-US" sz="1400" b="1" i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48</xdr:col>
      <xdr:colOff>696445</xdr:colOff>
      <xdr:row>6</xdr:row>
      <xdr:rowOff>9525</xdr:rowOff>
    </xdr:from>
    <xdr:to>
      <xdr:col>52</xdr:col>
      <xdr:colOff>619125</xdr:colOff>
      <xdr:row>33</xdr:row>
      <xdr:rowOff>22412</xdr:rowOff>
    </xdr:to>
    <xdr:sp macro="" textlink="">
      <xdr:nvSpPr>
        <xdr:cNvPr id="724" name="Прямоугольник 723"/>
        <xdr:cNvSpPr/>
      </xdr:nvSpPr>
      <xdr:spPr>
        <a:xfrm>
          <a:off x="35804474" y="1286996"/>
          <a:ext cx="2802592" cy="5683063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56</xdr:col>
      <xdr:colOff>665629</xdr:colOff>
      <xdr:row>6</xdr:row>
      <xdr:rowOff>19050</xdr:rowOff>
    </xdr:from>
    <xdr:to>
      <xdr:col>61</xdr:col>
      <xdr:colOff>0</xdr:colOff>
      <xdr:row>33</xdr:row>
      <xdr:rowOff>0</xdr:rowOff>
    </xdr:to>
    <xdr:sp macro="" textlink="">
      <xdr:nvSpPr>
        <xdr:cNvPr id="725" name="Прямоугольник 724"/>
        <xdr:cNvSpPr/>
      </xdr:nvSpPr>
      <xdr:spPr>
        <a:xfrm>
          <a:off x="41286953" y="1296521"/>
          <a:ext cx="2684929" cy="5651126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37</xdr:col>
      <xdr:colOff>100853</xdr:colOff>
      <xdr:row>115</xdr:row>
      <xdr:rowOff>33617</xdr:rowOff>
    </xdr:from>
    <xdr:to>
      <xdr:col>38</xdr:col>
      <xdr:colOff>0</xdr:colOff>
      <xdr:row>136</xdr:row>
      <xdr:rowOff>179294</xdr:rowOff>
    </xdr:to>
    <xdr:cxnSp macro="">
      <xdr:nvCxnSpPr>
        <xdr:cNvPr id="29" name="Прямая со стрелкой 28"/>
        <xdr:cNvCxnSpPr/>
      </xdr:nvCxnSpPr>
      <xdr:spPr>
        <a:xfrm flipH="1" flipV="1">
          <a:off x="42694412" y="12673852"/>
          <a:ext cx="560294" cy="43927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582706</xdr:colOff>
      <xdr:row>115</xdr:row>
      <xdr:rowOff>44825</xdr:rowOff>
    </xdr:from>
    <xdr:to>
      <xdr:col>43</xdr:col>
      <xdr:colOff>302558</xdr:colOff>
      <xdr:row>137</xdr:row>
      <xdr:rowOff>22411</xdr:rowOff>
    </xdr:to>
    <xdr:cxnSp macro="">
      <xdr:nvCxnSpPr>
        <xdr:cNvPr id="740" name="Прямая со стрелкой 739"/>
        <xdr:cNvCxnSpPr/>
      </xdr:nvCxnSpPr>
      <xdr:spPr>
        <a:xfrm flipV="1">
          <a:off x="46313912" y="12685060"/>
          <a:ext cx="414617" cy="44263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172509</xdr:colOff>
      <xdr:row>13</xdr:row>
      <xdr:rowOff>0</xdr:rowOff>
    </xdr:from>
    <xdr:to>
      <xdr:col>2</xdr:col>
      <xdr:colOff>183931</xdr:colOff>
      <xdr:row>14</xdr:row>
      <xdr:rowOff>126441</xdr:rowOff>
    </xdr:to>
    <xdr:cxnSp macro="">
      <xdr:nvCxnSpPr>
        <xdr:cNvPr id="741" name="Straight Arrow Connector 150"/>
        <xdr:cNvCxnSpPr/>
      </xdr:nvCxnSpPr>
      <xdr:spPr>
        <a:xfrm flipH="1">
          <a:off x="1473164" y="1583121"/>
          <a:ext cx="11422" cy="323510"/>
        </a:xfrm>
        <a:prstGeom prst="straightConnector1">
          <a:avLst/>
        </a:prstGeom>
        <a:ln w="38100">
          <a:solidFill>
            <a:schemeClr val="accent6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168574</xdr:colOff>
      <xdr:row>18</xdr:row>
      <xdr:rowOff>156882</xdr:rowOff>
    </xdr:from>
    <xdr:to>
      <xdr:col>3</xdr:col>
      <xdr:colOff>179779</xdr:colOff>
      <xdr:row>24</xdr:row>
      <xdr:rowOff>156882</xdr:rowOff>
    </xdr:to>
    <xdr:cxnSp macro="">
      <xdr:nvCxnSpPr>
        <xdr:cNvPr id="743" name="Straight Arrow Connector 150"/>
        <xdr:cNvCxnSpPr/>
      </xdr:nvCxnSpPr>
      <xdr:spPr>
        <a:xfrm>
          <a:off x="2090139" y="2906708"/>
          <a:ext cx="11205" cy="1225826"/>
        </a:xfrm>
        <a:prstGeom prst="straightConnector1">
          <a:avLst/>
        </a:prstGeom>
        <a:ln w="38100">
          <a:solidFill>
            <a:schemeClr val="bg1">
              <a:lumMod val="6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384827</xdr:colOff>
      <xdr:row>17</xdr:row>
      <xdr:rowOff>56030</xdr:rowOff>
    </xdr:from>
    <xdr:to>
      <xdr:col>16</xdr:col>
      <xdr:colOff>389696</xdr:colOff>
      <xdr:row>23</xdr:row>
      <xdr:rowOff>198783</xdr:rowOff>
    </xdr:to>
    <xdr:cxnSp macro="">
      <xdr:nvCxnSpPr>
        <xdr:cNvPr id="744" name="Straight Arrow Connector 150"/>
        <xdr:cNvCxnSpPr/>
      </xdr:nvCxnSpPr>
      <xdr:spPr>
        <a:xfrm flipH="1" flipV="1">
          <a:off x="11567177" y="2608730"/>
          <a:ext cx="4869" cy="1409578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15</xdr:row>
      <xdr:rowOff>0</xdr:rowOff>
    </xdr:from>
    <xdr:to>
      <xdr:col>19</xdr:col>
      <xdr:colOff>10087</xdr:colOff>
      <xdr:row>32</xdr:row>
      <xdr:rowOff>163045</xdr:rowOff>
    </xdr:to>
    <xdr:cxnSp macro="">
      <xdr:nvCxnSpPr>
        <xdr:cNvPr id="745" name="Straight Arrow Connector 150"/>
        <xdr:cNvCxnSpPr/>
      </xdr:nvCxnSpPr>
      <xdr:spPr>
        <a:xfrm>
          <a:off x="13430250" y="2114550"/>
          <a:ext cx="10087" cy="3763495"/>
        </a:xfrm>
        <a:prstGeom prst="straightConnector1">
          <a:avLst/>
        </a:prstGeom>
        <a:ln w="3810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77802</xdr:colOff>
      <xdr:row>27</xdr:row>
      <xdr:rowOff>215845</xdr:rowOff>
    </xdr:from>
    <xdr:to>
      <xdr:col>13</xdr:col>
      <xdr:colOff>697167</xdr:colOff>
      <xdr:row>29</xdr:row>
      <xdr:rowOff>38514</xdr:rowOff>
    </xdr:to>
    <xdr:sp macro="" textlink="">
      <xdr:nvSpPr>
        <xdr:cNvPr id="753" name="TextBox 134"/>
        <xdr:cNvSpPr txBox="1">
          <a:spLocks noChangeArrowheads="1"/>
        </xdr:cNvSpPr>
      </xdr:nvSpPr>
      <xdr:spPr bwMode="auto">
        <a:xfrm>
          <a:off x="9004088" y="4964738"/>
          <a:ext cx="619365" cy="271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D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2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+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T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2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14</xdr:col>
      <xdr:colOff>322385</xdr:colOff>
      <xdr:row>35</xdr:row>
      <xdr:rowOff>0</xdr:rowOff>
    </xdr:from>
    <xdr:to>
      <xdr:col>14</xdr:col>
      <xdr:colOff>607718</xdr:colOff>
      <xdr:row>35</xdr:row>
      <xdr:rowOff>1</xdr:rowOff>
    </xdr:to>
    <xdr:cxnSp macro="">
      <xdr:nvCxnSpPr>
        <xdr:cNvPr id="754" name="Straight Arrow Connector 150"/>
        <xdr:cNvCxnSpPr/>
      </xdr:nvCxnSpPr>
      <xdr:spPr>
        <a:xfrm flipH="1" flipV="1">
          <a:off x="10015904" y="6293827"/>
          <a:ext cx="285333" cy="1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61778</xdr:colOff>
      <xdr:row>17</xdr:row>
      <xdr:rowOff>84450</xdr:rowOff>
    </xdr:from>
    <xdr:to>
      <xdr:col>12</xdr:col>
      <xdr:colOff>588066</xdr:colOff>
      <xdr:row>19</xdr:row>
      <xdr:rowOff>114300</xdr:rowOff>
    </xdr:to>
    <xdr:sp macro="" textlink="">
      <xdr:nvSpPr>
        <xdr:cNvPr id="757" name="Прямоугольник 756"/>
        <xdr:cNvSpPr/>
      </xdr:nvSpPr>
      <xdr:spPr>
        <a:xfrm>
          <a:off x="6900728" y="2675250"/>
          <a:ext cx="1964563" cy="468000"/>
        </a:xfrm>
        <a:prstGeom prst="rect">
          <a:avLst/>
        </a:prstGeom>
        <a:solidFill>
          <a:schemeClr val="tx2">
            <a:lumMod val="20000"/>
            <a:lumOff val="80000"/>
            <a:alpha val="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/>
        </a:p>
      </xdr:txBody>
    </xdr:sp>
    <xdr:clientData/>
  </xdr:twoCellAnchor>
  <xdr:twoCellAnchor>
    <xdr:from>
      <xdr:col>12</xdr:col>
      <xdr:colOff>381001</xdr:colOff>
      <xdr:row>8</xdr:row>
      <xdr:rowOff>16371</xdr:rowOff>
    </xdr:from>
    <xdr:to>
      <xdr:col>12</xdr:col>
      <xdr:colOff>382339</xdr:colOff>
      <xdr:row>17</xdr:row>
      <xdr:rowOff>115957</xdr:rowOff>
    </xdr:to>
    <xdr:cxnSp macro="">
      <xdr:nvCxnSpPr>
        <xdr:cNvPr id="758" name="Straight Arrow Connector 150"/>
        <xdr:cNvCxnSpPr/>
      </xdr:nvCxnSpPr>
      <xdr:spPr>
        <a:xfrm flipH="1">
          <a:off x="8647044" y="612719"/>
          <a:ext cx="1338" cy="1971455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653382</xdr:colOff>
      <xdr:row>38</xdr:row>
      <xdr:rowOff>185643</xdr:rowOff>
    </xdr:from>
    <xdr:to>
      <xdr:col>32</xdr:col>
      <xdr:colOff>78441</xdr:colOff>
      <xdr:row>42</xdr:row>
      <xdr:rowOff>11205</xdr:rowOff>
    </xdr:to>
    <xdr:sp macro="" textlink="">
      <xdr:nvSpPr>
        <xdr:cNvPr id="762" name="Овал 761"/>
        <xdr:cNvSpPr/>
      </xdr:nvSpPr>
      <xdr:spPr>
        <a:xfrm>
          <a:off x="29239588" y="5105025"/>
          <a:ext cx="960265" cy="64359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40</xdr:col>
      <xdr:colOff>201706</xdr:colOff>
      <xdr:row>115</xdr:row>
      <xdr:rowOff>156883</xdr:rowOff>
    </xdr:from>
    <xdr:to>
      <xdr:col>40</xdr:col>
      <xdr:colOff>201706</xdr:colOff>
      <xdr:row>128</xdr:row>
      <xdr:rowOff>78441</xdr:rowOff>
    </xdr:to>
    <xdr:cxnSp macro="">
      <xdr:nvCxnSpPr>
        <xdr:cNvPr id="34" name="Прямая соединительная линия 33"/>
        <xdr:cNvCxnSpPr/>
      </xdr:nvCxnSpPr>
      <xdr:spPr>
        <a:xfrm>
          <a:off x="44711471" y="12797118"/>
          <a:ext cx="0" cy="2543735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112059</xdr:colOff>
      <xdr:row>118</xdr:row>
      <xdr:rowOff>134471</xdr:rowOff>
    </xdr:from>
    <xdr:to>
      <xdr:col>42</xdr:col>
      <xdr:colOff>464043</xdr:colOff>
      <xdr:row>128</xdr:row>
      <xdr:rowOff>112056</xdr:rowOff>
    </xdr:to>
    <xdr:pic>
      <xdr:nvPicPr>
        <xdr:cNvPr id="41" name="Рисунок 40"/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b="28800"/>
        <a:stretch/>
      </xdr:blipFill>
      <xdr:spPr>
        <a:xfrm>
          <a:off x="42705618" y="13379824"/>
          <a:ext cx="4090146" cy="1994647"/>
        </a:xfrm>
        <a:prstGeom prst="rect">
          <a:avLst/>
        </a:prstGeom>
      </xdr:spPr>
    </xdr:pic>
    <xdr:clientData/>
  </xdr:twoCellAnchor>
  <xdr:twoCellAnchor>
    <xdr:from>
      <xdr:col>38</xdr:col>
      <xdr:colOff>235324</xdr:colOff>
      <xdr:row>124</xdr:row>
      <xdr:rowOff>145677</xdr:rowOff>
    </xdr:from>
    <xdr:to>
      <xdr:col>42</xdr:col>
      <xdr:colOff>186986</xdr:colOff>
      <xdr:row>125</xdr:row>
      <xdr:rowOff>73907</xdr:rowOff>
    </xdr:to>
    <xdr:cxnSp macro="">
      <xdr:nvCxnSpPr>
        <xdr:cNvPr id="542" name="Прямая соединительная линия 541"/>
        <xdr:cNvCxnSpPr/>
      </xdr:nvCxnSpPr>
      <xdr:spPr>
        <a:xfrm flipV="1">
          <a:off x="43490030" y="14601265"/>
          <a:ext cx="2428162" cy="129936"/>
        </a:xfrm>
        <a:prstGeom prst="line">
          <a:avLst/>
        </a:prstGeom>
        <a:ln w="34925" cmpd="dbl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224115</xdr:colOff>
      <xdr:row>119</xdr:row>
      <xdr:rowOff>15687</xdr:rowOff>
    </xdr:from>
    <xdr:to>
      <xdr:col>18</xdr:col>
      <xdr:colOff>155290</xdr:colOff>
      <xdr:row>163</xdr:row>
      <xdr:rowOff>139232</xdr:rowOff>
    </xdr:to>
    <xdr:pic>
      <xdr:nvPicPr>
        <xdr:cNvPr id="481" name="Рисунок 48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5" y="23370987"/>
          <a:ext cx="10713475" cy="8505544"/>
        </a:xfrm>
        <a:prstGeom prst="rect">
          <a:avLst/>
        </a:prstGeom>
      </xdr:spPr>
    </xdr:pic>
    <xdr:clientData/>
  </xdr:twoCellAnchor>
  <xdr:twoCellAnchor>
    <xdr:from>
      <xdr:col>14</xdr:col>
      <xdr:colOff>518947</xdr:colOff>
      <xdr:row>67</xdr:row>
      <xdr:rowOff>9825</xdr:rowOff>
    </xdr:from>
    <xdr:to>
      <xdr:col>15</xdr:col>
      <xdr:colOff>249619</xdr:colOff>
      <xdr:row>68</xdr:row>
      <xdr:rowOff>179296</xdr:rowOff>
    </xdr:to>
    <xdr:sp macro="" textlink="">
      <xdr:nvSpPr>
        <xdr:cNvPr id="751" name="TextBox 750"/>
        <xdr:cNvSpPr txBox="1"/>
      </xdr:nvSpPr>
      <xdr:spPr>
        <a:xfrm>
          <a:off x="10195033" y="13719256"/>
          <a:ext cx="453258" cy="366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  <a:r>
            <a:rPr lang="en-US" sz="1600" baseline="-250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endParaRPr lang="ru-RU" sz="1600" baseline="-250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378338</xdr:colOff>
      <xdr:row>78</xdr:row>
      <xdr:rowOff>99337</xdr:rowOff>
    </xdr:from>
    <xdr:to>
      <xdr:col>14</xdr:col>
      <xdr:colOff>190500</xdr:colOff>
      <xdr:row>80</xdr:row>
      <xdr:rowOff>51919</xdr:rowOff>
    </xdr:to>
    <xdr:sp macro="" textlink="">
      <xdr:nvSpPr>
        <xdr:cNvPr id="769" name="TextBox 768"/>
        <xdr:cNvSpPr txBox="1"/>
      </xdr:nvSpPr>
      <xdr:spPr>
        <a:xfrm>
          <a:off x="8644381" y="16010228"/>
          <a:ext cx="1211923" cy="35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(HFS+LFS)</a:t>
          </a:r>
          <a:endParaRPr lang="ru-RU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365084</xdr:colOff>
      <xdr:row>72</xdr:row>
      <xdr:rowOff>177193</xdr:rowOff>
    </xdr:from>
    <xdr:to>
      <xdr:col>14</xdr:col>
      <xdr:colOff>177246</xdr:colOff>
      <xdr:row>74</xdr:row>
      <xdr:rowOff>129776</xdr:rowOff>
    </xdr:to>
    <xdr:sp macro="" textlink="">
      <xdr:nvSpPr>
        <xdr:cNvPr id="771" name="TextBox 770"/>
        <xdr:cNvSpPr txBox="1"/>
      </xdr:nvSpPr>
      <xdr:spPr>
        <a:xfrm>
          <a:off x="8631127" y="14887106"/>
          <a:ext cx="1211923" cy="35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(HFS+LFS)</a:t>
          </a:r>
          <a:endParaRPr lang="ru-RU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102646</xdr:colOff>
      <xdr:row>72</xdr:row>
      <xdr:rowOff>89298</xdr:rowOff>
    </xdr:from>
    <xdr:to>
      <xdr:col>9</xdr:col>
      <xdr:colOff>714375</xdr:colOff>
      <xdr:row>82</xdr:row>
      <xdr:rowOff>167763</xdr:rowOff>
    </xdr:to>
    <xdr:sp macro="" textlink="">
      <xdr:nvSpPr>
        <xdr:cNvPr id="823" name="Дуга 822"/>
        <xdr:cNvSpPr>
          <a:spLocks noChangeAspect="1"/>
        </xdr:cNvSpPr>
      </xdr:nvSpPr>
      <xdr:spPr>
        <a:xfrm flipH="1">
          <a:off x="4740130" y="14989970"/>
          <a:ext cx="2088104" cy="2108481"/>
        </a:xfrm>
        <a:prstGeom prst="arc">
          <a:avLst>
            <a:gd name="adj1" fmla="val 2418582"/>
            <a:gd name="adj2" fmla="val 4768217"/>
          </a:avLst>
        </a:prstGeom>
        <a:ln w="28575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336499</xdr:colOff>
      <xdr:row>10</xdr:row>
      <xdr:rowOff>742</xdr:rowOff>
    </xdr:from>
    <xdr:to>
      <xdr:col>3</xdr:col>
      <xdr:colOff>393961</xdr:colOff>
      <xdr:row>12</xdr:row>
      <xdr:rowOff>11547</xdr:rowOff>
    </xdr:to>
    <xdr:sp macro="" textlink="">
      <xdr:nvSpPr>
        <xdr:cNvPr id="857" name="TextBox 22"/>
        <xdr:cNvSpPr txBox="1">
          <a:spLocks noChangeArrowheads="1"/>
        </xdr:cNvSpPr>
      </xdr:nvSpPr>
      <xdr:spPr bwMode="auto">
        <a:xfrm>
          <a:off x="957695" y="994655"/>
          <a:ext cx="1357831" cy="416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Разделение изотопов</a:t>
          </a:r>
          <a:r>
            <a:rPr lang="ru-RU" u="sng" baseline="0">
              <a:latin typeface="Times New Roman" pitchFamily="18" charset="0"/>
              <a:cs typeface="Times New Roman" pitchFamily="18" charset="0"/>
            </a:rPr>
            <a:t> </a:t>
          </a:r>
          <a:endParaRPr lang="ru-RU" sz="1100" u="sng" baseline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463827</xdr:colOff>
      <xdr:row>11</xdr:row>
      <xdr:rowOff>74543</xdr:rowOff>
    </xdr:from>
    <xdr:to>
      <xdr:col>4</xdr:col>
      <xdr:colOff>165653</xdr:colOff>
      <xdr:row>11</xdr:row>
      <xdr:rowOff>74543</xdr:rowOff>
    </xdr:to>
    <xdr:cxnSp macro="">
      <xdr:nvCxnSpPr>
        <xdr:cNvPr id="858" name="Straight Arrow Connector 150"/>
        <xdr:cNvCxnSpPr/>
      </xdr:nvCxnSpPr>
      <xdr:spPr>
        <a:xfrm>
          <a:off x="2385392" y="1267239"/>
          <a:ext cx="298174" cy="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525680</xdr:colOff>
      <xdr:row>6</xdr:row>
      <xdr:rowOff>69130</xdr:rowOff>
    </xdr:from>
    <xdr:to>
      <xdr:col>3</xdr:col>
      <xdr:colOff>295275</xdr:colOff>
      <xdr:row>7</xdr:row>
      <xdr:rowOff>142518</xdr:rowOff>
    </xdr:to>
    <xdr:sp macro="" textlink="">
      <xdr:nvSpPr>
        <xdr:cNvPr id="862" name="TextBox 134"/>
        <xdr:cNvSpPr txBox="1">
          <a:spLocks noChangeArrowheads="1"/>
        </xdr:cNvSpPr>
      </xdr:nvSpPr>
      <xdr:spPr bwMode="auto">
        <a:xfrm>
          <a:off x="1830605" y="269155"/>
          <a:ext cx="379195" cy="311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ru-RU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Т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287943</xdr:colOff>
      <xdr:row>8</xdr:row>
      <xdr:rowOff>17054</xdr:rowOff>
    </xdr:from>
    <xdr:to>
      <xdr:col>2</xdr:col>
      <xdr:colOff>289892</xdr:colOff>
      <xdr:row>9</xdr:row>
      <xdr:rowOff>91109</xdr:rowOff>
    </xdr:to>
    <xdr:cxnSp macro="">
      <xdr:nvCxnSpPr>
        <xdr:cNvPr id="863" name="Straight Arrow Connector 150"/>
        <xdr:cNvCxnSpPr/>
      </xdr:nvCxnSpPr>
      <xdr:spPr>
        <a:xfrm flipH="1" flipV="1">
          <a:off x="1596595" y="613402"/>
          <a:ext cx="1949" cy="272837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56029</xdr:colOff>
      <xdr:row>18</xdr:row>
      <xdr:rowOff>57150</xdr:rowOff>
    </xdr:from>
    <xdr:to>
      <xdr:col>13</xdr:col>
      <xdr:colOff>649941</xdr:colOff>
      <xdr:row>27</xdr:row>
      <xdr:rowOff>66259</xdr:rowOff>
    </xdr:to>
    <xdr:sp macro="" textlink="">
      <xdr:nvSpPr>
        <xdr:cNvPr id="867" name="Дуга 866"/>
        <xdr:cNvSpPr/>
      </xdr:nvSpPr>
      <xdr:spPr>
        <a:xfrm flipV="1">
          <a:off x="7620000" y="2881032"/>
          <a:ext cx="1972235" cy="1846874"/>
        </a:xfrm>
        <a:prstGeom prst="arc">
          <a:avLst>
            <a:gd name="adj1" fmla="val 17673517"/>
            <a:gd name="adj2" fmla="val 3988842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73474</xdr:colOff>
      <xdr:row>33</xdr:row>
      <xdr:rowOff>64797</xdr:rowOff>
    </xdr:from>
    <xdr:to>
      <xdr:col>12</xdr:col>
      <xdr:colOff>612914</xdr:colOff>
      <xdr:row>35</xdr:row>
      <xdr:rowOff>182216</xdr:rowOff>
    </xdr:to>
    <xdr:sp macro="" textlink="">
      <xdr:nvSpPr>
        <xdr:cNvPr id="869" name="TextBox 22"/>
        <xdr:cNvSpPr txBox="1">
          <a:spLocks noChangeArrowheads="1"/>
        </xdr:cNvSpPr>
      </xdr:nvSpPr>
      <xdr:spPr bwMode="auto">
        <a:xfrm>
          <a:off x="6906626" y="5879188"/>
          <a:ext cx="1972331" cy="514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Криоконденсация</a:t>
          </a:r>
        </a:p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+мембранная очистка</a:t>
          </a:r>
        </a:p>
      </xdr:txBody>
    </xdr:sp>
    <xdr:clientData/>
  </xdr:twoCellAnchor>
  <xdr:twoCellAnchor>
    <xdr:from>
      <xdr:col>11</xdr:col>
      <xdr:colOff>130123</xdr:colOff>
      <xdr:row>5</xdr:row>
      <xdr:rowOff>120795</xdr:rowOff>
    </xdr:from>
    <xdr:to>
      <xdr:col>11</xdr:col>
      <xdr:colOff>712698</xdr:colOff>
      <xdr:row>8</xdr:row>
      <xdr:rowOff>0</xdr:rowOff>
    </xdr:to>
    <xdr:sp macro="" textlink="">
      <xdr:nvSpPr>
        <xdr:cNvPr id="875" name="Прямоугольник 874"/>
        <xdr:cNvSpPr/>
      </xdr:nvSpPr>
      <xdr:spPr>
        <a:xfrm>
          <a:off x="7675580" y="120795"/>
          <a:ext cx="582575" cy="475553"/>
        </a:xfrm>
        <a:prstGeom prst="rect">
          <a:avLst/>
        </a:prstGeom>
        <a:solidFill>
          <a:schemeClr val="tx2">
            <a:lumMod val="20000"/>
            <a:lumOff val="80000"/>
            <a:alpha val="40000"/>
          </a:schemeClr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 sz="1200"/>
        </a:p>
      </xdr:txBody>
    </xdr:sp>
    <xdr:clientData/>
  </xdr:twoCellAnchor>
  <xdr:twoCellAnchor>
    <xdr:from>
      <xdr:col>11</xdr:col>
      <xdr:colOff>254672</xdr:colOff>
      <xdr:row>6</xdr:row>
      <xdr:rowOff>151372</xdr:rowOff>
    </xdr:from>
    <xdr:to>
      <xdr:col>12</xdr:col>
      <xdr:colOff>10467</xdr:colOff>
      <xdr:row>8</xdr:row>
      <xdr:rowOff>24735</xdr:rowOff>
    </xdr:to>
    <xdr:sp macro="" textlink="">
      <xdr:nvSpPr>
        <xdr:cNvPr id="876" name="TextBox 134"/>
        <xdr:cNvSpPr txBox="1">
          <a:spLocks noChangeArrowheads="1"/>
        </xdr:cNvSpPr>
      </xdr:nvSpPr>
      <xdr:spPr bwMode="auto">
        <a:xfrm>
          <a:off x="7800129" y="350155"/>
          <a:ext cx="476381" cy="270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D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161925</xdr:colOff>
      <xdr:row>5</xdr:row>
      <xdr:rowOff>123825</xdr:rowOff>
    </xdr:from>
    <xdr:to>
      <xdr:col>11</xdr:col>
      <xdr:colOff>30258</xdr:colOff>
      <xdr:row>8</xdr:row>
      <xdr:rowOff>0</xdr:rowOff>
    </xdr:to>
    <xdr:sp macro="" textlink="">
      <xdr:nvSpPr>
        <xdr:cNvPr id="877" name="Прямоугольник 876"/>
        <xdr:cNvSpPr/>
      </xdr:nvSpPr>
      <xdr:spPr>
        <a:xfrm>
          <a:off x="7000875" y="123825"/>
          <a:ext cx="582708" cy="514350"/>
        </a:xfrm>
        <a:prstGeom prst="rect">
          <a:avLst/>
        </a:prstGeom>
        <a:solidFill>
          <a:schemeClr val="tx2">
            <a:lumMod val="20000"/>
            <a:lumOff val="80000"/>
            <a:alpha val="40000"/>
          </a:schemeClr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 sz="1200"/>
        </a:p>
      </xdr:txBody>
    </xdr:sp>
    <xdr:clientData/>
  </xdr:twoCellAnchor>
  <xdr:twoCellAnchor>
    <xdr:from>
      <xdr:col>10</xdr:col>
      <xdr:colOff>280443</xdr:colOff>
      <xdr:row>6</xdr:row>
      <xdr:rowOff>175146</xdr:rowOff>
    </xdr:from>
    <xdr:to>
      <xdr:col>11</xdr:col>
      <xdr:colOff>58650</xdr:colOff>
      <xdr:row>8</xdr:row>
      <xdr:rowOff>48509</xdr:rowOff>
    </xdr:to>
    <xdr:sp macro="" textlink="">
      <xdr:nvSpPr>
        <xdr:cNvPr id="878" name="TextBox 134"/>
        <xdr:cNvSpPr txBox="1">
          <a:spLocks noChangeArrowheads="1"/>
        </xdr:cNvSpPr>
      </xdr:nvSpPr>
      <xdr:spPr bwMode="auto">
        <a:xfrm>
          <a:off x="7119393" y="375171"/>
          <a:ext cx="492582" cy="311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ru-RU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Т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445200</xdr:colOff>
      <xdr:row>8</xdr:row>
      <xdr:rowOff>58183</xdr:rowOff>
    </xdr:from>
    <xdr:to>
      <xdr:col>10</xdr:col>
      <xdr:colOff>457200</xdr:colOff>
      <xdr:row>15</xdr:row>
      <xdr:rowOff>28575</xdr:rowOff>
    </xdr:to>
    <xdr:cxnSp macro="">
      <xdr:nvCxnSpPr>
        <xdr:cNvPr id="879" name="Straight Arrow Connector 150"/>
        <xdr:cNvCxnSpPr/>
      </xdr:nvCxnSpPr>
      <xdr:spPr>
        <a:xfrm>
          <a:off x="7284150" y="696358"/>
          <a:ext cx="12000" cy="1437242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637761</xdr:colOff>
      <xdr:row>30</xdr:row>
      <xdr:rowOff>195919</xdr:rowOff>
    </xdr:from>
    <xdr:to>
      <xdr:col>12</xdr:col>
      <xdr:colOff>29712</xdr:colOff>
      <xdr:row>32</xdr:row>
      <xdr:rowOff>36282</xdr:rowOff>
    </xdr:to>
    <xdr:sp macro="" textlink="">
      <xdr:nvSpPr>
        <xdr:cNvPr id="880" name="TextBox 22"/>
        <xdr:cNvSpPr txBox="1">
          <a:spLocks noChangeArrowheads="1"/>
        </xdr:cNvSpPr>
      </xdr:nvSpPr>
      <xdr:spPr bwMode="auto">
        <a:xfrm>
          <a:off x="7470913" y="5405680"/>
          <a:ext cx="824842" cy="254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b="1" u="sng" baseline="0">
              <a:latin typeface="Times New Roman" pitchFamily="18" charset="0"/>
              <a:cs typeface="Times New Roman" pitchFamily="18" charset="0"/>
            </a:rPr>
            <a:t>Вариант </a:t>
          </a:r>
          <a:r>
            <a:rPr lang="en-US" b="1" u="sng" baseline="0">
              <a:latin typeface="Times New Roman" pitchFamily="18" charset="0"/>
              <a:cs typeface="Times New Roman" pitchFamily="18" charset="0"/>
            </a:rPr>
            <a:t>I</a:t>
          </a:r>
          <a:endParaRPr lang="ru-RU" b="1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12</xdr:col>
      <xdr:colOff>157133</xdr:colOff>
      <xdr:row>19</xdr:row>
      <xdr:rowOff>178528</xdr:rowOff>
    </xdr:from>
    <xdr:to>
      <xdr:col>13</xdr:col>
      <xdr:colOff>410580</xdr:colOff>
      <xdr:row>21</xdr:row>
      <xdr:rowOff>24807</xdr:rowOff>
    </xdr:to>
    <xdr:sp macro="" textlink="">
      <xdr:nvSpPr>
        <xdr:cNvPr id="881" name="TextBox 22"/>
        <xdr:cNvSpPr txBox="1">
          <a:spLocks noChangeArrowheads="1"/>
        </xdr:cNvSpPr>
      </xdr:nvSpPr>
      <xdr:spPr bwMode="auto">
        <a:xfrm>
          <a:off x="8430276" y="3226528"/>
          <a:ext cx="906590" cy="254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b="1" u="sng" baseline="0">
              <a:latin typeface="Times New Roman" pitchFamily="18" charset="0"/>
              <a:cs typeface="Times New Roman" pitchFamily="18" charset="0"/>
            </a:rPr>
            <a:t>Вариант </a:t>
          </a:r>
          <a:r>
            <a:rPr lang="en-US" b="1" u="sng" baseline="0">
              <a:latin typeface="Times New Roman" pitchFamily="18" charset="0"/>
              <a:cs typeface="Times New Roman" pitchFamily="18" charset="0"/>
            </a:rPr>
            <a:t>II</a:t>
          </a:r>
          <a:endParaRPr lang="ru-RU" b="1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384074</xdr:colOff>
      <xdr:row>19</xdr:row>
      <xdr:rowOff>181842</xdr:rowOff>
    </xdr:from>
    <xdr:to>
      <xdr:col>14</xdr:col>
      <xdr:colOff>701063</xdr:colOff>
      <xdr:row>21</xdr:row>
      <xdr:rowOff>28121</xdr:rowOff>
    </xdr:to>
    <xdr:sp macro="" textlink="">
      <xdr:nvSpPr>
        <xdr:cNvPr id="882" name="TextBox 22"/>
        <xdr:cNvSpPr txBox="1">
          <a:spLocks noChangeArrowheads="1"/>
        </xdr:cNvSpPr>
      </xdr:nvSpPr>
      <xdr:spPr bwMode="auto">
        <a:xfrm>
          <a:off x="9310360" y="3229842"/>
          <a:ext cx="1065382" cy="254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b="1" u="sng" baseline="0">
              <a:latin typeface="Times New Roman" pitchFamily="18" charset="0"/>
              <a:cs typeface="Times New Roman" pitchFamily="18" charset="0"/>
            </a:rPr>
            <a:t>Вариант </a:t>
          </a:r>
          <a:r>
            <a:rPr lang="en-US" b="1" u="sng" baseline="0">
              <a:latin typeface="Times New Roman" pitchFamily="18" charset="0"/>
              <a:cs typeface="Times New Roman" pitchFamily="18" charset="0"/>
            </a:rPr>
            <a:t>III</a:t>
          </a:r>
          <a:endParaRPr lang="ru-RU" b="1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12</xdr:col>
      <xdr:colOff>612913</xdr:colOff>
      <xdr:row>15</xdr:row>
      <xdr:rowOff>9525</xdr:rowOff>
    </xdr:from>
    <xdr:to>
      <xdr:col>14</xdr:col>
      <xdr:colOff>712305</xdr:colOff>
      <xdr:row>15</xdr:row>
      <xdr:rowOff>17807</xdr:rowOff>
    </xdr:to>
    <xdr:cxnSp macro="">
      <xdr:nvCxnSpPr>
        <xdr:cNvPr id="891" name="Straight Arrow Connector 150"/>
        <xdr:cNvCxnSpPr/>
      </xdr:nvCxnSpPr>
      <xdr:spPr>
        <a:xfrm flipV="1">
          <a:off x="8890138" y="2124075"/>
          <a:ext cx="1499567" cy="8282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173935</xdr:colOff>
      <xdr:row>18</xdr:row>
      <xdr:rowOff>191643</xdr:rowOff>
    </xdr:from>
    <xdr:to>
      <xdr:col>2</xdr:col>
      <xdr:colOff>184217</xdr:colOff>
      <xdr:row>24</xdr:row>
      <xdr:rowOff>115957</xdr:rowOff>
    </xdr:to>
    <xdr:cxnSp macro="">
      <xdr:nvCxnSpPr>
        <xdr:cNvPr id="902" name="Straight Arrow Connector 150"/>
        <xdr:cNvCxnSpPr/>
      </xdr:nvCxnSpPr>
      <xdr:spPr>
        <a:xfrm flipH="1">
          <a:off x="1482587" y="2941469"/>
          <a:ext cx="10282" cy="1150140"/>
        </a:xfrm>
        <a:prstGeom prst="straightConnector1">
          <a:avLst/>
        </a:prstGeom>
        <a:ln w="38100">
          <a:solidFill>
            <a:schemeClr val="accent6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40686</xdr:colOff>
      <xdr:row>18</xdr:row>
      <xdr:rowOff>27845</xdr:rowOff>
    </xdr:from>
    <xdr:to>
      <xdr:col>15</xdr:col>
      <xdr:colOff>685800</xdr:colOff>
      <xdr:row>18</xdr:row>
      <xdr:rowOff>49282</xdr:rowOff>
    </xdr:to>
    <xdr:cxnSp macro="">
      <xdr:nvCxnSpPr>
        <xdr:cNvPr id="907" name="Straight Arrow Connector 150"/>
        <xdr:cNvCxnSpPr/>
      </xdr:nvCxnSpPr>
      <xdr:spPr>
        <a:xfrm flipH="1" flipV="1">
          <a:off x="8965611" y="2856770"/>
          <a:ext cx="2121489" cy="21437"/>
        </a:xfrm>
        <a:prstGeom prst="straightConnector1">
          <a:avLst/>
        </a:prstGeom>
        <a:ln w="38100">
          <a:solidFill>
            <a:srgbClr val="FFC000"/>
          </a:solidFill>
          <a:prstDash val="dash"/>
          <a:tailEnd type="arrow"/>
        </a:ln>
        <a:effectLst>
          <a:outerShdw blurRad="50800" dist="50800" dir="5400000" algn="ctr" rotWithShape="0">
            <a:schemeClr val="tx1">
              <a:alpha val="61000"/>
            </a:scheme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299505</xdr:colOff>
      <xdr:row>18</xdr:row>
      <xdr:rowOff>180974</xdr:rowOff>
    </xdr:from>
    <xdr:to>
      <xdr:col>13</xdr:col>
      <xdr:colOff>504825</xdr:colOff>
      <xdr:row>26</xdr:row>
      <xdr:rowOff>82333</xdr:rowOff>
    </xdr:to>
    <xdr:sp macro="" textlink="">
      <xdr:nvSpPr>
        <xdr:cNvPr id="326" name="Дуга 325"/>
        <xdr:cNvSpPr/>
      </xdr:nvSpPr>
      <xdr:spPr>
        <a:xfrm flipV="1">
          <a:off x="7852830" y="3009899"/>
          <a:ext cx="1576920" cy="1530134"/>
        </a:xfrm>
        <a:prstGeom prst="arc">
          <a:avLst>
            <a:gd name="adj1" fmla="val 17673517"/>
            <a:gd name="adj2" fmla="val 3988842"/>
          </a:avLst>
        </a:prstGeom>
        <a:ln w="38100">
          <a:solidFill>
            <a:srgbClr val="FFC000"/>
          </a:solidFill>
          <a:headEnd type="none" w="med" len="med"/>
          <a:tailEnd type="arrow" w="med" len="med"/>
        </a:ln>
        <a:effectLst>
          <a:outerShdw blurRad="50800" dist="50800" dir="5400000" algn="ctr" rotWithShape="0">
            <a:schemeClr val="tx1">
              <a:alpha val="68000"/>
            </a:scheme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15</xdr:col>
      <xdr:colOff>770283</xdr:colOff>
      <xdr:row>18</xdr:row>
      <xdr:rowOff>38100</xdr:rowOff>
    </xdr:from>
    <xdr:to>
      <xdr:col>15</xdr:col>
      <xdr:colOff>771525</xdr:colOff>
      <xdr:row>23</xdr:row>
      <xdr:rowOff>140804</xdr:rowOff>
    </xdr:to>
    <xdr:cxnSp macro="">
      <xdr:nvCxnSpPr>
        <xdr:cNvPr id="910" name="Straight Arrow Connector 150"/>
        <xdr:cNvCxnSpPr/>
      </xdr:nvCxnSpPr>
      <xdr:spPr>
        <a:xfrm flipH="1">
          <a:off x="11171583" y="2867025"/>
          <a:ext cx="1242" cy="1093304"/>
        </a:xfrm>
        <a:prstGeom prst="straightConnector1">
          <a:avLst/>
        </a:prstGeom>
        <a:ln w="38100">
          <a:solidFill>
            <a:srgbClr val="FFC000"/>
          </a:solidFill>
          <a:prstDash val="dash"/>
          <a:headEnd type="none" w="med" len="med"/>
          <a:tailEnd type="none" w="med" len="med"/>
        </a:ln>
        <a:effectLst>
          <a:outerShdw blurRad="50800" dist="50800" dir="5400000" algn="ctr" rotWithShape="0">
            <a:schemeClr val="tx1">
              <a:alpha val="61000"/>
            </a:scheme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208058</xdr:colOff>
      <xdr:row>14</xdr:row>
      <xdr:rowOff>183045</xdr:rowOff>
    </xdr:from>
    <xdr:to>
      <xdr:col>13</xdr:col>
      <xdr:colOff>135925</xdr:colOff>
      <xdr:row>16</xdr:row>
      <xdr:rowOff>170464</xdr:rowOff>
    </xdr:to>
    <xdr:sp macro="" textlink="">
      <xdr:nvSpPr>
        <xdr:cNvPr id="308" name="TextBox 22"/>
        <xdr:cNvSpPr txBox="1">
          <a:spLocks noChangeArrowheads="1"/>
        </xdr:cNvSpPr>
      </xdr:nvSpPr>
      <xdr:spPr bwMode="auto">
        <a:xfrm>
          <a:off x="7753515" y="1972088"/>
          <a:ext cx="1294497" cy="426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Isotope Rebalancing</a:t>
          </a:r>
          <a:endParaRPr lang="ru-RU" u="sng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12</xdr:col>
      <xdr:colOff>591911</xdr:colOff>
      <xdr:row>15</xdr:row>
      <xdr:rowOff>161925</xdr:rowOff>
    </xdr:from>
    <xdr:to>
      <xdr:col>14</xdr:col>
      <xdr:colOff>333375</xdr:colOff>
      <xdr:row>15</xdr:row>
      <xdr:rowOff>163286</xdr:rowOff>
    </xdr:to>
    <xdr:cxnSp macro="">
      <xdr:nvCxnSpPr>
        <xdr:cNvPr id="920" name="Straight Arrow Connector 150"/>
        <xdr:cNvCxnSpPr/>
      </xdr:nvCxnSpPr>
      <xdr:spPr>
        <a:xfrm flipH="1">
          <a:off x="8869136" y="2276475"/>
          <a:ext cx="1141639" cy="136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34060</xdr:colOff>
      <xdr:row>14</xdr:row>
      <xdr:rowOff>228600</xdr:rowOff>
    </xdr:from>
    <xdr:to>
      <xdr:col>18</xdr:col>
      <xdr:colOff>790575</xdr:colOff>
      <xdr:row>14</xdr:row>
      <xdr:rowOff>228722</xdr:rowOff>
    </xdr:to>
    <xdr:cxnSp macro="">
      <xdr:nvCxnSpPr>
        <xdr:cNvPr id="938" name="Straight Arrow Connector 150"/>
        <xdr:cNvCxnSpPr/>
      </xdr:nvCxnSpPr>
      <xdr:spPr>
        <a:xfrm flipH="1">
          <a:off x="12654685" y="2095500"/>
          <a:ext cx="756515" cy="122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36445</xdr:colOff>
      <xdr:row>17</xdr:row>
      <xdr:rowOff>140805</xdr:rowOff>
    </xdr:from>
    <xdr:to>
      <xdr:col>16</xdr:col>
      <xdr:colOff>9525</xdr:colOff>
      <xdr:row>17</xdr:row>
      <xdr:rowOff>152400</xdr:rowOff>
    </xdr:to>
    <xdr:cxnSp macro="">
      <xdr:nvCxnSpPr>
        <xdr:cNvPr id="950" name="Straight Arrow Connector 150"/>
        <xdr:cNvCxnSpPr/>
      </xdr:nvCxnSpPr>
      <xdr:spPr>
        <a:xfrm flipH="1" flipV="1">
          <a:off x="8961370" y="2731605"/>
          <a:ext cx="2230505" cy="11595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56368</xdr:colOff>
      <xdr:row>17</xdr:row>
      <xdr:rowOff>116955</xdr:rowOff>
    </xdr:from>
    <xdr:to>
      <xdr:col>12</xdr:col>
      <xdr:colOff>612914</xdr:colOff>
      <xdr:row>18</xdr:row>
      <xdr:rowOff>148816</xdr:rowOff>
    </xdr:to>
    <xdr:sp macro="" textlink="">
      <xdr:nvSpPr>
        <xdr:cNvPr id="140" name="TextBox 22"/>
        <xdr:cNvSpPr txBox="1">
          <a:spLocks noChangeArrowheads="1"/>
        </xdr:cNvSpPr>
      </xdr:nvSpPr>
      <xdr:spPr bwMode="auto">
        <a:xfrm>
          <a:off x="6889520" y="2585172"/>
          <a:ext cx="1989437" cy="272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T Storage and Management</a:t>
          </a:r>
          <a:endParaRPr lang="ru-RU" u="sng">
            <a:latin typeface="Times New Roman" pitchFamily="18" charset="0"/>
            <a:cs typeface="Times New Roman" pitchFamily="18" charset="0"/>
          </a:endParaRPr>
        </a:p>
        <a:p>
          <a:pPr algn="ctr" eaLnBrk="1" hangingPunct="1"/>
          <a:r>
            <a:rPr lang="en-US" u="sng">
              <a:latin typeface="Times New Roman" pitchFamily="18" charset="0"/>
              <a:cs typeface="Times New Roman" pitchFamily="18" charset="0"/>
            </a:rPr>
            <a:t>for</a:t>
          </a:r>
          <a:r>
            <a:rPr lang="en-US" u="sng" baseline="0">
              <a:latin typeface="Times New Roman" pitchFamily="18" charset="0"/>
              <a:cs typeface="Times New Roman" pitchFamily="18" charset="0"/>
            </a:rPr>
            <a:t> NBI</a:t>
          </a:r>
        </a:p>
      </xdr:txBody>
    </xdr:sp>
    <xdr:clientData/>
  </xdr:twoCellAnchor>
  <xdr:twoCellAnchor>
    <xdr:from>
      <xdr:col>16</xdr:col>
      <xdr:colOff>11906</xdr:colOff>
      <xdr:row>17</xdr:row>
      <xdr:rowOff>23812</xdr:rowOff>
    </xdr:from>
    <xdr:to>
      <xdr:col>16</xdr:col>
      <xdr:colOff>11907</xdr:colOff>
      <xdr:row>17</xdr:row>
      <xdr:rowOff>177403</xdr:rowOff>
    </xdr:to>
    <xdr:cxnSp macro="">
      <xdr:nvCxnSpPr>
        <xdr:cNvPr id="956" name="Straight Arrow Connector 150"/>
        <xdr:cNvCxnSpPr/>
      </xdr:nvCxnSpPr>
      <xdr:spPr>
        <a:xfrm flipH="1" flipV="1">
          <a:off x="11197828" y="2631281"/>
          <a:ext cx="1" cy="153591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161618</xdr:colOff>
      <xdr:row>12</xdr:row>
      <xdr:rowOff>36391</xdr:rowOff>
    </xdr:from>
    <xdr:to>
      <xdr:col>9</xdr:col>
      <xdr:colOff>645795</xdr:colOff>
      <xdr:row>13</xdr:row>
      <xdr:rowOff>156283</xdr:rowOff>
    </xdr:to>
    <xdr:sp macro="" textlink="">
      <xdr:nvSpPr>
        <xdr:cNvPr id="959" name="TextBox 134"/>
        <xdr:cNvSpPr txBox="1">
          <a:spLocks noChangeArrowheads="1"/>
        </xdr:cNvSpPr>
      </xdr:nvSpPr>
      <xdr:spPr bwMode="auto">
        <a:xfrm>
          <a:off x="6280030" y="1560391"/>
          <a:ext cx="484177" cy="310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D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201955</xdr:colOff>
      <xdr:row>14</xdr:row>
      <xdr:rowOff>60164</xdr:rowOff>
    </xdr:from>
    <xdr:to>
      <xdr:col>9</xdr:col>
      <xdr:colOff>697339</xdr:colOff>
      <xdr:row>15</xdr:row>
      <xdr:rowOff>135233</xdr:rowOff>
    </xdr:to>
    <xdr:sp macro="" textlink="">
      <xdr:nvSpPr>
        <xdr:cNvPr id="960" name="TextBox 134"/>
        <xdr:cNvSpPr txBox="1">
          <a:spLocks noChangeArrowheads="1"/>
        </xdr:cNvSpPr>
      </xdr:nvSpPr>
      <xdr:spPr bwMode="auto">
        <a:xfrm>
          <a:off x="6320367" y="1976370"/>
          <a:ext cx="495384" cy="310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ru-RU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Т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376767</xdr:colOff>
      <xdr:row>20</xdr:row>
      <xdr:rowOff>66887</xdr:rowOff>
    </xdr:from>
    <xdr:to>
      <xdr:col>17</xdr:col>
      <xdr:colOff>143768</xdr:colOff>
      <xdr:row>21</xdr:row>
      <xdr:rowOff>175573</xdr:rowOff>
    </xdr:to>
    <xdr:sp macro="" textlink="">
      <xdr:nvSpPr>
        <xdr:cNvPr id="962" name="TextBox 134"/>
        <xdr:cNvSpPr txBox="1">
          <a:spLocks noChangeArrowheads="1"/>
        </xdr:cNvSpPr>
      </xdr:nvSpPr>
      <xdr:spPr bwMode="auto">
        <a:xfrm>
          <a:off x="11582649" y="3294181"/>
          <a:ext cx="495384" cy="310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ru-RU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Т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461933</xdr:colOff>
      <xdr:row>20</xdr:row>
      <xdr:rowOff>62404</xdr:rowOff>
    </xdr:from>
    <xdr:to>
      <xdr:col>19</xdr:col>
      <xdr:colOff>150493</xdr:colOff>
      <xdr:row>21</xdr:row>
      <xdr:rowOff>171090</xdr:rowOff>
    </xdr:to>
    <xdr:sp macro="" textlink="">
      <xdr:nvSpPr>
        <xdr:cNvPr id="963" name="TextBox 134"/>
        <xdr:cNvSpPr txBox="1">
          <a:spLocks noChangeArrowheads="1"/>
        </xdr:cNvSpPr>
      </xdr:nvSpPr>
      <xdr:spPr bwMode="auto">
        <a:xfrm>
          <a:off x="13113374" y="3289698"/>
          <a:ext cx="495384" cy="310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ru-RU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Т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359869</xdr:colOff>
      <xdr:row>25</xdr:row>
      <xdr:rowOff>135356</xdr:rowOff>
    </xdr:from>
    <xdr:to>
      <xdr:col>10</xdr:col>
      <xdr:colOff>131593</xdr:colOff>
      <xdr:row>26</xdr:row>
      <xdr:rowOff>200553</xdr:rowOff>
    </xdr:to>
    <xdr:sp macro="" textlink="">
      <xdr:nvSpPr>
        <xdr:cNvPr id="966" name="TextBox 134"/>
        <xdr:cNvSpPr txBox="1">
          <a:spLocks noChangeArrowheads="1"/>
        </xdr:cNvSpPr>
      </xdr:nvSpPr>
      <xdr:spPr bwMode="auto">
        <a:xfrm>
          <a:off x="5775512" y="4476035"/>
          <a:ext cx="1186867" cy="26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D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0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r>
            <a:rPr lang="ru-RU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или</a:t>
          </a:r>
          <a:r>
            <a:rPr lang="ru-RU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D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0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+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T</a:t>
          </a:r>
          <a:r>
            <a:rPr kumimoji="0" lang="en-US" sz="1200" b="0" i="0" u="none" strike="noStrike" kern="0" cap="none" spc="0" normalizeH="0" baseline="3000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 pitchFamily="18" charset="0"/>
              <a:ea typeface="+mn-ea"/>
              <a:cs typeface="Times New Roman" pitchFamily="18" charset="0"/>
              <a:sym typeface="Symbol" pitchFamily="18" charset="2"/>
            </a:rPr>
            <a:t>0</a:t>
          </a:r>
          <a:endParaRPr lang="ru-RU" sz="1200" baseline="300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290946</xdr:colOff>
      <xdr:row>97</xdr:row>
      <xdr:rowOff>29442</xdr:rowOff>
    </xdr:from>
    <xdr:to>
      <xdr:col>11</xdr:col>
      <xdr:colOff>662421</xdr:colOff>
      <xdr:row>100</xdr:row>
      <xdr:rowOff>38967</xdr:rowOff>
    </xdr:to>
    <xdr:sp macro="" textlink="">
      <xdr:nvSpPr>
        <xdr:cNvPr id="968" name="Скругленная прямоугольная выноска 967"/>
        <xdr:cNvSpPr/>
      </xdr:nvSpPr>
      <xdr:spPr>
        <a:xfrm>
          <a:off x="7148946" y="20516851"/>
          <a:ext cx="1081520" cy="632980"/>
        </a:xfrm>
        <a:prstGeom prst="wedgeRoundRectCallout">
          <a:avLst>
            <a:gd name="adj1" fmla="val -23827"/>
            <a:gd name="adj2" fmla="val -112095"/>
            <a:gd name="adj3" fmla="val 16667"/>
          </a:avLst>
        </a:prstGeom>
        <a:noFill/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FF99FF"/>
              </a:solidFill>
            </a:ln>
            <a:noFill/>
          </a:endParaRPr>
        </a:p>
      </xdr:txBody>
    </xdr:sp>
    <xdr:clientData/>
  </xdr:twoCellAnchor>
  <xdr:twoCellAnchor>
    <xdr:from>
      <xdr:col>15</xdr:col>
      <xdr:colOff>200025</xdr:colOff>
      <xdr:row>61</xdr:row>
      <xdr:rowOff>0</xdr:rowOff>
    </xdr:from>
    <xdr:to>
      <xdr:col>16</xdr:col>
      <xdr:colOff>514350</xdr:colOff>
      <xdr:row>65</xdr:row>
      <xdr:rowOff>47625</xdr:rowOff>
    </xdr:to>
    <xdr:sp macro="" textlink="">
      <xdr:nvSpPr>
        <xdr:cNvPr id="39" name="Скругленная прямоугольная выноска 38"/>
        <xdr:cNvSpPr/>
      </xdr:nvSpPr>
      <xdr:spPr>
        <a:xfrm>
          <a:off x="10598697" y="12527017"/>
          <a:ext cx="1096032" cy="835901"/>
        </a:xfrm>
        <a:prstGeom prst="wedgeRoundRectCallout">
          <a:avLst>
            <a:gd name="adj1" fmla="val -34638"/>
            <a:gd name="adj2" fmla="val 187203"/>
            <a:gd name="adj3" fmla="val 16667"/>
          </a:avLst>
        </a:prstGeom>
        <a:noFill/>
        <a:ln>
          <a:solidFill>
            <a:srgbClr val="FF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ln>
              <a:solidFill>
                <a:srgbClr val="FF99FF"/>
              </a:solidFill>
            </a:ln>
            <a:noFill/>
          </a:endParaRPr>
        </a:p>
      </xdr:txBody>
    </xdr:sp>
    <xdr:clientData/>
  </xdr:twoCellAnchor>
  <xdr:twoCellAnchor>
    <xdr:from>
      <xdr:col>28</xdr:col>
      <xdr:colOff>9525</xdr:colOff>
      <xdr:row>5</xdr:row>
      <xdr:rowOff>0</xdr:rowOff>
    </xdr:from>
    <xdr:to>
      <xdr:col>28</xdr:col>
      <xdr:colOff>714375</xdr:colOff>
      <xdr:row>25</xdr:row>
      <xdr:rowOff>28575</xdr:rowOff>
    </xdr:to>
    <xdr:sp macro="" textlink="">
      <xdr:nvSpPr>
        <xdr:cNvPr id="475" name="Прямоугольник 474"/>
        <xdr:cNvSpPr/>
      </xdr:nvSpPr>
      <xdr:spPr>
        <a:xfrm>
          <a:off x="20224937" y="1042147"/>
          <a:ext cx="704850" cy="410751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53</xdr:col>
      <xdr:colOff>-1</xdr:colOff>
      <xdr:row>6</xdr:row>
      <xdr:rowOff>19050</xdr:rowOff>
    </xdr:from>
    <xdr:to>
      <xdr:col>56</xdr:col>
      <xdr:colOff>666750</xdr:colOff>
      <xdr:row>33</xdr:row>
      <xdr:rowOff>22412</xdr:rowOff>
    </xdr:to>
    <xdr:sp macro="" textlink="">
      <xdr:nvSpPr>
        <xdr:cNvPr id="493" name="Прямоугольник 492"/>
        <xdr:cNvSpPr/>
      </xdr:nvSpPr>
      <xdr:spPr>
        <a:xfrm>
          <a:off x="38615470" y="1296521"/>
          <a:ext cx="2672604" cy="5673538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123816</xdr:colOff>
      <xdr:row>64</xdr:row>
      <xdr:rowOff>182165</xdr:rowOff>
    </xdr:from>
    <xdr:to>
      <xdr:col>20</xdr:col>
      <xdr:colOff>668679</xdr:colOff>
      <xdr:row>97</xdr:row>
      <xdr:rowOff>148828</xdr:rowOff>
    </xdr:to>
    <xdr:grpSp>
      <xdr:nvGrpSpPr>
        <xdr:cNvPr id="991" name="Группа 990"/>
        <xdr:cNvGrpSpPr>
          <a:grpSpLocks noChangeAspect="1"/>
        </xdr:cNvGrpSpPr>
      </xdr:nvGrpSpPr>
      <xdr:grpSpPr>
        <a:xfrm>
          <a:off x="1490934" y="12912047"/>
          <a:ext cx="14103980" cy="6398840"/>
          <a:chOff x="1427550" y="13540978"/>
          <a:chExt cx="13498863" cy="6652022"/>
        </a:xfrm>
      </xdr:grpSpPr>
      <xdr:grpSp>
        <xdr:nvGrpSpPr>
          <xdr:cNvPr id="986" name="Группа 985"/>
          <xdr:cNvGrpSpPr/>
        </xdr:nvGrpSpPr>
        <xdr:grpSpPr>
          <a:xfrm>
            <a:off x="1427550" y="13540978"/>
            <a:ext cx="13498863" cy="6652022"/>
            <a:chOff x="1423698" y="13505959"/>
            <a:chExt cx="13521275" cy="6634163"/>
          </a:xfrm>
        </xdr:grpSpPr>
        <xdr:cxnSp macro="">
          <xdr:nvCxnSpPr>
            <xdr:cNvPr id="716" name="Прямая со стрелкой 715"/>
            <xdr:cNvCxnSpPr/>
          </xdr:nvCxnSpPr>
          <xdr:spPr>
            <a:xfrm flipH="1">
              <a:off x="10655108" y="17346644"/>
              <a:ext cx="2760930" cy="0"/>
            </a:xfrm>
            <a:prstGeom prst="straightConnector1">
              <a:avLst/>
            </a:prstGeom>
            <a:ln w="28575">
              <a:solidFill>
                <a:srgbClr val="0070C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985" name="Группа 984"/>
            <xdr:cNvGrpSpPr/>
          </xdr:nvGrpSpPr>
          <xdr:grpSpPr>
            <a:xfrm>
              <a:off x="1423698" y="13505959"/>
              <a:ext cx="13521275" cy="6634163"/>
              <a:chOff x="1423698" y="13505959"/>
              <a:chExt cx="13521275" cy="6634163"/>
            </a:xfrm>
          </xdr:grpSpPr>
          <xdr:grpSp>
            <xdr:nvGrpSpPr>
              <xdr:cNvPr id="983" name="Группа 982"/>
              <xdr:cNvGrpSpPr/>
            </xdr:nvGrpSpPr>
            <xdr:grpSpPr>
              <a:xfrm>
                <a:off x="1423698" y="13505959"/>
                <a:ext cx="13521275" cy="6634163"/>
                <a:chOff x="1423698" y="13505959"/>
                <a:chExt cx="13521275" cy="6634163"/>
              </a:xfrm>
            </xdr:grpSpPr>
            <xdr:cxnSp macro="">
              <xdr:nvCxnSpPr>
                <xdr:cNvPr id="780" name="Прямая соединительная линия 779"/>
                <xdr:cNvCxnSpPr/>
              </xdr:nvCxnSpPr>
              <xdr:spPr>
                <a:xfrm flipH="1" flipV="1">
                  <a:off x="6195803" y="19647411"/>
                  <a:ext cx="1016485" cy="3618"/>
                </a:xfrm>
                <a:prstGeom prst="line">
                  <a:avLst/>
                </a:prstGeom>
                <a:ln w="28575">
                  <a:solidFill>
                    <a:srgbClr val="0070C0"/>
                  </a:solidFill>
                  <a:headEnd type="arrow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81" name="Прямая соединительная линия 780"/>
                <xdr:cNvCxnSpPr/>
              </xdr:nvCxnSpPr>
              <xdr:spPr>
                <a:xfrm flipH="1" flipV="1">
                  <a:off x="6350584" y="19433801"/>
                  <a:ext cx="865304" cy="5953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  <a:headEnd type="arrow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03" name="Прямая соединительная линия 802"/>
                <xdr:cNvCxnSpPr/>
              </xdr:nvCxnSpPr>
              <xdr:spPr>
                <a:xfrm flipV="1">
                  <a:off x="9225259" y="19433801"/>
                  <a:ext cx="163519" cy="181"/>
                </a:xfrm>
                <a:prstGeom prst="line">
                  <a:avLst/>
                </a:prstGeom>
                <a:ln w="28575">
                  <a:solidFill>
                    <a:srgbClr val="FF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pic>
              <xdr:nvPicPr>
                <xdr:cNvPr id="845" name="Picture 4" descr="https://image.flaticon.com/icons/png/512/1248/1248879.png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 rot="17839558">
                  <a:off x="3831870" y="14303417"/>
                  <a:ext cx="617142" cy="902687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  <xdr:grpSp>
              <xdr:nvGrpSpPr>
                <xdr:cNvPr id="982" name="Группа 981"/>
                <xdr:cNvGrpSpPr/>
              </xdr:nvGrpSpPr>
              <xdr:grpSpPr>
                <a:xfrm>
                  <a:off x="1423698" y="13505959"/>
                  <a:ext cx="13521275" cy="6634163"/>
                  <a:chOff x="1423698" y="13505959"/>
                  <a:chExt cx="13521275" cy="6634163"/>
                </a:xfrm>
              </xdr:grpSpPr>
              <xdr:sp macro="" textlink="">
                <xdr:nvSpPr>
                  <xdr:cNvPr id="691" name="Прямоугольник 690"/>
                  <xdr:cNvSpPr/>
                </xdr:nvSpPr>
                <xdr:spPr>
                  <a:xfrm>
                    <a:off x="13457977" y="17066134"/>
                    <a:ext cx="951215" cy="538857"/>
                  </a:xfrm>
                  <a:prstGeom prst="rect">
                    <a:avLst/>
                  </a:prstGeom>
                  <a:noFill/>
                  <a:ln>
                    <a:prstDash val="sys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ru-RU" sz="1100"/>
                  </a:p>
                </xdr:txBody>
              </xdr:sp>
              <xdr:sp macro="" textlink="">
                <xdr:nvSpPr>
                  <xdr:cNvPr id="693" name="TextBox 692"/>
                  <xdr:cNvSpPr txBox="1"/>
                </xdr:nvSpPr>
                <xdr:spPr>
                  <a:xfrm>
                    <a:off x="13041961" y="17058196"/>
                    <a:ext cx="1903012" cy="61225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ctr"/>
                    <a:r>
                      <a:rPr lang="en-US" sz="16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starting</a:t>
                    </a:r>
                    <a:r>
                      <a:rPr lang="en-US" sz="16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</a:p>
                  <a:p>
                    <a:pPr algn="ctr"/>
                    <a:r>
                      <a:rPr lang="en-US" sz="16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getter</a:t>
                    </a:r>
                    <a:endParaRPr lang="en-US" sz="16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cxnSp macro="">
                <xdr:nvCxnSpPr>
                  <xdr:cNvPr id="773" name="Прямая соединительная линия 772"/>
                  <xdr:cNvCxnSpPr/>
                </xdr:nvCxnSpPr>
                <xdr:spPr>
                  <a:xfrm>
                    <a:off x="10300833" y="13657968"/>
                    <a:ext cx="30677" cy="5041203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75" name="Прямая соединительная линия 774"/>
                  <xdr:cNvCxnSpPr/>
                </xdr:nvCxnSpPr>
                <xdr:spPr>
                  <a:xfrm>
                    <a:off x="10297719" y="13674586"/>
                    <a:ext cx="3131831" cy="7958"/>
                  </a:xfrm>
                  <a:prstGeom prst="line">
                    <a:avLst/>
                  </a:prstGeom>
                  <a:ln w="28575">
                    <a:solidFill>
                      <a:srgbClr val="FF0000"/>
                    </a:solidFill>
                    <a:prstDash val="dash"/>
                    <a:headEnd type="none" w="med" len="med"/>
                    <a:tailEnd type="arrow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31" name="Прямая со стрелкой 830"/>
                  <xdr:cNvCxnSpPr/>
                </xdr:nvCxnSpPr>
                <xdr:spPr>
                  <a:xfrm flipH="1" flipV="1">
                    <a:off x="2599415" y="19997247"/>
                    <a:ext cx="7150856" cy="1238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headEnd type="none" w="med" len="med"/>
                    <a:tailEnd type="none" w="med" len="med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834" name="Прямая со стрелкой 833"/>
                  <xdr:cNvCxnSpPr>
                    <a:endCxn id="636" idx="2"/>
                  </xdr:cNvCxnSpPr>
                </xdr:nvCxnSpPr>
                <xdr:spPr>
                  <a:xfrm flipH="1" flipV="1">
                    <a:off x="2608591" y="19168666"/>
                    <a:ext cx="2730" cy="834535"/>
                  </a:xfrm>
                  <a:prstGeom prst="straightConnector1">
                    <a:avLst/>
                  </a:prstGeom>
                  <a:ln w="28575">
                    <a:solidFill>
                      <a:srgbClr val="7030A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981" name="Группа 980"/>
                  <xdr:cNvGrpSpPr/>
                </xdr:nvGrpSpPr>
                <xdr:grpSpPr>
                  <a:xfrm>
                    <a:off x="1423698" y="13505959"/>
                    <a:ext cx="13513502" cy="6634163"/>
                    <a:chOff x="1423698" y="13505959"/>
                    <a:chExt cx="13513502" cy="6634163"/>
                  </a:xfrm>
                </xdr:grpSpPr>
                <xdr:grpSp>
                  <xdr:nvGrpSpPr>
                    <xdr:cNvPr id="980" name="Группа 979"/>
                    <xdr:cNvGrpSpPr/>
                  </xdr:nvGrpSpPr>
                  <xdr:grpSpPr>
                    <a:xfrm>
                      <a:off x="1423698" y="13505959"/>
                      <a:ext cx="13513502" cy="6634163"/>
                      <a:chOff x="1423698" y="13505959"/>
                      <a:chExt cx="13513502" cy="6634163"/>
                    </a:xfrm>
                  </xdr:grpSpPr>
                  <xdr:cxnSp macro="">
                    <xdr:nvCxnSpPr>
                      <xdr:cNvPr id="734" name="Прямая соединительная линия 733"/>
                      <xdr:cNvCxnSpPr/>
                    </xdr:nvCxnSpPr>
                    <xdr:spPr>
                      <a:xfrm flipH="1" flipV="1">
                        <a:off x="12773916" y="14267358"/>
                        <a:ext cx="1351" cy="1024191"/>
                      </a:xfrm>
                      <a:prstGeom prst="line">
                        <a:avLst/>
                      </a:prstGeom>
                      <a:ln w="28575">
                        <a:solidFill>
                          <a:srgbClr val="0070C0"/>
                        </a:solidFill>
                        <a:headEnd type="none" w="med" len="med"/>
                        <a:tailEnd type="none" w="med" len="med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979" name="Группа 978"/>
                      <xdr:cNvGrpSpPr/>
                    </xdr:nvGrpSpPr>
                    <xdr:grpSpPr>
                      <a:xfrm>
                        <a:off x="1423698" y="13505959"/>
                        <a:ext cx="13513502" cy="6634163"/>
                        <a:chOff x="1423698" y="13505959"/>
                        <a:chExt cx="13513502" cy="6634163"/>
                      </a:xfrm>
                    </xdr:grpSpPr>
                    <xdr:cxnSp macro="">
                      <xdr:nvCxnSpPr>
                        <xdr:cNvPr id="722" name="Прямая со стрелкой 721"/>
                        <xdr:cNvCxnSpPr/>
                      </xdr:nvCxnSpPr>
                      <xdr:spPr>
                        <a:xfrm flipH="1">
                          <a:off x="10632696" y="14260620"/>
                          <a:ext cx="2142010" cy="2869"/>
                        </a:xfrm>
                        <a:prstGeom prst="straightConnector1">
                          <a:avLst/>
                        </a:prstGeom>
                        <a:ln w="28575">
                          <a:solidFill>
                            <a:srgbClr val="0070C0"/>
                          </a:solidFill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978" name="Группа 977"/>
                        <xdr:cNvGrpSpPr/>
                      </xdr:nvGrpSpPr>
                      <xdr:grpSpPr>
                        <a:xfrm>
                          <a:off x="1423698" y="13505959"/>
                          <a:ext cx="13513502" cy="6634163"/>
                          <a:chOff x="1423698" y="13505959"/>
                          <a:chExt cx="13513502" cy="6634163"/>
                        </a:xfrm>
                      </xdr:grpSpPr>
                      <xdr:grpSp>
                        <xdr:nvGrpSpPr>
                          <xdr:cNvPr id="154" name="Группа 153"/>
                          <xdr:cNvGrpSpPr>
                            <a:grpSpLocks noChangeAspect="1"/>
                          </xdr:cNvGrpSpPr>
                        </xdr:nvGrpSpPr>
                        <xdr:grpSpPr>
                          <a:xfrm>
                            <a:off x="1423698" y="13505959"/>
                            <a:ext cx="13513502" cy="6366973"/>
                            <a:chOff x="17622186" y="12021738"/>
                            <a:chExt cx="11394686" cy="6410045"/>
                          </a:xfrm>
                        </xdr:grpSpPr>
                        <xdr:grpSp>
                          <xdr:nvGrpSpPr>
                            <xdr:cNvPr id="149" name="Группа 148"/>
                            <xdr:cNvGrpSpPr/>
                          </xdr:nvGrpSpPr>
                          <xdr:grpSpPr>
                            <a:xfrm>
                              <a:off x="17622186" y="12021738"/>
                              <a:ext cx="11394686" cy="6410045"/>
                              <a:chOff x="17638795" y="12074408"/>
                              <a:chExt cx="11408318" cy="6481624"/>
                            </a:xfrm>
                          </xdr:grpSpPr>
                          <xdr:cxnSp macro="">
                            <xdr:nvCxnSpPr>
                              <xdr:cNvPr id="613" name="Прямая соединительная линия 612"/>
                              <xdr:cNvCxnSpPr/>
                            </xdr:nvCxnSpPr>
                            <xdr:spPr>
                              <a:xfrm flipH="1">
                                <a:off x="26959513" y="13273790"/>
                                <a:ext cx="117" cy="626880"/>
                              </a:xfrm>
                              <a:prstGeom prst="line">
                                <a:avLst/>
                              </a:prstGeom>
                              <a:ln w="28575">
                                <a:solidFill>
                                  <a:srgbClr val="0070C0"/>
                                </a:solidFill>
                                <a:headEnd type="none" w="med" len="med"/>
                                <a:tailEnd type="arrow" w="med" len="med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630" name="Прямая соединительная линия 629"/>
                              <xdr:cNvCxnSpPr/>
                            </xdr:nvCxnSpPr>
                            <xdr:spPr>
                              <a:xfrm>
                                <a:off x="25635802" y="13263816"/>
                                <a:ext cx="1308697" cy="3966"/>
                              </a:xfrm>
                              <a:prstGeom prst="line">
                                <a:avLst/>
                              </a:prstGeom>
                              <a:ln w="28575">
                                <a:solidFill>
                                  <a:srgbClr val="0070C0"/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646" name="Прямая со стрелкой 645"/>
                              <xdr:cNvCxnSpPr/>
                            </xdr:nvCxnSpPr>
                            <xdr:spPr>
                              <a:xfrm flipH="1">
                                <a:off x="25423911" y="12688186"/>
                                <a:ext cx="2330823" cy="0"/>
                              </a:xfrm>
                              <a:prstGeom prst="straightConnector1">
                                <a:avLst/>
                              </a:prstGeom>
                              <a:ln w="28575">
                                <a:solidFill>
                                  <a:srgbClr val="0070C0"/>
                                </a:solidFill>
                                <a:tailEnd type="arrow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grpSp>
                            <xdr:nvGrpSpPr>
                              <xdr:cNvPr id="148" name="Группа 147"/>
                              <xdr:cNvGrpSpPr/>
                            </xdr:nvGrpSpPr>
                            <xdr:grpSpPr>
                              <a:xfrm>
                                <a:off x="17638795" y="12074408"/>
                                <a:ext cx="11408318" cy="6481624"/>
                                <a:chOff x="17638795" y="12074408"/>
                                <a:chExt cx="11408318" cy="6481624"/>
                              </a:xfrm>
                            </xdr:grpSpPr>
                            <xdr:grpSp>
                              <xdr:nvGrpSpPr>
                                <xdr:cNvPr id="147" name="Группа 146"/>
                                <xdr:cNvGrpSpPr/>
                              </xdr:nvGrpSpPr>
                              <xdr:grpSpPr>
                                <a:xfrm>
                                  <a:off x="17638795" y="12074408"/>
                                  <a:ext cx="11408318" cy="6481624"/>
                                  <a:chOff x="17638795" y="12074408"/>
                                  <a:chExt cx="11408318" cy="6481624"/>
                                </a:xfrm>
                              </xdr:grpSpPr>
                              <xdr:grpSp>
                                <xdr:nvGrpSpPr>
                                  <xdr:cNvPr id="16" name="Группа 15"/>
                                  <xdr:cNvGrpSpPr/>
                                </xdr:nvGrpSpPr>
                                <xdr:grpSpPr>
                                  <a:xfrm>
                                    <a:off x="22523795" y="12074408"/>
                                    <a:ext cx="6523318" cy="6481624"/>
                                    <a:chOff x="22232450" y="12285717"/>
                                    <a:chExt cx="6545153" cy="6535616"/>
                                  </a:xfrm>
                                </xdr:grpSpPr>
                                <xdr:sp macro="" textlink="">
                                  <xdr:nvSpPr>
                                    <xdr:cNvPr id="607" name="TextBox 606"/>
                                    <xdr:cNvSpPr txBox="1"/>
                                  </xdr:nvSpPr>
                                  <xdr:spPr>
                                    <a:xfrm>
                                      <a:off x="27157405" y="12285717"/>
                                      <a:ext cx="1620198" cy="5970149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out-storage</a:t>
                                      </a: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D-bed</a:t>
                                      </a: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 i="1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7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T-bed</a:t>
                                      </a:r>
                                    </a:p>
                                    <a:p>
                                      <a:pPr algn="ctr"/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18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8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ctr"/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7" name="Прямоугольник 6"/>
                                    <xdr:cNvSpPr/>
                                  </xdr:nvSpPr>
                                  <xdr:spPr>
                                    <a:xfrm>
                                      <a:off x="23445420" y="12708370"/>
                                      <a:ext cx="1658796" cy="1023620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07" name="Прямоугольник 506"/>
                                    <xdr:cNvSpPr/>
                                  </xdr:nvSpPr>
                                  <xdr:spPr>
                                    <a:xfrm>
                                      <a:off x="23460465" y="13878789"/>
                                      <a:ext cx="1658797" cy="1613440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08" name="Прямоугольник 507"/>
                                    <xdr:cNvSpPr/>
                                  </xdr:nvSpPr>
                                  <xdr:spPr>
                                    <a:xfrm>
                                      <a:off x="23474316" y="15676631"/>
                                      <a:ext cx="1658797" cy="1144522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50" name="Прямоугольник 549"/>
                                    <xdr:cNvSpPr/>
                                  </xdr:nvSpPr>
                                  <xdr:spPr>
                                    <a:xfrm>
                                      <a:off x="25755634" y="14160228"/>
                                      <a:ext cx="1663513" cy="968511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51" name="Прямоугольник 550"/>
                                    <xdr:cNvSpPr/>
                                  </xdr:nvSpPr>
                                  <xdr:spPr>
                                    <a:xfrm>
                                      <a:off x="23476039" y="17090527"/>
                                      <a:ext cx="1658796" cy="932259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2271" name="Прямоугольник 2270"/>
                                    <xdr:cNvSpPr/>
                                  </xdr:nvSpPr>
                                  <xdr:spPr>
                                    <a:xfrm>
                                      <a:off x="23508787" y="13973777"/>
                                      <a:ext cx="1509456" cy="681247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55" name="Прямоугольник 554"/>
                                    <xdr:cNvSpPr/>
                                  </xdr:nvSpPr>
                                  <xdr:spPr>
                                    <a:xfrm>
                                      <a:off x="23510097" y="14740780"/>
                                      <a:ext cx="1509456" cy="693931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62" name="Прямоугольник 561"/>
                                    <xdr:cNvSpPr/>
                                  </xdr:nvSpPr>
                                  <xdr:spPr>
                                    <a:xfrm>
                                      <a:off x="22266438" y="18124424"/>
                                      <a:ext cx="1651599" cy="696909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prstDash val="sysDash"/>
                                    </a:ln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67" name="TextBox 566"/>
                                    <xdr:cNvSpPr txBox="1"/>
                                  </xdr:nvSpPr>
                                  <xdr:spPr>
                                    <a:xfrm>
                                      <a:off x="25527775" y="14375298"/>
                                      <a:ext cx="1028794" cy="364996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ISS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68" name="TextBox 567"/>
                                    <xdr:cNvSpPr txBox="1"/>
                                  </xdr:nvSpPr>
                                  <xdr:spPr>
                                    <a:xfrm>
                                      <a:off x="23408508" y="17371870"/>
                                      <a:ext cx="556743" cy="384046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IRS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69" name="TextBox 568"/>
                                    <xdr:cNvSpPr txBox="1"/>
                                  </xdr:nvSpPr>
                                  <xdr:spPr>
                                    <a:xfrm>
                                      <a:off x="23378288" y="14735548"/>
                                      <a:ext cx="747635" cy="364996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T-PIS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70" name="TextBox 569"/>
                                    <xdr:cNvSpPr txBox="1"/>
                                  </xdr:nvSpPr>
                                  <xdr:spPr>
                                    <a:xfrm>
                                      <a:off x="23369433" y="14337048"/>
                                      <a:ext cx="801754" cy="364996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D-PIS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71" name="TextBox 570"/>
                                    <xdr:cNvSpPr txBox="1"/>
                                  </xdr:nvSpPr>
                                  <xdr:spPr>
                                    <a:xfrm>
                                      <a:off x="25854123" y="14733002"/>
                                      <a:ext cx="1053590" cy="356606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de</a:t>
                                      </a:r>
                                      <a:r>
                                        <a:rPr lang="ru-RU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-</a:t>
                                      </a:r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protiation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72" name="TextBox 571"/>
                                    <xdr:cNvSpPr txBox="1"/>
                                  </xdr:nvSpPr>
                                  <xdr:spPr>
                                    <a:xfrm>
                                      <a:off x="22232450" y="18171540"/>
                                      <a:ext cx="1740304" cy="624420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Hydrogen-compounds decomposition</a:t>
                                      </a: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03" name="Прямоугольник 602"/>
                                    <xdr:cNvSpPr/>
                                  </xdr:nvSpPr>
                                  <xdr:spPr>
                                    <a:xfrm>
                                      <a:off x="27524208" y="12311916"/>
                                      <a:ext cx="878681" cy="344270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prstDash val="sysDash"/>
                                    </a:ln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04" name="Прямоугольник 603"/>
                                    <xdr:cNvSpPr/>
                                  </xdr:nvSpPr>
                                  <xdr:spPr>
                                    <a:xfrm>
                                      <a:off x="27530932" y="12749265"/>
                                      <a:ext cx="878681" cy="35547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prstDash val="sysDash"/>
                                    </a:ln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05" name="Прямоугольник 604"/>
                                    <xdr:cNvSpPr/>
                                  </xdr:nvSpPr>
                                  <xdr:spPr>
                                    <a:xfrm>
                                      <a:off x="27527079" y="15224757"/>
                                      <a:ext cx="881483" cy="356176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prstDash val="sysDash"/>
                                    </a:ln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</xdr:grpSp>
                              <xdr:grpSp>
                                <xdr:nvGrpSpPr>
                                  <xdr:cNvPr id="14" name="Группа 13"/>
                                  <xdr:cNvGrpSpPr/>
                                </xdr:nvGrpSpPr>
                                <xdr:grpSpPr>
                                  <a:xfrm>
                                    <a:off x="17638795" y="12469155"/>
                                    <a:ext cx="1995631" cy="5369011"/>
                                    <a:chOff x="17363627" y="12685224"/>
                                    <a:chExt cx="1994697" cy="5360404"/>
                                  </a:xfrm>
                                </xdr:grpSpPr>
                                <xdr:sp macro="" textlink="">
                                  <xdr:nvSpPr>
                                    <xdr:cNvPr id="610" name="Прямоугольник 609"/>
                                    <xdr:cNvSpPr/>
                                  </xdr:nvSpPr>
                                  <xdr:spPr>
                                    <a:xfrm flipH="1">
                                      <a:off x="17522390" y="15633026"/>
                                      <a:ext cx="1659842" cy="1204359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11" name="Прямоугольник 610"/>
                                    <xdr:cNvSpPr/>
                                  </xdr:nvSpPr>
                                  <xdr:spPr>
                                    <a:xfrm flipH="1">
                                      <a:off x="17525916" y="14019377"/>
                                      <a:ext cx="1659851" cy="854203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24" name="Прямоугольник 623"/>
                                    <xdr:cNvSpPr/>
                                  </xdr:nvSpPr>
                                  <xdr:spPr>
                                    <a:xfrm flipH="1">
                                      <a:off x="17583925" y="14382334"/>
                                      <a:ext cx="1510038" cy="386049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25" name="Прямоугольник 624"/>
                                    <xdr:cNvSpPr/>
                                  </xdr:nvSpPr>
                                  <xdr:spPr>
                                    <a:xfrm flipH="1">
                                      <a:off x="17602734" y="16392137"/>
                                      <a:ext cx="1510038" cy="386051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26" name="TextBox 625"/>
                                    <xdr:cNvSpPr txBox="1"/>
                                  </xdr:nvSpPr>
                                  <xdr:spPr>
                                    <a:xfrm>
                                      <a:off x="18315237" y="14058806"/>
                                      <a:ext cx="932215" cy="347569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PEG - PIS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27" name="TextBox 626"/>
                                    <xdr:cNvSpPr txBox="1"/>
                                  </xdr:nvSpPr>
                                  <xdr:spPr>
                                    <a:xfrm>
                                      <a:off x="17868871" y="15917412"/>
                                      <a:ext cx="1276320" cy="1161348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Xe+Ar-GIS</a:t>
                                      </a:r>
                                    </a:p>
                                    <a:p>
                                      <a:pPr algn="r"/>
                                      <a:endParaRPr lang="en-US" sz="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r"/>
                                      <a:endParaRPr lang="en-US" sz="11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  <a:p>
                                      <a:pPr algn="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Ne-GIS</a:t>
                                      </a:r>
                                    </a:p>
                                    <a:p>
                                      <a:pPr algn="r"/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28" name="TextBox 627"/>
                                    <xdr:cNvSpPr txBox="1"/>
                                  </xdr:nvSpPr>
                                  <xdr:spPr>
                                    <a:xfrm>
                                      <a:off x="18147795" y="14387050"/>
                                      <a:ext cx="995759" cy="377537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Xe-PIS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31" name="TextBox 630"/>
                                    <xdr:cNvSpPr txBox="1"/>
                                  </xdr:nvSpPr>
                                  <xdr:spPr>
                                    <a:xfrm>
                                      <a:off x="18224752" y="15613416"/>
                                      <a:ext cx="1016195" cy="347570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PEG - GIS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32" name="Прямоугольник 631"/>
                                    <xdr:cNvSpPr/>
                                  </xdr:nvSpPr>
                                  <xdr:spPr>
                                    <a:xfrm flipH="1">
                                      <a:off x="17594964" y="15950527"/>
                                      <a:ext cx="1516250" cy="389112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36" name="Прямоугольник 635"/>
                                    <xdr:cNvSpPr/>
                                  </xdr:nvSpPr>
                                  <xdr:spPr>
                                    <a:xfrm>
                                      <a:off x="17530165" y="17046870"/>
                                      <a:ext cx="1666215" cy="998758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37" name="TextBox 636"/>
                                    <xdr:cNvSpPr txBox="1"/>
                                  </xdr:nvSpPr>
                                  <xdr:spPr>
                                    <a:xfrm>
                                      <a:off x="17557379" y="17413356"/>
                                      <a:ext cx="1624398" cy="313123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PEG-separation</a:t>
                                      </a: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63" name="Прямоугольник 562"/>
                                    <xdr:cNvSpPr/>
                                  </xdr:nvSpPr>
                                  <xdr:spPr>
                                    <a:xfrm>
                                      <a:off x="17530281" y="12685224"/>
                                      <a:ext cx="1670233" cy="1051600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prstDash val="sysDash"/>
                                    </a:ln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06" name="TextBox 605"/>
                                    <xdr:cNvSpPr txBox="1"/>
                                  </xdr:nvSpPr>
                                  <xdr:spPr>
                                    <a:xfrm>
                                      <a:off x="17363627" y="12756223"/>
                                      <a:ext cx="1994697" cy="875916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T-breeding</a:t>
                                      </a:r>
                                      <a:r>
                                        <a:rPr lang="en-US" sz="1600" baseline="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 blanket</a:t>
                                      </a:r>
                                    </a:p>
                                    <a:p>
                                      <a:pPr algn="ctr"/>
                                      <a:r>
                                        <a:rPr lang="en-US" sz="1600" baseline="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+ extraction</a:t>
                                      </a:r>
                                    </a:p>
                                    <a:p>
                                      <a:pPr algn="ctr"/>
                                      <a:r>
                                        <a:rPr lang="en-US" sz="1600" baseline="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+ separation</a:t>
                                      </a:r>
                                      <a:endParaRPr lang="en-US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</xdr:grpSp>
                              <xdr:grpSp>
                                <xdr:nvGrpSpPr>
                                  <xdr:cNvPr id="26" name="Группа 25"/>
                                  <xdr:cNvGrpSpPr/>
                                </xdr:nvGrpSpPr>
                                <xdr:grpSpPr>
                                  <a:xfrm>
                                    <a:off x="18507053" y="12225616"/>
                                    <a:ext cx="9230731" cy="6155136"/>
                                    <a:chOff x="18246866" y="12328919"/>
                                    <a:chExt cx="9226787" cy="6202741"/>
                                  </a:xfrm>
                                </xdr:grpSpPr>
                                <xdr:cxnSp macro="">
                                  <xdr:nvCxnSpPr>
                                    <xdr:cNvPr id="598" name="Прямая соединительная линия 597"/>
                                    <xdr:cNvCxnSpPr/>
                                  </xdr:nvCxnSpPr>
                                  <xdr:spPr>
                                    <a:xfrm>
                                      <a:off x="21654900" y="16598581"/>
                                      <a:ext cx="1274" cy="1031647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B05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2" name="Прямая соединительная линия 61"/>
                                    <xdr:cNvCxnSpPr/>
                                  </xdr:nvCxnSpPr>
                                  <xdr:spPr>
                                    <a:xfrm>
                                      <a:off x="21391943" y="16591835"/>
                                      <a:ext cx="12678" cy="1897192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70C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40" name="Прямая соединительная линия 2239"/>
                                    <xdr:cNvCxnSpPr/>
                                  </xdr:nvCxnSpPr>
                                  <xdr:spPr>
                                    <a:xfrm flipV="1">
                                      <a:off x="26113699" y="18525571"/>
                                      <a:ext cx="608759" cy="1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70C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42" name="Прямая соединительная линия 2241"/>
                                    <xdr:cNvCxnSpPr/>
                                  </xdr:nvCxnSpPr>
                                  <xdr:spPr>
                                    <a:xfrm>
                                      <a:off x="21523422" y="16598581"/>
                                      <a:ext cx="1094" cy="1673116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44" name="Прямая соединительная линия 2243"/>
                                    <xdr:cNvCxnSpPr/>
                                  </xdr:nvCxnSpPr>
                                  <xdr:spPr>
                                    <a:xfrm flipV="1">
                                      <a:off x="26103637" y="18263667"/>
                                      <a:ext cx="513169" cy="1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53" name="Прямая соединительная линия 552"/>
                                    <xdr:cNvCxnSpPr/>
                                  </xdr:nvCxnSpPr>
                                  <xdr:spPr>
                                    <a:xfrm flipH="1">
                                      <a:off x="26732520" y="15043859"/>
                                      <a:ext cx="4606" cy="3487801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70C0"/>
                                      </a:solidFill>
                                      <a:headEnd type="arrow" w="med" len="med"/>
                                      <a:tailEnd type="none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63" name="Прямая соединительная линия 2262"/>
                                    <xdr:cNvCxnSpPr/>
                                  </xdr:nvCxnSpPr>
                                  <xdr:spPr>
                                    <a:xfrm flipH="1" flipV="1">
                                      <a:off x="21410492" y="17351654"/>
                                      <a:ext cx="2036568" cy="3495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70C0"/>
                                      </a:solidFill>
                                      <a:headEnd type="arrow" w="med" len="med"/>
                                      <a:tailEnd type="none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65" name="Прямая соединительная линия 2264"/>
                                    <xdr:cNvCxnSpPr/>
                                  </xdr:nvCxnSpPr>
                                  <xdr:spPr>
                                    <a:xfrm flipH="1">
                                      <a:off x="21510710" y="17479751"/>
                                      <a:ext cx="1938411" cy="9173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  <a:headEnd type="arrow" w="med" len="med"/>
                                      <a:tailEnd type="none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70" name="Прямая со стрелкой 2269"/>
                                    <xdr:cNvCxnSpPr/>
                                  </xdr:nvCxnSpPr>
                                  <xdr:spPr>
                                    <a:xfrm flipH="1" flipV="1">
                                      <a:off x="24352820" y="16716610"/>
                                      <a:ext cx="5039" cy="219268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0070C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54" name="Прямая со стрелкой 553"/>
                                    <xdr:cNvCxnSpPr/>
                                  </xdr:nvCxnSpPr>
                                  <xdr:spPr>
                                    <a:xfrm flipV="1">
                                      <a:off x="24239745" y="16722700"/>
                                      <a:ext cx="2391" cy="230410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76" name="Прямая со стрелкой 2275"/>
                                    <xdr:cNvCxnSpPr/>
                                  </xdr:nvCxnSpPr>
                                  <xdr:spPr>
                                    <a:xfrm flipH="1">
                                      <a:off x="25168548" y="14449460"/>
                                      <a:ext cx="544607" cy="6625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0070C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56" name="Прямая со стрелкой 555"/>
                                    <xdr:cNvCxnSpPr/>
                                  </xdr:nvCxnSpPr>
                                  <xdr:spPr>
                                    <a:xfrm flipH="1">
                                      <a:off x="25163305" y="14705800"/>
                                      <a:ext cx="549850" cy="1324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82" name="Прямая соединительная линия 2281"/>
                                    <xdr:cNvCxnSpPr/>
                                  </xdr:nvCxnSpPr>
                                  <xdr:spPr>
                                    <a:xfrm>
                                      <a:off x="25217560" y="17359425"/>
                                      <a:ext cx="162490" cy="1221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70C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89" name="Прямая соединительная линия 2288"/>
                                    <xdr:cNvCxnSpPr/>
                                  </xdr:nvCxnSpPr>
                                  <xdr:spPr>
                                    <a:xfrm>
                                      <a:off x="25206273" y="17498524"/>
                                      <a:ext cx="282766" cy="1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292" name="Прямая соединительная линия 2291"/>
                                    <xdr:cNvCxnSpPr/>
                                  </xdr:nvCxnSpPr>
                                  <xdr:spPr>
                                    <a:xfrm flipH="1">
                                      <a:off x="25367499" y="13387887"/>
                                      <a:ext cx="3696" cy="3979926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70C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57" name="Прямая соединительная линия 556"/>
                                    <xdr:cNvCxnSpPr/>
                                  </xdr:nvCxnSpPr>
                                  <xdr:spPr>
                                    <a:xfrm>
                                      <a:off x="25484210" y="13496329"/>
                                      <a:ext cx="3905" cy="4010631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58" name="Прямая со стрелкой 557"/>
                                    <xdr:cNvCxnSpPr/>
                                  </xdr:nvCxnSpPr>
                                  <xdr:spPr>
                                    <a:xfrm flipH="1">
                                      <a:off x="25173813" y="13120016"/>
                                      <a:ext cx="1635095" cy="2907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  <a:headEnd type="none" w="med" len="med"/>
                                      <a:tailEnd type="none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301" name="Прямая соединительная линия 2300"/>
                                    <xdr:cNvCxnSpPr/>
                                  </xdr:nvCxnSpPr>
                                  <xdr:spPr>
                                    <a:xfrm flipH="1">
                                      <a:off x="26817316" y="13123150"/>
                                      <a:ext cx="6284" cy="885948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  <a:headEnd type="none" w="med" len="med"/>
                                      <a:tailEnd type="arrow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59" name="Прямая соединительная линия 558"/>
                                    <xdr:cNvCxnSpPr/>
                                  </xdr:nvCxnSpPr>
                                  <xdr:spPr>
                                    <a:xfrm flipH="1">
                                      <a:off x="26549767" y="13512859"/>
                                      <a:ext cx="1640" cy="507881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  <a:headEnd type="none" w="med" len="med"/>
                                      <a:tailEnd type="arrow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61" name="Прямая соединительная линия 560"/>
                                    <xdr:cNvCxnSpPr/>
                                  </xdr:nvCxnSpPr>
                                  <xdr:spPr>
                                    <a:xfrm>
                                      <a:off x="25489957" y="13512189"/>
                                      <a:ext cx="1061654" cy="0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93" name="Прямая со стрелкой 592"/>
                                    <xdr:cNvCxnSpPr/>
                                  </xdr:nvCxnSpPr>
                                  <xdr:spPr>
                                    <a:xfrm flipH="1" flipV="1">
                                      <a:off x="24468533" y="16728790"/>
                                      <a:ext cx="3615" cy="223761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00B05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94" name="Прямая соединительная линия 593"/>
                                    <xdr:cNvCxnSpPr/>
                                  </xdr:nvCxnSpPr>
                                  <xdr:spPr>
                                    <a:xfrm>
                                      <a:off x="25209021" y="17637786"/>
                                      <a:ext cx="403587" cy="2789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B05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95" name="Прямая соединительная линия 594"/>
                                    <xdr:cNvCxnSpPr/>
                                  </xdr:nvCxnSpPr>
                                  <xdr:spPr>
                                    <a:xfrm flipH="1">
                                      <a:off x="25600509" y="13605847"/>
                                      <a:ext cx="16200" cy="4032227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B05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96" name="Прямая соединительная линия 595"/>
                                    <xdr:cNvCxnSpPr/>
                                  </xdr:nvCxnSpPr>
                                  <xdr:spPr>
                                    <a:xfrm>
                                      <a:off x="26412544" y="13621373"/>
                                      <a:ext cx="8773" cy="390225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B050"/>
                                      </a:solidFill>
                                      <a:headEnd type="none" w="med" len="med"/>
                                      <a:tailEnd type="arrow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597" name="Прямая соединительная линия 596"/>
                                    <xdr:cNvCxnSpPr/>
                                  </xdr:nvCxnSpPr>
                                  <xdr:spPr>
                                    <a:xfrm>
                                      <a:off x="25607966" y="13619531"/>
                                      <a:ext cx="802765" cy="3265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B05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00" name="Прямая соединительная линия 599"/>
                                    <xdr:cNvCxnSpPr/>
                                  </xdr:nvCxnSpPr>
                                  <xdr:spPr>
                                    <a:xfrm flipH="1">
                                      <a:off x="26611776" y="15040295"/>
                                      <a:ext cx="6421" cy="3223374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  <a:headEnd type="arrow" w="med" len="med"/>
                                      <a:tailEnd type="none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01" name="Прямая соединительная линия 600"/>
                                    <xdr:cNvCxnSpPr/>
                                  </xdr:nvCxnSpPr>
                                  <xdr:spPr>
                                    <a:xfrm flipH="1">
                                      <a:off x="21660915" y="17610528"/>
                                      <a:ext cx="1779176" cy="2262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B050"/>
                                      </a:solidFill>
                                      <a:headEnd type="arrow" w="med" len="med"/>
                                      <a:tailEnd type="none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38" name="Прямая со стрелкой 637"/>
                                    <xdr:cNvCxnSpPr/>
                                  </xdr:nvCxnSpPr>
                                  <xdr:spPr>
                                    <a:xfrm flipH="1" flipV="1">
                                      <a:off x="19234104" y="17488936"/>
                                      <a:ext cx="1900742" cy="3539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C0000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39" name="Прямая со стрелкой 638"/>
                                    <xdr:cNvCxnSpPr/>
                                  </xdr:nvCxnSpPr>
                                  <xdr:spPr>
                                    <a:xfrm flipH="1" flipV="1">
                                      <a:off x="19244590" y="17349531"/>
                                      <a:ext cx="1757543" cy="521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chemeClr val="accent6">
                                          <a:lumMod val="75000"/>
                                        </a:schemeClr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40" name="Прямая со стрелкой 639"/>
                                    <xdr:cNvCxnSpPr/>
                                  </xdr:nvCxnSpPr>
                                  <xdr:spPr>
                                    <a:xfrm flipH="1">
                                      <a:off x="19239954" y="17632843"/>
                                      <a:ext cx="2025234" cy="1365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00B0F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44" name="Прямая соединительная линия 43"/>
                                    <xdr:cNvCxnSpPr/>
                                  </xdr:nvCxnSpPr>
                                  <xdr:spPr>
                                    <a:xfrm flipH="1" flipV="1">
                                      <a:off x="21004083" y="16591836"/>
                                      <a:ext cx="469" cy="750753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chemeClr val="accent6">
                                          <a:lumMod val="75000"/>
                                        </a:schemeClr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41" name="Прямая соединительная линия 640"/>
                                    <xdr:cNvCxnSpPr/>
                                  </xdr:nvCxnSpPr>
                                  <xdr:spPr>
                                    <a:xfrm flipH="1" flipV="1">
                                      <a:off x="21123343" y="16611087"/>
                                      <a:ext cx="5035" cy="868593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C00000"/>
                                      </a:solidFill>
                                      <a:headEnd type="none" w="med" len="med"/>
                                      <a:tailEnd type="none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42" name="Прямая соединительная линия 641"/>
                                    <xdr:cNvCxnSpPr/>
                                  </xdr:nvCxnSpPr>
                                  <xdr:spPr>
                                    <a:xfrm flipH="1" flipV="1">
                                      <a:off x="21248312" y="16594596"/>
                                      <a:ext cx="5251" cy="1022969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00B0F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43" name="Прямая со стрелкой 642"/>
                                    <xdr:cNvCxnSpPr/>
                                  </xdr:nvCxnSpPr>
                                  <xdr:spPr>
                                    <a:xfrm flipV="1">
                                      <a:off x="18246866" y="14496653"/>
                                      <a:ext cx="18512" cy="2450552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00B0F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44" name="Прямая со стрелкой 643"/>
                                    <xdr:cNvCxnSpPr/>
                                  </xdr:nvCxnSpPr>
                                  <xdr:spPr>
                                    <a:xfrm flipV="1">
                                      <a:off x="18360628" y="16107531"/>
                                      <a:ext cx="195" cy="833873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C0000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45" name="Прямая со стрелкой 644"/>
                                    <xdr:cNvCxnSpPr/>
                                  </xdr:nvCxnSpPr>
                                  <xdr:spPr>
                                    <a:xfrm flipH="1" flipV="1">
                                      <a:off x="18471507" y="16533886"/>
                                      <a:ext cx="3422" cy="401167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chemeClr val="accent6">
                                          <a:lumMod val="75000"/>
                                        </a:schemeClr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19" name="Прямая соединительная линия 18"/>
                                    <xdr:cNvCxnSpPr/>
                                  </xdr:nvCxnSpPr>
                                  <xdr:spPr>
                                    <a:xfrm flipV="1">
                                      <a:off x="18403461" y="12328919"/>
                                      <a:ext cx="3601" cy="214722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25" name="Прямая соединительная линия 24"/>
                                    <xdr:cNvCxnSpPr/>
                                  </xdr:nvCxnSpPr>
                                  <xdr:spPr>
                                    <a:xfrm>
                                      <a:off x="18401109" y="12340828"/>
                                      <a:ext cx="6469898" cy="8345"/>
                                    </a:xfrm>
                                    <a:prstGeom prst="line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  <a:headEnd type="none" w="med" len="med"/>
                                      <a:tailEnd type="none" w="med" len="med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16" name="Прямая со стрелкой 615"/>
                                    <xdr:cNvCxnSpPr/>
                                  </xdr:nvCxnSpPr>
                                  <xdr:spPr>
                                    <a:xfrm flipH="1" flipV="1">
                                      <a:off x="25160933" y="15275314"/>
                                      <a:ext cx="2312720" cy="2285"/>
                                    </a:xfrm>
                                    <a:prstGeom prst="straightConnector1">
                                      <a:avLst/>
                                    </a:prstGeom>
                                    <a:ln w="28575">
                                      <a:solidFill>
                                        <a:srgbClr val="FF0000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</xdr:grpSp>
                              <xdr:grpSp>
                                <xdr:nvGrpSpPr>
                                  <xdr:cNvPr id="146" name="Группа 145"/>
                                  <xdr:cNvGrpSpPr/>
                                </xdr:nvGrpSpPr>
                                <xdr:grpSpPr>
                                  <a:xfrm>
                                    <a:off x="20066378" y="12586598"/>
                                    <a:ext cx="7269224" cy="3217616"/>
                                    <a:chOff x="20066378" y="12586598"/>
                                    <a:chExt cx="7269224" cy="3217616"/>
                                  </a:xfrm>
                                </xdr:grpSpPr>
                                <xdr:sp macro="" textlink="">
                                  <xdr:nvSpPr>
                                    <xdr:cNvPr id="565" name="TextBox 564"/>
                                    <xdr:cNvSpPr txBox="1"/>
                                  </xdr:nvSpPr>
                                  <xdr:spPr>
                                    <a:xfrm>
                                      <a:off x="23467704" y="12708939"/>
                                      <a:ext cx="1024712" cy="379244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NBIs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66" name="TextBox 565"/>
                                    <xdr:cNvSpPr txBox="1"/>
                                  </xdr:nvSpPr>
                                  <xdr:spPr>
                                    <a:xfrm>
                                      <a:off x="23566318" y="15402663"/>
                                      <a:ext cx="704738" cy="382606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GIS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85" name="TextBox 584"/>
                                    <xdr:cNvSpPr txBox="1"/>
                                  </xdr:nvSpPr>
                                  <xdr:spPr>
                                    <a:xfrm>
                                      <a:off x="26659594" y="15418204"/>
                                      <a:ext cx="676008" cy="38260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r"/>
                                      <a:r>
                                        <a:rPr lang="en-US" sz="1600">
                                          <a:solidFill>
                                            <a:srgbClr val="0070C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D</a:t>
                                      </a:r>
                                      <a:r>
                                        <a:rPr lang="en-US" sz="1600" baseline="-25000">
                                          <a:solidFill>
                                            <a:srgbClr val="0070C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2</a:t>
                                      </a:r>
                                      <a:endParaRPr lang="ru-RU" sz="1600" baseline="-25000">
                                        <a:solidFill>
                                          <a:srgbClr val="0070C0"/>
                                        </a:solidFill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86" name="TextBox 585"/>
                                    <xdr:cNvSpPr txBox="1"/>
                                  </xdr:nvSpPr>
                                  <xdr:spPr>
                                    <a:xfrm>
                                      <a:off x="26581117" y="15421609"/>
                                      <a:ext cx="676008" cy="382605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r>
                                        <a:rPr lang="en-US" sz="1600">
                                          <a:solidFill>
                                            <a:srgbClr val="FF000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T</a:t>
                                      </a:r>
                                      <a:r>
                                        <a:rPr lang="en-US" sz="1600" baseline="-25000">
                                          <a:solidFill>
                                            <a:srgbClr val="FF000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2</a:t>
                                      </a:r>
                                      <a:endParaRPr lang="ru-RU" sz="1600" baseline="-25000">
                                        <a:solidFill>
                                          <a:srgbClr val="FF0000"/>
                                        </a:solidFill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87" name="TextBox 586"/>
                                    <xdr:cNvSpPr txBox="1"/>
                                  </xdr:nvSpPr>
                                  <xdr:spPr>
                                    <a:xfrm>
                                      <a:off x="20066378" y="12755428"/>
                                      <a:ext cx="673262" cy="377162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r>
                                        <a:rPr lang="en-US" sz="1600">
                                          <a:solidFill>
                                            <a:sysClr val="windowText" lastClr="00000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T</a:t>
                                      </a:r>
                                      <a:r>
                                        <a:rPr lang="en-US" sz="1600" baseline="-25000">
                                          <a:solidFill>
                                            <a:sysClr val="windowText" lastClr="00000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2</a:t>
                                      </a:r>
                                      <a:endParaRPr lang="ru-RU" sz="1600" baseline="-25000">
                                        <a:solidFill>
                                          <a:sysClr val="windowText" lastClr="000000"/>
                                        </a:solidFill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88" name="TextBox 587"/>
                                    <xdr:cNvSpPr txBox="1"/>
                                  </xdr:nvSpPr>
                                  <xdr:spPr>
                                    <a:xfrm>
                                      <a:off x="25113945" y="13178945"/>
                                      <a:ext cx="341204" cy="393727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r>
                                        <a:rPr lang="en-US" sz="1600">
                                          <a:solidFill>
                                            <a:sysClr val="windowText" lastClr="00000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T</a:t>
                                      </a:r>
                                      <a:r>
                                        <a:rPr lang="en-US" sz="1600" baseline="-25000">
                                          <a:solidFill>
                                            <a:sysClr val="windowText" lastClr="00000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2</a:t>
                                      </a:r>
                                      <a:endParaRPr lang="ru-RU" sz="1600" baseline="-25000">
                                        <a:solidFill>
                                          <a:sysClr val="windowText" lastClr="000000"/>
                                        </a:solidFill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29" name="TextBox 628"/>
                                    <xdr:cNvSpPr txBox="1"/>
                                  </xdr:nvSpPr>
                                  <xdr:spPr>
                                    <a:xfrm>
                                      <a:off x="25993789" y="13509107"/>
                                      <a:ext cx="514336" cy="384368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solidFill>
                                            <a:srgbClr val="00B05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DT</a:t>
                                      </a:r>
                                      <a:endParaRPr lang="ru-RU" sz="1600" baseline="-25000">
                                        <a:solidFill>
                                          <a:srgbClr val="00B050"/>
                                        </a:solidFill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590" name="TextBox 589"/>
                                    <xdr:cNvSpPr txBox="1"/>
                                  </xdr:nvSpPr>
                                  <xdr:spPr>
                                    <a:xfrm>
                                      <a:off x="20241310" y="12775675"/>
                                      <a:ext cx="686906" cy="377162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r"/>
                                      <a:r>
                                        <a:rPr lang="en-US" sz="1600">
                                          <a:solidFill>
                                            <a:srgbClr val="0070C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D</a:t>
                                      </a:r>
                                      <a:r>
                                        <a:rPr lang="en-US" sz="1600" baseline="-25000">
                                          <a:solidFill>
                                            <a:srgbClr val="0070C0"/>
                                          </a:solidFill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2</a:t>
                                      </a:r>
                                      <a:endParaRPr lang="ru-RU" sz="1600" baseline="-25000">
                                        <a:solidFill>
                                          <a:srgbClr val="0070C0"/>
                                        </a:solidFill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52" name="TextBox 651"/>
                                    <xdr:cNvSpPr txBox="1"/>
                                  </xdr:nvSpPr>
                                  <xdr:spPr>
                                    <a:xfrm>
                                      <a:off x="21006806" y="12586598"/>
                                      <a:ext cx="1145693" cy="409567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SOL</a:t>
                                      </a:r>
                                    </a:p>
                                  </xdr:txBody>
                                </xdr:sp>
                              </xdr:grpSp>
                              <xdr:grpSp>
                                <xdr:nvGrpSpPr>
                                  <xdr:cNvPr id="143" name="Группа 142"/>
                                  <xdr:cNvGrpSpPr/>
                                </xdr:nvGrpSpPr>
                                <xdr:grpSpPr>
                                  <a:xfrm>
                                    <a:off x="20179723" y="12892839"/>
                                    <a:ext cx="2770501" cy="4141494"/>
                                    <a:chOff x="20179723" y="12892839"/>
                                    <a:chExt cx="2770501" cy="4141494"/>
                                  </a:xfrm>
                                </xdr:grpSpPr>
                                <xdr:grpSp>
                                  <xdr:nvGrpSpPr>
                                    <xdr:cNvPr id="21" name="Группа 20"/>
                                    <xdr:cNvGrpSpPr/>
                                  </xdr:nvGrpSpPr>
                                  <xdr:grpSpPr>
                                    <a:xfrm>
                                      <a:off x="20179723" y="12892839"/>
                                      <a:ext cx="2770501" cy="3120538"/>
                                      <a:chOff x="19988189" y="13070270"/>
                                      <a:chExt cx="2692126" cy="3065132"/>
                                    </a:xfrm>
                                  </xdr:grpSpPr>
                                  <xdr:sp macro="" textlink="">
                                    <xdr:nvSpPr>
                                      <xdr:cNvPr id="6" name="Овал 5"/>
                                      <xdr:cNvSpPr>
                                        <a:spLocks noChangeAspect="1"/>
                                      </xdr:cNvSpPr>
                                    </xdr:nvSpPr>
                                    <xdr:spPr>
                                      <a:xfrm>
                                        <a:off x="19988189" y="13070270"/>
                                        <a:ext cx="2692126" cy="3065132"/>
                                      </a:xfrm>
                                      <a:prstGeom prst="ellipse">
                                        <a:avLst/>
                                      </a:prstGeom>
                                      <a:pattFill prst="pct20">
                                        <a:fgClr>
                                          <a:schemeClr val="accent1"/>
                                        </a:fgClr>
                                        <a:bgClr>
                                          <a:schemeClr val="bg1"/>
                                        </a:bgClr>
                                      </a:pattFill>
                                      <a:ln w="127000" cmpd="sng">
                                        <a:solidFill>
                                          <a:schemeClr val="bg1">
                                            <a:lumMod val="75000"/>
                                          </a:schemeClr>
                                        </a:solidFill>
                                      </a:ln>
                                    </xdr:spPr>
                                    <xdr:style>
                                      <a:lnRef idx="2">
                                        <a:schemeClr val="accent1">
                                          <a:shade val="50000"/>
                                        </a:schemeClr>
                                      </a:lnRef>
                                      <a:fillRef idx="1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lt1"/>
                                      </a:fontRef>
                                    </xdr:style>
                                    <xdr:txBody>
                                      <a:bodyPr vertOverflow="clip" horzOverflow="clip" rtlCol="0" anchor="t"/>
                                      <a:lstStyle/>
                                      <a:p>
                                        <a:pPr algn="l"/>
                                        <a:endParaRPr lang="ru-RU" sz="11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506" name="Овал 505"/>
                                      <xdr:cNvSpPr>
                                        <a:spLocks/>
                                      </xdr:cNvSpPr>
                                    </xdr:nvSpPr>
                                    <xdr:spPr>
                                      <a:xfrm>
                                        <a:off x="20650829" y="13803807"/>
                                        <a:ext cx="1442211" cy="1595873"/>
                                      </a:xfrm>
                                      <a:prstGeom prst="ellipse">
                                        <a:avLst/>
                                      </a:prstGeom>
                                      <a:solidFill>
                                        <a:srgbClr val="FFABAB"/>
                                      </a:solidFill>
                                      <a:ln>
                                        <a:solidFill>
                                          <a:sysClr val="windowText" lastClr="000000"/>
                                        </a:solidFill>
                                      </a:ln>
                                    </xdr:spPr>
                                    <xdr:style>
                                      <a:lnRef idx="2">
                                        <a:schemeClr val="accent1">
                                          <a:shade val="50000"/>
                                        </a:schemeClr>
                                      </a:lnRef>
                                      <a:fillRef idx="1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lt1"/>
                                      </a:fontRef>
                                    </xdr:style>
                                    <xdr:txBody>
                                      <a:bodyPr vertOverflow="clip" horzOverflow="clip" rtlCol="0" anchor="t"/>
                                      <a:lstStyle/>
                                      <a:p>
                                        <a:pPr algn="l"/>
                                        <a:endParaRPr lang="ru-RU" sz="1100"/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564" name="TextBox 563"/>
                                      <xdr:cNvSpPr txBox="1"/>
                                    </xdr:nvSpPr>
                                    <xdr:spPr>
                                      <a:xfrm>
                                        <a:off x="20902815" y="13911918"/>
                                        <a:ext cx="1023352" cy="636506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 w="9525" cmpd="sng">
                                        <a:noFill/>
                                      </a:ln>
                                    </xdr:spPr>
                                    <xdr:style>
                                      <a:lnRef idx="0">
                                        <a:scrgbClr r="0" g="0" b="0"/>
                                      </a:lnRef>
                                      <a:fillRef idx="0">
                                        <a:scrgbClr r="0" g="0" b="0"/>
                                      </a:fillRef>
                                      <a:effectRef idx="0">
                                        <a:scrgbClr r="0" g="0" b="0"/>
                                      </a:effectRef>
                                      <a:fontRef idx="minor">
                                        <a:schemeClr val="dk1"/>
                                      </a:fontRef>
                                    </xdr:style>
                                    <xdr:txBody>
                                      <a:bodyPr vertOverflow="clip" horzOverflow="clip" wrap="square" rtlCol="0" anchor="t"/>
                                      <a:lstStyle/>
                                      <a:p>
                                        <a:pPr algn="l"/>
                                        <a:r>
                                          <a:rPr lang="en-US" sz="1600">
                                            <a:latin typeface="Times New Roman" panose="02020603050405020304" pitchFamily="18" charset="0"/>
                                            <a:cs typeface="Times New Roman" panose="02020603050405020304" pitchFamily="18" charset="0"/>
                                          </a:rPr>
                                          <a:t>plasma</a:t>
                                        </a:r>
                                        <a:endParaRPr lang="ru-RU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endParaRPr>
                                      </a:p>
                                      <a:p>
                                        <a:pPr algn="l"/>
                                        <a:r>
                                          <a:rPr lang="en-US" sz="1600">
                                            <a:latin typeface="Times New Roman" panose="02020603050405020304" pitchFamily="18" charset="0"/>
                                            <a:cs typeface="Times New Roman" panose="02020603050405020304" pitchFamily="18" charset="0"/>
                                          </a:rPr>
                                          <a:t>   core</a:t>
                                        </a:r>
                                        <a:endParaRPr lang="ru-RU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endParaRPr>
                                      </a:p>
                                    </xdr:txBody>
                                  </xdr:sp>
                                  <xdr:sp macro="" textlink="">
                                    <xdr:nvSpPr>
                                      <xdr:cNvPr id="575" name="TextBox 574"/>
                                      <xdr:cNvSpPr txBox="1"/>
                                    </xdr:nvSpPr>
                                    <xdr:spPr>
                                      <a:xfrm>
                                        <a:off x="20813166" y="13204232"/>
                                        <a:ext cx="1037766" cy="658759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 w="9525" cmpd="sng">
                                        <a:noFill/>
                                      </a:ln>
                                    </xdr:spPr>
                                    <xdr:style>
                                      <a:lnRef idx="0">
                                        <a:scrgbClr r="0" g="0" b="0"/>
                                      </a:lnRef>
                                      <a:fillRef idx="0">
                                        <a:scrgbClr r="0" g="0" b="0"/>
                                      </a:fillRef>
                                      <a:effectRef idx="0">
                                        <a:scrgbClr r="0" g="0" b="0"/>
                                      </a:effectRef>
                                      <a:fontRef idx="minor">
                                        <a:schemeClr val="dk1"/>
                                      </a:fontRef>
                                    </xdr:style>
                                    <xdr:txBody>
                                      <a:bodyPr vertOverflow="clip" horzOverflow="clip" wrap="square" rtlCol="0" anchor="t"/>
                                      <a:lstStyle/>
                                      <a:p>
                                        <a:pPr algn="ctr"/>
                                        <a:r>
                                          <a:rPr lang="en-US" sz="1600">
                                            <a:latin typeface="Times New Roman" panose="02020603050405020304" pitchFamily="18" charset="0"/>
                                            <a:cs typeface="Times New Roman" panose="02020603050405020304" pitchFamily="18" charset="0"/>
                                          </a:rPr>
                                          <a:t>plasma edge</a:t>
                                        </a:r>
                                        <a:endParaRPr lang="ru-RU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endParaRPr>
                                      </a:p>
                                    </xdr:txBody>
                                  </xdr:sp>
                                </xdr:grpSp>
                                <xdr:sp macro="" textlink="">
                                  <xdr:nvSpPr>
                                    <xdr:cNvPr id="675" name="Прямоугольник 674"/>
                                    <xdr:cNvSpPr/>
                                  </xdr:nvSpPr>
                                  <xdr:spPr>
                                    <a:xfrm>
                                      <a:off x="20820916" y="16660111"/>
                                      <a:ext cx="1211433" cy="356596"/>
                                    </a:xfrm>
                                    <a:prstGeom prst="rect">
                                      <a:avLst/>
                                    </a:prstGeom>
                                    <a:solidFill>
                                      <a:schemeClr val="bg1"/>
                                    </a:solidFill>
                                    <a:ln>
                                      <a:solidFill>
                                        <a:sysClr val="windowText" lastClr="000000"/>
                                      </a:solidFill>
                                      <a:prstDash val="sysDash"/>
                                    </a:ln>
                                  </xdr:spPr>
                                  <xdr:style>
                                    <a:lnRef idx="2">
                                      <a:schemeClr val="accent1">
                                        <a:shade val="50000"/>
                                      </a:schemeClr>
                                    </a:lnRef>
                                    <a:fillRef idx="1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lt1"/>
                                    </a:fontRef>
                                  </xdr:style>
                                  <xdr:txBody>
                                    <a:bodyPr vertOverflow="clip" horzOverflow="clip" rtlCol="0" anchor="t"/>
                                    <a:lstStyle/>
                                    <a:p>
                                      <a:pPr algn="l"/>
                                      <a:endParaRPr lang="ru-RU" sz="1100"/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76" name="TextBox 675"/>
                                    <xdr:cNvSpPr txBox="1"/>
                                  </xdr:nvSpPr>
                                  <xdr:spPr>
                                    <a:xfrm>
                                      <a:off x="20723939" y="16674490"/>
                                      <a:ext cx="1399668" cy="359843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NBI       cleanup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  <xdr:sp macro="" textlink="">
                                  <xdr:nvSpPr>
                                    <xdr:cNvPr id="677" name="TextBox 676"/>
                                    <xdr:cNvSpPr txBox="1"/>
                                  </xdr:nvSpPr>
                                  <xdr:spPr>
                                    <a:xfrm>
                                      <a:off x="20938147" y="16032397"/>
                                      <a:ext cx="1281898" cy="387058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vertOverflow="clip" horzOverflow="clip" wrap="square" rtlCol="0" anchor="t"/>
                                    <a:lstStyle/>
                                    <a:p>
                                      <a:pPr algn="ctr"/>
                                      <a:r>
                                        <a:rPr lang="en-US" sz="1600">
                                          <a:latin typeface="Times New Roman" panose="02020603050405020304" pitchFamily="18" charset="0"/>
                                          <a:cs typeface="Times New Roman" panose="02020603050405020304" pitchFamily="18" charset="0"/>
                                        </a:rPr>
                                        <a:t>divertor</a:t>
                                      </a:r>
                                      <a:endParaRPr lang="ru-RU" sz="1600">
                                        <a:latin typeface="Times New Roman" panose="02020603050405020304" pitchFamily="18" charset="0"/>
                                        <a:cs typeface="Times New Roman" panose="02020603050405020304" pitchFamily="18" charset="0"/>
                                      </a:endParaRPr>
                                    </a:p>
                                  </xdr:txBody>
                                </xdr:sp>
                              </xdr:grpSp>
                            </xdr:grpSp>
                            <xdr:grpSp>
                              <xdr:nvGrpSpPr>
                                <xdr:cNvPr id="144" name="Группа 143"/>
                                <xdr:cNvGrpSpPr/>
                              </xdr:nvGrpSpPr>
                              <xdr:grpSpPr>
                                <a:xfrm>
                                  <a:off x="19521542" y="12501441"/>
                                  <a:ext cx="4201257" cy="4120129"/>
                                  <a:chOff x="19521542" y="12501441"/>
                                  <a:chExt cx="4201257" cy="4120129"/>
                                </a:xfrm>
                              </xdr:grpSpPr>
                              <xdr:sp macro="" textlink="">
                                <xdr:nvSpPr>
                                  <xdr:cNvPr id="674" name="Прямоугольник 673"/>
                                  <xdr:cNvSpPr/>
                                </xdr:nvSpPr>
                                <xdr:spPr>
                                  <a:xfrm>
                                    <a:off x="21140406" y="16044150"/>
                                    <a:ext cx="896679" cy="355544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</xdr:spPr>
                                <xdr:style>
                                  <a:lnRef idx="2">
                                    <a:schemeClr val="accent1">
                                      <a:shade val="50000"/>
                                    </a:schemeClr>
                                  </a:lnRef>
                                  <a:fillRef idx="1">
                                    <a:schemeClr val="accent1"/>
                                  </a:fillRef>
                                  <a:effectRef idx="0">
                                    <a:schemeClr val="accent1"/>
                                  </a:effectRef>
                                  <a:fontRef idx="minor">
                                    <a:schemeClr val="lt1"/>
                                  </a:fontRef>
                                </xdr:style>
                                <xdr:txBody>
                                  <a:bodyPr vertOverflow="clip" horzOverflow="clip" rtlCol="0" anchor="t"/>
                                  <a:lstStyle/>
                                  <a:p>
                                    <a:pPr marL="0" indent="0" algn="l"/>
                                    <a:endParaRPr lang="ru-RU"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endParaRPr>
                                  </a:p>
                                </xdr:txBody>
                              </xdr:sp>
                              <xdr:grpSp>
                                <xdr:nvGrpSpPr>
                                  <xdr:cNvPr id="141" name="Группа 140"/>
                                  <xdr:cNvGrpSpPr/>
                                </xdr:nvGrpSpPr>
                                <xdr:grpSpPr>
                                  <a:xfrm>
                                    <a:off x="19521542" y="12501441"/>
                                    <a:ext cx="4201257" cy="4120129"/>
                                    <a:chOff x="19521542" y="12501441"/>
                                    <a:chExt cx="4201257" cy="4120129"/>
                                  </a:xfrm>
                                </xdr:grpSpPr>
                                <xdr:grpSp>
                                  <xdr:nvGrpSpPr>
                                    <xdr:cNvPr id="24" name="Группа 23"/>
                                    <xdr:cNvGrpSpPr/>
                                  </xdr:nvGrpSpPr>
                                  <xdr:grpSpPr>
                                    <a:xfrm>
                                      <a:off x="19521542" y="12501441"/>
                                      <a:ext cx="4201257" cy="3906622"/>
                                      <a:chOff x="19251126" y="12563381"/>
                                      <a:chExt cx="4202142" cy="3900104"/>
                                    </a:xfrm>
                                  </xdr:grpSpPr>
                                  <xdr:cxnSp macro="">
                                    <xdr:nvCxnSpPr>
                                      <xdr:cNvPr id="10" name="Прямая со стрелкой 9"/>
                                      <xdr:cNvCxnSpPr/>
                                    </xdr:nvCxnSpPr>
                                    <xdr:spPr>
                                      <a:xfrm flipH="1">
                                        <a:off x="21534681" y="13987206"/>
                                        <a:ext cx="373112" cy="274344"/>
                                      </a:xfrm>
                                      <a:prstGeom prst="straightConnector1">
                                        <a:avLst/>
                                      </a:prstGeom>
                                      <a:ln w="28575">
                                        <a:solidFill>
                                          <a:sysClr val="windowText" lastClr="000000"/>
                                        </a:solidFill>
                                        <a:tailEnd type="arrow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513" name="Прямая со стрелкой 512"/>
                                      <xdr:cNvCxnSpPr/>
                                    </xdr:nvCxnSpPr>
                                    <xdr:spPr>
                                      <a:xfrm flipH="1">
                                        <a:off x="21594978" y="14060078"/>
                                        <a:ext cx="384911" cy="277398"/>
                                      </a:xfrm>
                                      <a:prstGeom prst="straightConnector1">
                                        <a:avLst/>
                                      </a:prstGeom>
                                      <a:ln w="28575">
                                        <a:solidFill>
                                          <a:srgbClr val="0070C0"/>
                                        </a:solidFill>
                                        <a:tailEnd type="arrow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27" name="Прямая со стрелкой 26"/>
                                      <xdr:cNvCxnSpPr/>
                                    </xdr:nvCxnSpPr>
                                    <xdr:spPr>
                                      <a:xfrm flipH="1" flipV="1">
                                        <a:off x="21521104" y="14705976"/>
                                        <a:ext cx="367027" cy="254470"/>
                                      </a:xfrm>
                                      <a:prstGeom prst="straightConnector1">
                                        <a:avLst/>
                                      </a:prstGeom>
                                      <a:ln w="28575">
                                        <a:solidFill>
                                          <a:srgbClr val="0070C0"/>
                                        </a:solidFill>
                                        <a:tailEnd type="arrow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534" name="Прямая со стрелкой 533"/>
                                      <xdr:cNvCxnSpPr/>
                                    </xdr:nvCxnSpPr>
                                    <xdr:spPr>
                                      <a:xfrm flipH="1" flipV="1">
                                        <a:off x="21607620" y="14632702"/>
                                        <a:ext cx="346051" cy="241622"/>
                                      </a:xfrm>
                                      <a:prstGeom prst="straightConnector1">
                                        <a:avLst/>
                                      </a:prstGeom>
                                      <a:ln w="28575">
                                        <a:solidFill>
                                          <a:srgbClr val="FF0000"/>
                                        </a:solidFill>
                                        <a:tailEnd type="arrow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544" name="Прямая со стрелкой 543"/>
                                      <xdr:cNvCxnSpPr/>
                                    </xdr:nvCxnSpPr>
                                    <xdr:spPr>
                                      <a:xfrm flipH="1">
                                        <a:off x="21536835" y="14429901"/>
                                        <a:ext cx="537954" cy="2650"/>
                                      </a:xfrm>
                                      <a:prstGeom prst="straightConnector1">
                                        <a:avLst/>
                                      </a:prstGeom>
                                      <a:ln w="28575">
                                        <a:solidFill>
                                          <a:srgbClr val="0070C0"/>
                                        </a:solidFill>
                                        <a:tailEnd type="arrow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cxnSp macro="">
                                    <xdr:nvCxnSpPr>
                                      <xdr:cNvPr id="547" name="Прямая со стрелкой 546"/>
                                      <xdr:cNvCxnSpPr/>
                                    </xdr:nvCxnSpPr>
                                    <xdr:spPr>
                                      <a:xfrm flipH="1">
                                        <a:off x="21544700" y="14537625"/>
                                        <a:ext cx="536644" cy="3975"/>
                                      </a:xfrm>
                                      <a:prstGeom prst="straightConnector1">
                                        <a:avLst/>
                                      </a:prstGeom>
                                      <a:ln w="28575">
                                        <a:solidFill>
                                          <a:srgbClr val="FF0000"/>
                                        </a:solidFill>
                                        <a:tailEnd type="arrow"/>
                                      </a:ln>
                                    </xdr:spPr>
                                    <xdr:style>
                                      <a:lnRef idx="1">
                                        <a:schemeClr val="accent1"/>
                                      </a:lnRef>
                                      <a:fillRef idx="0">
                                        <a:schemeClr val="accent1"/>
                                      </a:fillRef>
                                      <a:effectRef idx="0">
                                        <a:schemeClr val="accent1"/>
                                      </a:effectRef>
                                      <a:fontRef idx="minor">
                                        <a:schemeClr val="tx1"/>
                                      </a:fontRef>
                                    </xdr:style>
                                  </xdr:cxnSp>
                                  <xdr:grpSp>
                                    <xdr:nvGrpSpPr>
                                      <xdr:cNvPr id="23" name="Группа 22"/>
                                      <xdr:cNvGrpSpPr/>
                                    </xdr:nvGrpSpPr>
                                    <xdr:grpSpPr>
                                      <a:xfrm>
                                        <a:off x="19251126" y="12563381"/>
                                        <a:ext cx="4202142" cy="3900104"/>
                                        <a:chOff x="19236527" y="12472606"/>
                                        <a:chExt cx="4199310" cy="3847343"/>
                                      </a:xfrm>
                                    </xdr:grpSpPr>
                                    <xdr:cxnSp macro="">
                                      <xdr:nvCxnSpPr>
                                        <xdr:cNvPr id="12" name="Прямая со стрелкой 11"/>
                                        <xdr:cNvCxnSpPr/>
                                      </xdr:nvCxnSpPr>
                                      <xdr:spPr>
                                        <a:xfrm flipH="1">
                                          <a:off x="21958051" y="13483482"/>
                                          <a:ext cx="493254" cy="329084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ysClr val="windowText" lastClr="00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09" name="Прямая со стрелкой 508"/>
                                        <xdr:cNvCxnSpPr/>
                                      </xdr:nvCxnSpPr>
                                      <xdr:spPr>
                                        <a:xfrm flipH="1">
                                          <a:off x="22051430" y="13586650"/>
                                          <a:ext cx="460784" cy="308510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70C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10" name="Прямая со стрелкой 509"/>
                                        <xdr:cNvCxnSpPr/>
                                      </xdr:nvCxnSpPr>
                                      <xdr:spPr>
                                        <a:xfrm flipH="1">
                                          <a:off x="22580905" y="12841032"/>
                                          <a:ext cx="802499" cy="562100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ysClr val="windowText" lastClr="00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11" name="Прямая со стрелкой 510"/>
                                        <xdr:cNvCxnSpPr/>
                                      </xdr:nvCxnSpPr>
                                      <xdr:spPr>
                                        <a:xfrm flipH="1">
                                          <a:off x="22678655" y="13015653"/>
                                          <a:ext cx="700066" cy="472559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70C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36" name="Прямая со стрелкой 535"/>
                                        <xdr:cNvCxnSpPr/>
                                      </xdr:nvCxnSpPr>
                                      <xdr:spPr>
                                        <a:xfrm flipH="1" flipV="1">
                                          <a:off x="22003744" y="14809876"/>
                                          <a:ext cx="508471" cy="330742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FF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37" name="Прямая со стрелкой 536"/>
                                        <xdr:cNvCxnSpPr/>
                                      </xdr:nvCxnSpPr>
                                      <xdr:spPr>
                                        <a:xfrm flipH="1" flipV="1">
                                          <a:off x="21946069" y="14894837"/>
                                          <a:ext cx="505237" cy="336053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70C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38" name="Прямая со стрелкой 537"/>
                                        <xdr:cNvCxnSpPr/>
                                      </xdr:nvCxnSpPr>
                                      <xdr:spPr>
                                        <a:xfrm flipH="1" flipV="1">
                                          <a:off x="22654220" y="15246921"/>
                                          <a:ext cx="781617" cy="510480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FF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40" name="Прямая со стрелкой 539"/>
                                        <xdr:cNvCxnSpPr/>
                                      </xdr:nvCxnSpPr>
                                      <xdr:spPr>
                                        <a:xfrm flipH="1" flipV="1">
                                          <a:off x="22596543" y="15331881"/>
                                          <a:ext cx="826186" cy="544766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70C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41" name="Прямая со стрелкой 540"/>
                                        <xdr:cNvCxnSpPr/>
                                      </xdr:nvCxnSpPr>
                                      <xdr:spPr>
                                        <a:xfrm flipH="1">
                                          <a:off x="22952148" y="14296904"/>
                                          <a:ext cx="418148" cy="1325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70C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43" name="Прямая со стрелкой 542"/>
                                        <xdr:cNvCxnSpPr/>
                                      </xdr:nvCxnSpPr>
                                      <xdr:spPr>
                                        <a:xfrm flipH="1">
                                          <a:off x="22950556" y="14495837"/>
                                          <a:ext cx="418148" cy="1325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FF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48" name="Прямая со стрелкой 547"/>
                                        <xdr:cNvCxnSpPr/>
                                      </xdr:nvCxnSpPr>
                                      <xdr:spPr>
                                        <a:xfrm flipH="1">
                                          <a:off x="22149556" y="14283034"/>
                                          <a:ext cx="539295" cy="11221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70C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49" name="Прямая со стрелкой 548"/>
                                        <xdr:cNvCxnSpPr/>
                                      </xdr:nvCxnSpPr>
                                      <xdr:spPr>
                                        <a:xfrm flipH="1" flipV="1">
                                          <a:off x="22157420" y="14403304"/>
                                          <a:ext cx="531431" cy="8690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FF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78" name="Прямая со стрелкой 577"/>
                                        <xdr:cNvCxnSpPr/>
                                      </xdr:nvCxnSpPr>
                                      <xdr:spPr>
                                        <a:xfrm>
                                          <a:off x="21236731" y="15321652"/>
                                          <a:ext cx="3134" cy="497357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70C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579" name="Прямая со стрелкой 578"/>
                                        <xdr:cNvCxnSpPr/>
                                      </xdr:nvCxnSpPr>
                                      <xdr:spPr>
                                        <a:xfrm flipH="1">
                                          <a:off x="21355973" y="15355172"/>
                                          <a:ext cx="4560" cy="474891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FF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sp macro="" textlink="">
                                      <xdr:nvSpPr>
                                        <xdr:cNvPr id="132" name="Дуга 131"/>
                                        <xdr:cNvSpPr>
                                          <a:spLocks noChangeAspect="1"/>
                                        </xdr:cNvSpPr>
                                      </xdr:nvSpPr>
                                      <xdr:spPr>
                                        <a:xfrm>
                                          <a:off x="20072692" y="13030979"/>
                                          <a:ext cx="2472744" cy="2707255"/>
                                        </a:xfrm>
                                        <a:prstGeom prst="arc">
                                          <a:avLst>
                                            <a:gd name="adj1" fmla="val 19516822"/>
                                            <a:gd name="adj2" fmla="val 4814277"/>
                                          </a:avLst>
                                        </a:prstGeom>
                                        <a:ln>
                                          <a:solidFill>
                                            <a:sysClr val="windowText" lastClr="000000"/>
                                          </a:solidFill>
                                          <a:headEnd type="none" w="med" len="med"/>
                                          <a:tailEnd type="arrow" w="med" len="med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  <xdr:txBody>
                                        <a:bodyPr vertOverflow="clip" horzOverflow="clip" rtlCol="0" anchor="t"/>
                                        <a:lstStyle/>
                                        <a:p>
                                          <a:pPr algn="l"/>
                                          <a:endParaRPr lang="ru-RU" sz="1100"/>
                                        </a:p>
                                      </xdr:txBody>
                                    </xdr:sp>
                                    <xdr:sp macro="" textlink="">
                                      <xdr:nvSpPr>
                                        <xdr:cNvPr id="580" name="Дуга 579"/>
                                        <xdr:cNvSpPr>
                                          <a:spLocks noChangeAspect="1"/>
                                        </xdr:cNvSpPr>
                                      </xdr:nvSpPr>
                                      <xdr:spPr>
                                        <a:xfrm>
                                          <a:off x="20190717" y="13128587"/>
                                          <a:ext cx="2265594" cy="2514975"/>
                                        </a:xfrm>
                                        <a:prstGeom prst="arc">
                                          <a:avLst>
                                            <a:gd name="adj1" fmla="val 19831824"/>
                                            <a:gd name="adj2" fmla="val 4825897"/>
                                          </a:avLst>
                                        </a:prstGeom>
                                        <a:ln>
                                          <a:solidFill>
                                            <a:srgbClr val="0070C0"/>
                                          </a:solidFill>
                                          <a:headEnd type="none" w="med" len="med"/>
                                          <a:tailEnd type="arrow" w="med" len="med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  <xdr:txBody>
                                        <a:bodyPr vertOverflow="clip" horzOverflow="clip" rtlCol="0" anchor="t"/>
                                        <a:lstStyle/>
                                        <a:p>
                                          <a:pPr algn="l"/>
                                          <a:endParaRPr lang="ru-RU" sz="1100"/>
                                        </a:p>
                                      </xdr:txBody>
                                    </xdr:sp>
                                    <xdr:sp macro="" textlink="">
                                      <xdr:nvSpPr>
                                        <xdr:cNvPr id="581" name="Дуга 580"/>
                                        <xdr:cNvSpPr>
                                          <a:spLocks noChangeAspect="1"/>
                                        </xdr:cNvSpPr>
                                      </xdr:nvSpPr>
                                      <xdr:spPr>
                                        <a:xfrm>
                                          <a:off x="20318364" y="13267832"/>
                                          <a:ext cx="2054138" cy="2280243"/>
                                        </a:xfrm>
                                        <a:prstGeom prst="arc">
                                          <a:avLst>
                                            <a:gd name="adj1" fmla="val 56896"/>
                                            <a:gd name="adj2" fmla="val 4863678"/>
                                          </a:avLst>
                                        </a:prstGeom>
                                        <a:ln>
                                          <a:solidFill>
                                            <a:srgbClr val="FF0000"/>
                                          </a:solidFill>
                                          <a:headEnd type="none" w="med" len="med"/>
                                          <a:tailEnd type="arrow" w="med" len="med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  <xdr:txBody>
                                        <a:bodyPr vertOverflow="clip" horzOverflow="clip" rtlCol="0" anchor="t"/>
                                        <a:lstStyle/>
                                        <a:p>
                                          <a:pPr algn="l"/>
                                          <a:endParaRPr lang="ru-RU" sz="1100"/>
                                        </a:p>
                                      </xdr:txBody>
                                    </xdr:sp>
                                    <xdr:sp macro="" textlink="">
                                      <xdr:nvSpPr>
                                        <xdr:cNvPr id="582" name="Дуга 581"/>
                                        <xdr:cNvSpPr>
                                          <a:spLocks noChangeAspect="1"/>
                                        </xdr:cNvSpPr>
                                      </xdr:nvSpPr>
                                      <xdr:spPr>
                                        <a:xfrm>
                                          <a:off x="20567396" y="13491892"/>
                                          <a:ext cx="1601020" cy="1777248"/>
                                        </a:xfrm>
                                        <a:prstGeom prst="arc">
                                          <a:avLst>
                                            <a:gd name="adj1" fmla="val 2418582"/>
                                            <a:gd name="adj2" fmla="val 5012257"/>
                                          </a:avLst>
                                        </a:prstGeom>
                                        <a:ln>
                                          <a:solidFill>
                                            <a:srgbClr val="0070C0"/>
                                          </a:solidFill>
                                          <a:headEnd type="none" w="med" len="med"/>
                                          <a:tailEnd type="arrow" w="med" len="med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  <xdr:txBody>
                                        <a:bodyPr vertOverflow="clip" horzOverflow="clip" rtlCol="0" anchor="t"/>
                                        <a:lstStyle/>
                                        <a:p>
                                          <a:pPr algn="l"/>
                                          <a:endParaRPr lang="ru-RU" sz="1100"/>
                                        </a:p>
                                      </xdr:txBody>
                                    </xdr:sp>
                                    <xdr:sp macro="" textlink="">
                                      <xdr:nvSpPr>
                                        <xdr:cNvPr id="583" name="Дуга 582"/>
                                        <xdr:cNvSpPr>
                                          <a:spLocks noChangeAspect="1"/>
                                        </xdr:cNvSpPr>
                                      </xdr:nvSpPr>
                                      <xdr:spPr>
                                        <a:xfrm>
                                          <a:off x="20433268" y="13373221"/>
                                          <a:ext cx="1872891" cy="2079046"/>
                                        </a:xfrm>
                                        <a:prstGeom prst="arc">
                                          <a:avLst>
                                            <a:gd name="adj1" fmla="val 21310125"/>
                                            <a:gd name="adj2" fmla="val 5032029"/>
                                          </a:avLst>
                                        </a:prstGeom>
                                        <a:ln>
                                          <a:solidFill>
                                            <a:srgbClr val="0070C0"/>
                                          </a:solidFill>
                                          <a:headEnd type="none" w="med" len="med"/>
                                          <a:tailEnd type="arrow" w="med" len="med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  <xdr:txBody>
                                        <a:bodyPr vertOverflow="clip" horzOverflow="clip" rtlCol="0" anchor="t"/>
                                        <a:lstStyle/>
                                        <a:p>
                                          <a:pPr algn="l"/>
                                          <a:endParaRPr lang="ru-RU" sz="1100"/>
                                        </a:p>
                                      </xdr:txBody>
                                    </xdr:sp>
                                    <xdr:sp macro="" textlink="">
                                      <xdr:nvSpPr>
                                        <xdr:cNvPr id="584" name="Дуга 583"/>
                                        <xdr:cNvSpPr>
                                          <a:spLocks noChangeAspect="1"/>
                                        </xdr:cNvSpPr>
                                      </xdr:nvSpPr>
                                      <xdr:spPr>
                                        <a:xfrm>
                                          <a:off x="20498095" y="13453664"/>
                                          <a:ext cx="1721851" cy="1911380"/>
                                        </a:xfrm>
                                        <a:prstGeom prst="arc">
                                          <a:avLst>
                                            <a:gd name="adj1" fmla="val 1850984"/>
                                            <a:gd name="adj2" fmla="val 4976029"/>
                                          </a:avLst>
                                        </a:prstGeom>
                                        <a:ln>
                                          <a:solidFill>
                                            <a:srgbClr val="FF0000"/>
                                          </a:solidFill>
                                          <a:headEnd type="none" w="med" len="med"/>
                                          <a:tailEnd type="arrow" w="med" len="med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  <xdr:txBody>
                                        <a:bodyPr vertOverflow="clip" horzOverflow="clip" rtlCol="0" anchor="t"/>
                                        <a:lstStyle/>
                                        <a:p>
                                          <a:pPr algn="l"/>
                                          <a:endParaRPr lang="ru-RU" sz="1100"/>
                                        </a:p>
                                      </xdr:txBody>
                                    </xdr:sp>
                                    <xdr:sp macro="" textlink="">
                                      <xdr:nvSpPr>
                                        <xdr:cNvPr id="560" name="Дуга 559"/>
                                        <xdr:cNvSpPr>
                                          <a:spLocks/>
                                        </xdr:cNvSpPr>
                                      </xdr:nvSpPr>
                                      <xdr:spPr>
                                        <a:xfrm>
                                          <a:off x="19595213" y="12472606"/>
                                          <a:ext cx="3385189" cy="3847343"/>
                                        </a:xfrm>
                                        <a:prstGeom prst="arc">
                                          <a:avLst>
                                            <a:gd name="adj1" fmla="val 6809947"/>
                                            <a:gd name="adj2" fmla="val 19103208"/>
                                          </a:avLst>
                                        </a:prstGeom>
                                        <a:ln>
                                          <a:solidFill>
                                            <a:sysClr val="windowText" lastClr="000000"/>
                                          </a:solidFill>
                                          <a:headEnd type="none" w="med" len="med"/>
                                          <a:tailEnd type="none" w="med" len="med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  <xdr:txBody>
                                        <a:bodyPr vertOverflow="clip" horzOverflow="clip" rtlCol="0" anchor="t"/>
                                        <a:lstStyle/>
                                        <a:p>
                                          <a:pPr algn="l"/>
                                          <a:endParaRPr lang="ru-RU" sz="1100"/>
                                        </a:p>
                                      </xdr:txBody>
                                    </xdr:sp>
                                    <xdr:sp macro="" textlink="">
                                      <xdr:nvSpPr>
                                        <xdr:cNvPr id="589" name="Дуга 588"/>
                                        <xdr:cNvSpPr>
                                          <a:spLocks noChangeAspect="1"/>
                                        </xdr:cNvSpPr>
                                      </xdr:nvSpPr>
                                      <xdr:spPr>
                                        <a:xfrm>
                                          <a:off x="19729010" y="12621581"/>
                                          <a:ext cx="3129704" cy="3556977"/>
                                        </a:xfrm>
                                        <a:prstGeom prst="arc">
                                          <a:avLst>
                                            <a:gd name="adj1" fmla="val 6651025"/>
                                            <a:gd name="adj2" fmla="val 19257285"/>
                                          </a:avLst>
                                        </a:prstGeom>
                                        <a:ln>
                                          <a:solidFill>
                                            <a:srgbClr val="0070C0"/>
                                          </a:solidFill>
                                          <a:headEnd type="none" w="med" len="med"/>
                                          <a:tailEnd type="none" w="med" len="med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  <xdr:txBody>
                                        <a:bodyPr vertOverflow="clip" horzOverflow="clip" rtlCol="0" anchor="t"/>
                                        <a:lstStyle/>
                                        <a:p>
                                          <a:pPr algn="l"/>
                                          <a:endParaRPr lang="ru-RU" sz="1100"/>
                                        </a:p>
                                      </xdr:txBody>
                                    </xdr:sp>
                                    <xdr:cxnSp macro="">
                                      <xdr:nvCxnSpPr>
                                        <xdr:cNvPr id="612" name="Прямая со стрелкой 611"/>
                                        <xdr:cNvCxnSpPr/>
                                      </xdr:nvCxnSpPr>
                                      <xdr:spPr>
                                        <a:xfrm flipV="1">
                                          <a:off x="20739163" y="14521858"/>
                                          <a:ext cx="368166" cy="257026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C0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615" name="Прямая со стрелкой 614"/>
                                        <xdr:cNvCxnSpPr/>
                                      </xdr:nvCxnSpPr>
                                      <xdr:spPr>
                                        <a:xfrm flipV="1">
                                          <a:off x="20183637" y="14840121"/>
                                          <a:ext cx="467034" cy="361505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C0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617" name="Прямая со стрелкой 616"/>
                                        <xdr:cNvCxnSpPr/>
                                      </xdr:nvCxnSpPr>
                                      <xdr:spPr>
                                        <a:xfrm flipV="1">
                                          <a:off x="19236527" y="15316307"/>
                                          <a:ext cx="810436" cy="592827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C0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618" name="Прямая со стрелкой 617"/>
                                        <xdr:cNvCxnSpPr/>
                                      </xdr:nvCxnSpPr>
                                      <xdr:spPr>
                                        <a:xfrm>
                                          <a:off x="19289124" y="14293790"/>
                                          <a:ext cx="419445" cy="1357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B0F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619" name="Прямая со стрелкой 618"/>
                                        <xdr:cNvCxnSpPr/>
                                      </xdr:nvCxnSpPr>
                                      <xdr:spPr>
                                        <a:xfrm flipV="1">
                                          <a:off x="19256080" y="15488925"/>
                                          <a:ext cx="921686" cy="708163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chemeClr val="accent6">
                                              <a:lumMod val="75000"/>
                                            </a:schemeClr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620" name="Прямая со стрелкой 619"/>
                                        <xdr:cNvCxnSpPr/>
                                      </xdr:nvCxnSpPr>
                                      <xdr:spPr>
                                        <a:xfrm>
                                          <a:off x="20630234" y="14314138"/>
                                          <a:ext cx="537611" cy="2713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B0F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622" name="Прямая со стрелкой 621"/>
                                        <xdr:cNvCxnSpPr/>
                                      </xdr:nvCxnSpPr>
                                      <xdr:spPr>
                                        <a:xfrm>
                                          <a:off x="19929670" y="14283034"/>
                                          <a:ext cx="581901" cy="8043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B0F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633" name="Прямая со стрелкой 632"/>
                                        <xdr:cNvCxnSpPr/>
                                      </xdr:nvCxnSpPr>
                                      <xdr:spPr>
                                        <a:xfrm>
                                          <a:off x="20974154" y="15280113"/>
                                          <a:ext cx="3293" cy="507404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C0000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  <xdr:cxnSp macro="">
                                      <xdr:nvCxnSpPr>
                                        <xdr:cNvPr id="634" name="Прямая со стрелкой 633"/>
                                        <xdr:cNvCxnSpPr/>
                                      </xdr:nvCxnSpPr>
                                      <xdr:spPr>
                                        <a:xfrm flipH="1">
                                          <a:off x="21099002" y="15349256"/>
                                          <a:ext cx="4791" cy="485381"/>
                                        </a:xfrm>
                                        <a:prstGeom prst="straightConnector1">
                                          <a:avLst/>
                                        </a:prstGeom>
                                        <a:ln w="28575">
                                          <a:solidFill>
                                            <a:srgbClr val="00B0F0"/>
                                          </a:solidFill>
                                          <a:tailEnd type="arrow"/>
                                        </a:ln>
                                      </xdr:spPr>
                                      <xdr:style>
                                        <a:lnRef idx="1">
                                          <a:schemeClr val="accent1"/>
                                        </a:lnRef>
                                        <a:fillRef idx="0">
                                          <a:schemeClr val="accent1"/>
                                        </a:fillRef>
                                        <a:effectRef idx="0">
                                          <a:schemeClr val="accent1"/>
                                        </a:effectRef>
                                        <a:fontRef idx="minor">
                                          <a:schemeClr val="tx1"/>
                                        </a:fontRef>
                                      </xdr:style>
                                    </xdr:cxnSp>
                                  </xdr:grpSp>
                                </xdr:grpSp>
                                <xdr:cxnSp macro="">
                                  <xdr:nvCxnSpPr>
                                    <xdr:cNvPr id="59" name="Прямая соединительная линия 58"/>
                                    <xdr:cNvCxnSpPr>
                                      <a:stCxn id="589" idx="2"/>
                                    </xdr:cNvCxnSpPr>
                                  </xdr:nvCxnSpPr>
                                  <xdr:spPr>
                                    <a:xfrm flipV="1">
                                      <a:off x="22773936" y="12687538"/>
                                      <a:ext cx="852704" cy="603155"/>
                                    </a:xfrm>
                                    <a:prstGeom prst="line">
                                      <a:avLst/>
                                    </a:prstGeom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78" name="Прямая соединительная линия 677"/>
                                    <xdr:cNvCxnSpPr/>
                                  </xdr:nvCxnSpPr>
                                  <xdr:spPr>
                                    <a:xfrm flipV="1">
                                      <a:off x="22798328" y="12562046"/>
                                      <a:ext cx="818853" cy="556266"/>
                                    </a:xfrm>
                                    <a:prstGeom prst="line">
                                      <a:avLst/>
                                    </a:prstGeom>
                                    <a:ln>
                                      <a:solidFill>
                                        <a:schemeClr val="tx1"/>
                                      </a:solidFill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131" name="Прямая со стрелкой 130"/>
                                    <xdr:cNvCxnSpPr/>
                                  </xdr:nvCxnSpPr>
                                  <xdr:spPr>
                                    <a:xfrm>
                                      <a:off x="21036920" y="16153086"/>
                                      <a:ext cx="0" cy="460601"/>
                                    </a:xfrm>
                                    <a:prstGeom prst="straightConnector1">
                                      <a:avLst/>
                                    </a:prstGeom>
                                    <a:ln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  <xdr:cxnSp macro="">
                                  <xdr:nvCxnSpPr>
                                    <xdr:cNvPr id="679" name="Прямая со стрелкой 678"/>
                                    <xdr:cNvCxnSpPr/>
                                  </xdr:nvCxnSpPr>
                                  <xdr:spPr>
                                    <a:xfrm>
                                      <a:off x="20912109" y="16262827"/>
                                      <a:ext cx="1314" cy="358743"/>
                                    </a:xfrm>
                                    <a:prstGeom prst="straightConnector1">
                                      <a:avLst/>
                                    </a:prstGeom>
                                    <a:ln>
                                      <a:solidFill>
                                        <a:schemeClr val="tx1"/>
                                      </a:solidFill>
                                      <a:tailEnd type="arrow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</xdr:grpSp>
                            </xdr:grpSp>
                          </xdr:grpSp>
                        </xdr:grpSp>
                        <xdr:cxnSp macro="">
                          <xdr:nvCxnSpPr>
                            <xdr:cNvPr id="680" name="Прямая со стрелкой 679"/>
                            <xdr:cNvCxnSpPr/>
                          </xdr:nvCxnSpPr>
                          <xdr:spPr>
                            <a:xfrm flipH="1" flipV="1">
                              <a:off x="22974958" y="15118146"/>
                              <a:ext cx="713717" cy="483804"/>
                            </a:xfrm>
                            <a:prstGeom prst="straightConnector1">
                              <a:avLst/>
                            </a:prstGeom>
                            <a:ln w="28575">
                              <a:solidFill>
                                <a:srgbClr val="00B050"/>
                              </a:solidFill>
                              <a:tailEnd type="arrow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800" name="Прямая со стрелкой 799"/>
                          <xdr:cNvCxnSpPr/>
                        </xdr:nvCxnSpPr>
                        <xdr:spPr>
                          <a:xfrm flipV="1">
                            <a:off x="9543559" y="19111354"/>
                            <a:ext cx="7019" cy="571778"/>
                          </a:xfrm>
                          <a:prstGeom prst="straightConnector1">
                            <a:avLst/>
                          </a:prstGeom>
                          <a:ln w="28575">
                            <a:solidFill>
                              <a:srgbClr val="0070C0"/>
                            </a:solidFill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801" name="Прямая со стрелкой 800"/>
                          <xdr:cNvCxnSpPr/>
                        </xdr:nvCxnSpPr>
                        <xdr:spPr>
                          <a:xfrm flipV="1">
                            <a:off x="9388778" y="19105401"/>
                            <a:ext cx="3000" cy="346259"/>
                          </a:xfrm>
                          <a:prstGeom prst="straightConnector1">
                            <a:avLst/>
                          </a:prstGeom>
                          <a:ln w="28575">
                            <a:solidFill>
                              <a:srgbClr val="FF0000"/>
                            </a:solidFill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802" name="Прямая соединительная линия 801"/>
                          <xdr:cNvCxnSpPr/>
                        </xdr:nvCxnSpPr>
                        <xdr:spPr>
                          <a:xfrm flipV="1">
                            <a:off x="9220756" y="19683132"/>
                            <a:ext cx="334709" cy="1148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rgbClr val="0070C0"/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810" name="Прямоугольник 809"/>
                          <xdr:cNvSpPr/>
                        </xdr:nvSpPr>
                        <xdr:spPr>
                          <a:xfrm>
                            <a:off x="9796804" y="19182790"/>
                            <a:ext cx="1953591" cy="957332"/>
                          </a:xfrm>
                          <a:prstGeom prst="rect">
                            <a:avLst/>
                          </a:prstGeom>
                          <a:noFill/>
                          <a:ln>
                            <a:prstDash val="sysDash"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ru-RU" sz="1100"/>
                          </a:p>
                        </xdr:txBody>
                      </xdr:sp>
                      <xdr:cxnSp macro="">
                        <xdr:nvCxnSpPr>
                          <xdr:cNvPr id="811" name="Прямая со стрелкой 810"/>
                          <xdr:cNvCxnSpPr/>
                        </xdr:nvCxnSpPr>
                        <xdr:spPr>
                          <a:xfrm>
                            <a:off x="9257841" y="19544574"/>
                            <a:ext cx="518591" cy="2335"/>
                          </a:xfrm>
                          <a:prstGeom prst="straightConnector1">
                            <a:avLst/>
                          </a:prstGeom>
                          <a:ln w="28575">
                            <a:solidFill>
                              <a:srgbClr val="7030A0"/>
                            </a:solidFill>
                            <a:tailEnd type="arrow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830" name="TextBox 829"/>
                          <xdr:cNvSpPr txBox="1"/>
                        </xdr:nvSpPr>
                        <xdr:spPr>
                          <a:xfrm>
                            <a:off x="9784734" y="19235668"/>
                            <a:ext cx="2058159" cy="844923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t"/>
                          <a:lstStyle/>
                          <a:p>
                            <a:pPr algn="ctr"/>
                            <a:r>
                              <a:rPr lang="en-US" sz="1600"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a:t>PERMCAT</a:t>
                            </a:r>
                          </a:p>
                          <a:p>
                            <a:pPr algn="ctr"/>
                            <a:r>
                              <a:rPr lang="en-US" sz="1600"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a:t>+</a:t>
                            </a:r>
                          </a:p>
                          <a:p>
                            <a:pPr algn="ctr"/>
                            <a:r>
                              <a:rPr lang="en-US" sz="1600"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a:t>CECE</a:t>
                            </a:r>
                          </a:p>
                        </xdr:txBody>
                      </xdr:sp>
                    </xdr:grpSp>
                  </xdr:grpSp>
                </xdr:grpSp>
                <xdr:cxnSp macro="">
                  <xdr:nvCxnSpPr>
                    <xdr:cNvPr id="971" name="Прямая соединительная линия 970"/>
                    <xdr:cNvCxnSpPr/>
                  </xdr:nvCxnSpPr>
                  <xdr:spPr>
                    <a:xfrm flipH="1">
                      <a:off x="10636822" y="14818561"/>
                      <a:ext cx="380997" cy="0"/>
                    </a:xfrm>
                    <a:prstGeom prst="line">
                      <a:avLst/>
                    </a:prstGeom>
                    <a:ln w="28575">
                      <a:solidFill>
                        <a:sysClr val="windowText" lastClr="000000"/>
                      </a:solidFill>
                      <a:headEnd type="none" w="med" len="med"/>
                      <a:tailEnd type="arrow" w="med" len="med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  <xdr:sp macro="" textlink="">
            <xdr:nvSpPr>
              <xdr:cNvPr id="984" name="Дуга 983"/>
              <xdr:cNvSpPr>
                <a:spLocks noChangeAspect="1"/>
              </xdr:cNvSpPr>
            </xdr:nvSpPr>
            <xdr:spPr>
              <a:xfrm flipH="1">
                <a:off x="4763051" y="15007548"/>
                <a:ext cx="2090906" cy="2106730"/>
              </a:xfrm>
              <a:prstGeom prst="arc">
                <a:avLst>
                  <a:gd name="adj1" fmla="val 2418582"/>
                  <a:gd name="adj2" fmla="val 4768217"/>
                </a:avLst>
              </a:prstGeom>
              <a:ln w="28575">
                <a:solidFill>
                  <a:schemeClr val="accent6">
                    <a:lumMod val="75000"/>
                  </a:schemeClr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ru-RU" sz="1100"/>
              </a:p>
            </xdr:txBody>
          </xdr:sp>
        </xdr:grpSp>
      </xdr:grpSp>
      <xdr:cxnSp macro="">
        <xdr:nvCxnSpPr>
          <xdr:cNvPr id="987" name="Прямая соединительная линия 986"/>
          <xdr:cNvCxnSpPr/>
        </xdr:nvCxnSpPr>
        <xdr:spPr>
          <a:xfrm flipH="1" flipV="1">
            <a:off x="10633637" y="14715383"/>
            <a:ext cx="242722" cy="1529"/>
          </a:xfrm>
          <a:prstGeom prst="line">
            <a:avLst/>
          </a:prstGeom>
          <a:ln w="28575">
            <a:solidFill>
              <a:srgbClr val="0070C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293705</xdr:colOff>
      <xdr:row>5</xdr:row>
      <xdr:rowOff>120795</xdr:rowOff>
    </xdr:from>
    <xdr:to>
      <xdr:col>10</xdr:col>
      <xdr:colOff>66675</xdr:colOff>
      <xdr:row>8</xdr:row>
      <xdr:rowOff>0</xdr:rowOff>
    </xdr:to>
    <xdr:sp macro="" textlink="">
      <xdr:nvSpPr>
        <xdr:cNvPr id="523" name="Прямоугольник 522"/>
        <xdr:cNvSpPr/>
      </xdr:nvSpPr>
      <xdr:spPr>
        <a:xfrm>
          <a:off x="6408755" y="120795"/>
          <a:ext cx="496870" cy="517380"/>
        </a:xfrm>
        <a:prstGeom prst="rect">
          <a:avLst/>
        </a:prstGeom>
        <a:solidFill>
          <a:schemeClr val="tx2">
            <a:lumMod val="20000"/>
            <a:lumOff val="80000"/>
            <a:alpha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 sz="1200"/>
        </a:p>
      </xdr:txBody>
    </xdr:sp>
    <xdr:clientData/>
  </xdr:twoCellAnchor>
  <xdr:twoCellAnchor>
    <xdr:from>
      <xdr:col>9</xdr:col>
      <xdr:colOff>370630</xdr:colOff>
      <xdr:row>6</xdr:row>
      <xdr:rowOff>151372</xdr:rowOff>
    </xdr:from>
    <xdr:to>
      <xdr:col>10</xdr:col>
      <xdr:colOff>9526</xdr:colOff>
      <xdr:row>8</xdr:row>
      <xdr:rowOff>24735</xdr:rowOff>
    </xdr:to>
    <xdr:sp macro="" textlink="">
      <xdr:nvSpPr>
        <xdr:cNvPr id="533" name="TextBox 134"/>
        <xdr:cNvSpPr txBox="1">
          <a:spLocks noChangeArrowheads="1"/>
        </xdr:cNvSpPr>
      </xdr:nvSpPr>
      <xdr:spPr bwMode="auto">
        <a:xfrm>
          <a:off x="6485680" y="351397"/>
          <a:ext cx="362796" cy="311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D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419100</xdr:colOff>
      <xdr:row>5</xdr:row>
      <xdr:rowOff>120795</xdr:rowOff>
    </xdr:from>
    <xdr:to>
      <xdr:col>9</xdr:col>
      <xdr:colOff>238105</xdr:colOff>
      <xdr:row>8</xdr:row>
      <xdr:rowOff>0</xdr:rowOff>
    </xdr:to>
    <xdr:sp macro="" textlink="">
      <xdr:nvSpPr>
        <xdr:cNvPr id="535" name="Прямоугольник 534"/>
        <xdr:cNvSpPr/>
      </xdr:nvSpPr>
      <xdr:spPr>
        <a:xfrm>
          <a:off x="5838825" y="120795"/>
          <a:ext cx="514330" cy="517380"/>
        </a:xfrm>
        <a:prstGeom prst="rect">
          <a:avLst/>
        </a:prstGeom>
        <a:solidFill>
          <a:schemeClr val="tx2">
            <a:lumMod val="20000"/>
            <a:lumOff val="80000"/>
            <a:alpha val="40000"/>
          </a:schemeClr>
        </a:solidFill>
        <a:ln>
          <a:solidFill>
            <a:srgbClr val="FF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defTabSz="4320540" fontAlgn="auto">
            <a:spcBef>
              <a:spcPts val="0"/>
            </a:spcBef>
            <a:spcAft>
              <a:spcPts val="0"/>
            </a:spcAft>
            <a:defRPr/>
          </a:pPr>
          <a:endParaRPr lang="ru-RU" sz="1200"/>
        </a:p>
      </xdr:txBody>
    </xdr:sp>
    <xdr:clientData/>
  </xdr:twoCellAnchor>
  <xdr:twoCellAnchor>
    <xdr:from>
      <xdr:col>8</xdr:col>
      <xdr:colOff>532554</xdr:colOff>
      <xdr:row>6</xdr:row>
      <xdr:rowOff>151372</xdr:rowOff>
    </xdr:from>
    <xdr:to>
      <xdr:col>9</xdr:col>
      <xdr:colOff>171450</xdr:colOff>
      <xdr:row>7</xdr:row>
      <xdr:rowOff>182551</xdr:rowOff>
    </xdr:to>
    <xdr:sp macro="" textlink="">
      <xdr:nvSpPr>
        <xdr:cNvPr id="539" name="TextBox 134"/>
        <xdr:cNvSpPr txBox="1">
          <a:spLocks noChangeArrowheads="1"/>
        </xdr:cNvSpPr>
      </xdr:nvSpPr>
      <xdr:spPr bwMode="auto">
        <a:xfrm>
          <a:off x="5952279" y="351397"/>
          <a:ext cx="334221" cy="26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eaLnBrk="1" hangingPunct="1"/>
          <a:r>
            <a:rPr lang="ru-RU" sz="1200" baseline="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Т</a:t>
          </a:r>
          <a:r>
            <a:rPr lang="en-US" sz="1200" baseline="-250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2</a:t>
          </a:r>
          <a:r>
            <a:rPr lang="en-US" sz="1200">
              <a:solidFill>
                <a:srgbClr val="FF0000"/>
              </a:solidFill>
              <a:latin typeface="Times New Roman" pitchFamily="18" charset="0"/>
              <a:cs typeface="Times New Roman" pitchFamily="18" charset="0"/>
              <a:sym typeface="Symbol" pitchFamily="18" charset="2"/>
            </a:rPr>
            <a:t> </a:t>
          </a:r>
          <a:endParaRPr lang="ru-RU" sz="12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441296</xdr:colOff>
      <xdr:row>5</xdr:row>
      <xdr:rowOff>93829</xdr:rowOff>
    </xdr:from>
    <xdr:to>
      <xdr:col>10</xdr:col>
      <xdr:colOff>66674</xdr:colOff>
      <xdr:row>7</xdr:row>
      <xdr:rowOff>114301</xdr:rowOff>
    </xdr:to>
    <xdr:sp macro="" textlink="">
      <xdr:nvSpPr>
        <xdr:cNvPr id="552" name="TextBox 22"/>
        <xdr:cNvSpPr txBox="1">
          <a:spLocks noChangeArrowheads="1"/>
        </xdr:cNvSpPr>
      </xdr:nvSpPr>
      <xdr:spPr bwMode="auto">
        <a:xfrm>
          <a:off x="5861021" y="93829"/>
          <a:ext cx="1044603" cy="458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u="sng">
              <a:latin typeface="Times New Roman" pitchFamily="18" charset="0"/>
              <a:cs typeface="Times New Roman" pitchFamily="18" charset="0"/>
            </a:rPr>
            <a:t>транспортный геттер</a:t>
          </a:r>
        </a:p>
      </xdr:txBody>
    </xdr:sp>
    <xdr:clientData/>
  </xdr:twoCellAnchor>
  <xdr:twoCellAnchor>
    <xdr:from>
      <xdr:col>9</xdr:col>
      <xdr:colOff>416585</xdr:colOff>
      <xdr:row>8</xdr:row>
      <xdr:rowOff>30375</xdr:rowOff>
    </xdr:from>
    <xdr:to>
      <xdr:col>9</xdr:col>
      <xdr:colOff>420414</xdr:colOff>
      <xdr:row>10</xdr:row>
      <xdr:rowOff>223344</xdr:rowOff>
    </xdr:to>
    <xdr:cxnSp macro="">
      <xdr:nvCxnSpPr>
        <xdr:cNvPr id="573" name="Straight Arrow Connector 150"/>
        <xdr:cNvCxnSpPr/>
      </xdr:nvCxnSpPr>
      <xdr:spPr>
        <a:xfrm>
          <a:off x="6525723" y="660996"/>
          <a:ext cx="3829" cy="587107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130875</xdr:colOff>
      <xdr:row>8</xdr:row>
      <xdr:rowOff>29608</xdr:rowOff>
    </xdr:from>
    <xdr:to>
      <xdr:col>9</xdr:col>
      <xdr:colOff>133350</xdr:colOff>
      <xdr:row>11</xdr:row>
      <xdr:rowOff>171450</xdr:rowOff>
    </xdr:to>
    <xdr:cxnSp macro="">
      <xdr:nvCxnSpPr>
        <xdr:cNvPr id="576" name="Straight Arrow Connector 150"/>
        <xdr:cNvCxnSpPr/>
      </xdr:nvCxnSpPr>
      <xdr:spPr>
        <a:xfrm>
          <a:off x="6245925" y="667783"/>
          <a:ext cx="2475" cy="780017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433552</xdr:colOff>
      <xdr:row>10</xdr:row>
      <xdr:rowOff>209220</xdr:rowOff>
    </xdr:from>
    <xdr:to>
      <xdr:col>9</xdr:col>
      <xdr:colOff>698281</xdr:colOff>
      <xdr:row>10</xdr:row>
      <xdr:rowOff>210206</xdr:rowOff>
    </xdr:to>
    <xdr:cxnSp macro="">
      <xdr:nvCxnSpPr>
        <xdr:cNvPr id="608" name="Straight Arrow Connector 150"/>
        <xdr:cNvCxnSpPr/>
      </xdr:nvCxnSpPr>
      <xdr:spPr>
        <a:xfrm flipV="1">
          <a:off x="6542690" y="1233979"/>
          <a:ext cx="264729" cy="986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151086</xdr:colOff>
      <xdr:row>11</xdr:row>
      <xdr:rowOff>148460</xdr:rowOff>
    </xdr:from>
    <xdr:to>
      <xdr:col>9</xdr:col>
      <xdr:colOff>698609</xdr:colOff>
      <xdr:row>11</xdr:row>
      <xdr:rowOff>151087</xdr:rowOff>
    </xdr:to>
    <xdr:cxnSp macro="">
      <xdr:nvCxnSpPr>
        <xdr:cNvPr id="614" name="Straight Arrow Connector 150"/>
        <xdr:cNvCxnSpPr/>
      </xdr:nvCxnSpPr>
      <xdr:spPr>
        <a:xfrm flipV="1">
          <a:off x="6260224" y="1409701"/>
          <a:ext cx="547523" cy="2627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136496</xdr:colOff>
      <xdr:row>6</xdr:row>
      <xdr:rowOff>46204</xdr:rowOff>
    </xdr:from>
    <xdr:to>
      <xdr:col>7</xdr:col>
      <xdr:colOff>762000</xdr:colOff>
      <xdr:row>7</xdr:row>
      <xdr:rowOff>171450</xdr:rowOff>
    </xdr:to>
    <xdr:sp macro="" textlink="">
      <xdr:nvSpPr>
        <xdr:cNvPr id="651" name="TextBox 22"/>
        <xdr:cNvSpPr txBox="1">
          <a:spLocks noChangeArrowheads="1"/>
        </xdr:cNvSpPr>
      </xdr:nvSpPr>
      <xdr:spPr bwMode="auto">
        <a:xfrm>
          <a:off x="2651096" y="1284454"/>
          <a:ext cx="2749579" cy="325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charset="0"/>
              <a:ea typeface="+mn-ea"/>
              <a:cs typeface="Arial" charset="0"/>
            </a:defRPr>
          </a:lvl9pPr>
        </a:lstStyle>
        <a:p>
          <a:pPr algn="ctr" eaLnBrk="1" hangingPunct="1"/>
          <a:r>
            <a:rPr lang="ru-RU" b="1" u="none">
              <a:latin typeface="Times New Roman" pitchFamily="18" charset="0"/>
              <a:cs typeface="Times New Roman" pitchFamily="18" charset="0"/>
            </a:rPr>
            <a:t>Системы хранения изотопов водорода</a:t>
          </a:r>
        </a:p>
      </xdr:txBody>
    </xdr:sp>
    <xdr:clientData/>
  </xdr:twoCellAnchor>
  <xdr:twoCellAnchor>
    <xdr:from>
      <xdr:col>32</xdr:col>
      <xdr:colOff>582706</xdr:colOff>
      <xdr:row>90</xdr:row>
      <xdr:rowOff>163613</xdr:rowOff>
    </xdr:from>
    <xdr:to>
      <xdr:col>36</xdr:col>
      <xdr:colOff>73961</xdr:colOff>
      <xdr:row>93</xdr:row>
      <xdr:rowOff>123268</xdr:rowOff>
    </xdr:to>
    <xdr:sp macro="" textlink="">
      <xdr:nvSpPr>
        <xdr:cNvPr id="690" name="TextBox 689"/>
        <xdr:cNvSpPr txBox="1"/>
      </xdr:nvSpPr>
      <xdr:spPr>
        <a:xfrm>
          <a:off x="23666824" y="18552466"/>
          <a:ext cx="2785784" cy="564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концентрация частиц в плазме (</a:t>
          </a:r>
          <a:r>
            <a:rPr lang="en-US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D+T)</a:t>
          </a:r>
          <a:endParaRPr lang="en-US" sz="1400" b="1" i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11205</xdr:colOff>
      <xdr:row>63</xdr:row>
      <xdr:rowOff>91894</xdr:rowOff>
    </xdr:from>
    <xdr:to>
      <xdr:col>42</xdr:col>
      <xdr:colOff>235323</xdr:colOff>
      <xdr:row>66</xdr:row>
      <xdr:rowOff>27214</xdr:rowOff>
    </xdr:to>
    <xdr:sp macro="" textlink="">
      <xdr:nvSpPr>
        <xdr:cNvPr id="692" name="TextBox 691"/>
        <xdr:cNvSpPr txBox="1"/>
      </xdr:nvSpPr>
      <xdr:spPr>
        <a:xfrm>
          <a:off x="26653991" y="13154751"/>
          <a:ext cx="3993296" cy="5476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удовлетворение потребности плазмы в частицах (</a:t>
          </a:r>
          <a:r>
            <a:rPr lang="en-US" sz="1400" b="1" i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ru-RU" sz="1400" b="1" i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и </a:t>
          </a:r>
          <a:r>
            <a:rPr lang="en-US" sz="1400" b="1" i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D)</a:t>
          </a:r>
          <a:r>
            <a:rPr lang="ru-RU" sz="1400" b="1" i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системами инжекции</a:t>
          </a:r>
          <a:endParaRPr lang="en-US" sz="1400" b="1" i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49864</xdr:colOff>
      <xdr:row>68</xdr:row>
      <xdr:rowOff>17929</xdr:rowOff>
    </xdr:from>
    <xdr:to>
      <xdr:col>39</xdr:col>
      <xdr:colOff>735105</xdr:colOff>
      <xdr:row>83</xdr:row>
      <xdr:rowOff>33617</xdr:rowOff>
    </xdr:to>
    <xdr:sp macro="" textlink="">
      <xdr:nvSpPr>
        <xdr:cNvPr id="701" name="Прямоугольник 700"/>
        <xdr:cNvSpPr/>
      </xdr:nvSpPr>
      <xdr:spPr>
        <a:xfrm>
          <a:off x="28221452" y="13958047"/>
          <a:ext cx="685241" cy="3052482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40</xdr:col>
      <xdr:colOff>22970</xdr:colOff>
      <xdr:row>68</xdr:row>
      <xdr:rowOff>13447</xdr:rowOff>
    </xdr:from>
    <xdr:to>
      <xdr:col>41</xdr:col>
      <xdr:colOff>11206</xdr:colOff>
      <xdr:row>83</xdr:row>
      <xdr:rowOff>33617</xdr:rowOff>
    </xdr:to>
    <xdr:sp macro="" textlink="">
      <xdr:nvSpPr>
        <xdr:cNvPr id="703" name="Прямоугольник 702"/>
        <xdr:cNvSpPr/>
      </xdr:nvSpPr>
      <xdr:spPr>
        <a:xfrm>
          <a:off x="28934146" y="13953565"/>
          <a:ext cx="783854" cy="3056964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31</xdr:col>
      <xdr:colOff>89647</xdr:colOff>
      <xdr:row>70</xdr:row>
      <xdr:rowOff>44825</xdr:rowOff>
    </xdr:from>
    <xdr:to>
      <xdr:col>36</xdr:col>
      <xdr:colOff>661147</xdr:colOff>
      <xdr:row>82</xdr:row>
      <xdr:rowOff>44824</xdr:rowOff>
    </xdr:to>
    <xdr:graphicFrame macro="">
      <xdr:nvGraphicFramePr>
        <xdr:cNvPr id="704" name="Диаграмма 7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4</xdr:row>
      <xdr:rowOff>180975</xdr:rowOff>
    </xdr:from>
    <xdr:to>
      <xdr:col>33</xdr:col>
      <xdr:colOff>9525</xdr:colOff>
      <xdr:row>25</xdr:row>
      <xdr:rowOff>9525</xdr:rowOff>
    </xdr:to>
    <xdr:sp macro="" textlink="">
      <xdr:nvSpPr>
        <xdr:cNvPr id="512" name="Прямоугольник 511"/>
        <xdr:cNvSpPr/>
      </xdr:nvSpPr>
      <xdr:spPr>
        <a:xfrm>
          <a:off x="23084118" y="1021416"/>
          <a:ext cx="704289" cy="4109197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394606</xdr:colOff>
      <xdr:row>81</xdr:row>
      <xdr:rowOff>32820</xdr:rowOff>
    </xdr:from>
    <xdr:to>
      <xdr:col>30</xdr:col>
      <xdr:colOff>557893</xdr:colOff>
      <xdr:row>92</xdr:row>
      <xdr:rowOff>48826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32818</xdr:colOff>
      <xdr:row>1</xdr:row>
      <xdr:rowOff>0</xdr:rowOff>
    </xdr:from>
    <xdr:to>
      <xdr:col>25</xdr:col>
      <xdr:colOff>13606</xdr:colOff>
      <xdr:row>6</xdr:row>
      <xdr:rowOff>36020</xdr:rowOff>
    </xdr:to>
    <xdr:sp macro="" textlink="">
      <xdr:nvSpPr>
        <xdr:cNvPr id="519" name="Прямоугольник 518"/>
        <xdr:cNvSpPr/>
      </xdr:nvSpPr>
      <xdr:spPr>
        <a:xfrm>
          <a:off x="17286675" y="204107"/>
          <a:ext cx="701967" cy="1097377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421820</xdr:colOff>
      <xdr:row>57</xdr:row>
      <xdr:rowOff>163287</xdr:rowOff>
    </xdr:from>
    <xdr:to>
      <xdr:col>30</xdr:col>
      <xdr:colOff>530678</xdr:colOff>
      <xdr:row>68</xdr:row>
      <xdr:rowOff>138472</xdr:rowOff>
    </xdr:to>
    <xdr:graphicFrame macro="">
      <xdr:nvGraphicFramePr>
        <xdr:cNvPr id="503" name="Диаграмма 5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8325</xdr:colOff>
      <xdr:row>1</xdr:row>
      <xdr:rowOff>2722</xdr:rowOff>
    </xdr:from>
    <xdr:to>
      <xdr:col>27</xdr:col>
      <xdr:colOff>29936</xdr:colOff>
      <xdr:row>6</xdr:row>
      <xdr:rowOff>38742</xdr:rowOff>
    </xdr:to>
    <xdr:sp macro="" textlink="">
      <xdr:nvSpPr>
        <xdr:cNvPr id="515" name="Прямоугольник 514"/>
        <xdr:cNvSpPr/>
      </xdr:nvSpPr>
      <xdr:spPr>
        <a:xfrm>
          <a:off x="18731754" y="206829"/>
          <a:ext cx="701968" cy="1097377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ru-RU" sz="11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25</xdr:col>
      <xdr:colOff>39221</xdr:colOff>
      <xdr:row>1</xdr:row>
      <xdr:rowOff>882</xdr:rowOff>
    </xdr:from>
    <xdr:to>
      <xdr:col>25</xdr:col>
      <xdr:colOff>742710</xdr:colOff>
      <xdr:row>6</xdr:row>
      <xdr:rowOff>40823</xdr:rowOff>
    </xdr:to>
    <xdr:sp macro="" textlink="">
      <xdr:nvSpPr>
        <xdr:cNvPr id="516" name="Прямоугольник 515"/>
        <xdr:cNvSpPr/>
      </xdr:nvSpPr>
      <xdr:spPr>
        <a:xfrm>
          <a:off x="18014257" y="204989"/>
          <a:ext cx="703489" cy="1101298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421819</xdr:colOff>
      <xdr:row>69</xdr:row>
      <xdr:rowOff>54430</xdr:rowOff>
    </xdr:from>
    <xdr:to>
      <xdr:col>30</xdr:col>
      <xdr:colOff>530678</xdr:colOff>
      <xdr:row>80</xdr:row>
      <xdr:rowOff>66289</xdr:rowOff>
    </xdr:to>
    <xdr:graphicFrame macro="">
      <xdr:nvGraphicFramePr>
        <xdr:cNvPr id="520" name="Диаграмма 5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639434</xdr:colOff>
      <xdr:row>3</xdr:row>
      <xdr:rowOff>23813</xdr:rowOff>
    </xdr:from>
    <xdr:to>
      <xdr:col>11</xdr:col>
      <xdr:colOff>309560</xdr:colOff>
      <xdr:row>5</xdr:row>
      <xdr:rowOff>109256</xdr:rowOff>
    </xdr:to>
    <xdr:sp macro="" textlink="">
      <xdr:nvSpPr>
        <xdr:cNvPr id="517" name="TextBox 516"/>
        <xdr:cNvSpPr txBox="1"/>
      </xdr:nvSpPr>
      <xdr:spPr>
        <a:xfrm>
          <a:off x="6747340" y="631032"/>
          <a:ext cx="1110783" cy="525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i="0" baseline="0"/>
            <a:t>резервное хранилище</a:t>
          </a:r>
          <a:endParaRPr lang="en-US" sz="1100" b="1" i="1" baseline="0"/>
        </a:p>
      </xdr:txBody>
    </xdr:sp>
    <xdr:clientData/>
  </xdr:twoCellAnchor>
  <xdr:twoCellAnchor>
    <xdr:from>
      <xdr:col>8</xdr:col>
      <xdr:colOff>375097</xdr:colOff>
      <xdr:row>3</xdr:row>
      <xdr:rowOff>21424</xdr:rowOff>
    </xdr:from>
    <xdr:to>
      <xdr:col>10</xdr:col>
      <xdr:colOff>69036</xdr:colOff>
      <xdr:row>5</xdr:row>
      <xdr:rowOff>106867</xdr:rowOff>
    </xdr:to>
    <xdr:sp macro="" textlink="">
      <xdr:nvSpPr>
        <xdr:cNvPr id="521" name="TextBox 520"/>
        <xdr:cNvSpPr txBox="1"/>
      </xdr:nvSpPr>
      <xdr:spPr>
        <a:xfrm>
          <a:off x="5792441" y="628643"/>
          <a:ext cx="1110783" cy="525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i="0" baseline="0"/>
            <a:t>стартовое хранилище</a:t>
          </a:r>
          <a:endParaRPr lang="en-US" sz="1100" b="1" i="1" baseline="0"/>
        </a:p>
      </xdr:txBody>
    </xdr:sp>
    <xdr:clientData/>
  </xdr:twoCellAnchor>
  <xdr:twoCellAnchor>
    <xdr:from>
      <xdr:col>1</xdr:col>
      <xdr:colOff>265562</xdr:colOff>
      <xdr:row>0</xdr:row>
      <xdr:rowOff>185731</xdr:rowOff>
    </xdr:from>
    <xdr:to>
      <xdr:col>3</xdr:col>
      <xdr:colOff>285752</xdr:colOff>
      <xdr:row>3</xdr:row>
      <xdr:rowOff>104486</xdr:rowOff>
    </xdr:to>
    <xdr:sp macro="" textlink="">
      <xdr:nvSpPr>
        <xdr:cNvPr id="522" name="TextBox 521"/>
        <xdr:cNvSpPr txBox="1"/>
      </xdr:nvSpPr>
      <xdr:spPr>
        <a:xfrm>
          <a:off x="884687" y="185731"/>
          <a:ext cx="1317971" cy="525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i="0" baseline="0"/>
            <a:t>долговременное хранилище</a:t>
          </a:r>
          <a:endParaRPr lang="en-US" sz="1100" b="1" i="1" baseline="0"/>
        </a:p>
      </xdr:txBody>
    </xdr:sp>
    <xdr:clientData/>
  </xdr:twoCellAnchor>
  <xdr:twoCellAnchor>
    <xdr:from>
      <xdr:col>24</xdr:col>
      <xdr:colOff>0</xdr:colOff>
      <xdr:row>81</xdr:row>
      <xdr:rowOff>73640</xdr:rowOff>
    </xdr:from>
    <xdr:to>
      <xdr:col>27</xdr:col>
      <xdr:colOff>190500</xdr:colOff>
      <xdr:row>92</xdr:row>
      <xdr:rowOff>89646</xdr:rowOff>
    </xdr:to>
    <xdr:graphicFrame macro="">
      <xdr:nvGraphicFramePr>
        <xdr:cNvPr id="591" name="Диаграмма 5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27214</xdr:colOff>
      <xdr:row>58</xdr:row>
      <xdr:rowOff>0</xdr:rowOff>
    </xdr:from>
    <xdr:to>
      <xdr:col>27</xdr:col>
      <xdr:colOff>204107</xdr:colOff>
      <xdr:row>68</xdr:row>
      <xdr:rowOff>179292</xdr:rowOff>
    </xdr:to>
    <xdr:graphicFrame macro="">
      <xdr:nvGraphicFramePr>
        <xdr:cNvPr id="592" name="Диаграмма 5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27213</xdr:colOff>
      <xdr:row>69</xdr:row>
      <xdr:rowOff>95250</xdr:rowOff>
    </xdr:from>
    <xdr:to>
      <xdr:col>27</xdr:col>
      <xdr:colOff>204107</xdr:colOff>
      <xdr:row>80</xdr:row>
      <xdr:rowOff>107109</xdr:rowOff>
    </xdr:to>
    <xdr:graphicFrame macro="">
      <xdr:nvGraphicFramePr>
        <xdr:cNvPr id="599" name="Диаграмма 5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307361</xdr:colOff>
      <xdr:row>22</xdr:row>
      <xdr:rowOff>100853</xdr:rowOff>
    </xdr:from>
    <xdr:to>
      <xdr:col>39</xdr:col>
      <xdr:colOff>405814</xdr:colOff>
      <xdr:row>32</xdr:row>
      <xdr:rowOff>190498</xdr:rowOff>
    </xdr:to>
    <xdr:graphicFrame macro="">
      <xdr:nvGraphicFramePr>
        <xdr:cNvPr id="500" name="Диаграмма 4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39</xdr:col>
      <xdr:colOff>493058</xdr:colOff>
      <xdr:row>22</xdr:row>
      <xdr:rowOff>100853</xdr:rowOff>
    </xdr:from>
    <xdr:to>
      <xdr:col>42</xdr:col>
      <xdr:colOff>557893</xdr:colOff>
      <xdr:row>32</xdr:row>
      <xdr:rowOff>190498</xdr:rowOff>
    </xdr:to>
    <xdr:graphicFrame macro="">
      <xdr:nvGraphicFramePr>
        <xdr:cNvPr id="621" name="Диаграмма 6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100853</xdr:colOff>
      <xdr:row>33</xdr:row>
      <xdr:rowOff>145676</xdr:rowOff>
    </xdr:from>
    <xdr:to>
      <xdr:col>41</xdr:col>
      <xdr:colOff>154482</xdr:colOff>
      <xdr:row>44</xdr:row>
      <xdr:rowOff>123261</xdr:rowOff>
    </xdr:to>
    <xdr:graphicFrame macro="">
      <xdr:nvGraphicFramePr>
        <xdr:cNvPr id="623" name="Диаграмма 6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0.45854</cdr:x>
      <cdr:y>0.19355</cdr:y>
    </cdr:from>
    <cdr:to>
      <cdr:x>0.98537</cdr:x>
      <cdr:y>0.30415</cdr:y>
    </cdr:to>
    <cdr:sp macro="" textlink="">
      <cdr:nvSpPr>
        <cdr:cNvPr id="2" name="TextBox 737"/>
        <cdr:cNvSpPr txBox="1"/>
      </cdr:nvSpPr>
      <cdr:spPr>
        <a:xfrm xmlns:a="http://schemas.openxmlformats.org/drawingml/2006/main">
          <a:off x="2106706" y="470648"/>
          <a:ext cx="2420471" cy="2689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Nplasma </a:t>
          </a:r>
          <a:r>
            <a:rPr lang="ru-RU" sz="14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ДЕЙТЕРИЙ</a:t>
          </a:r>
          <a:endParaRPr lang="en-US" sz="1400" b="1" i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0;&#1089;&#1093;&#1086;&#1076;&#1085;&#1099;&#1077;%20&#1076;&#1072;&#1085;&#1085;&#1099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0;&#1085;&#1072;&#1084;&#1080;&#1082;&#1072;%20&#1080;&#1079;&#1086;&#1090;&#1086;&#1087;&#1086;&#1074;%20&#1074;%20&#1058;&#106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0;&#1085;&#1072;&#1084;&#1080;&#1082;&#1072;%20&#1090;&#1088;&#1080;&#1090;&#1080;&#1103;%20&#1074;%20&#1080;&#1085;&#1078;&#1077;&#1082;&#1090;&#1086;&#1088;&#1072;&#109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101;&#1083;&#1077;&#1084;&#1077;&#1085;&#1090;&#1099;&#1081;%20&#1088;&#1072;&#1089;&#1095;&#1077;&#1090;%20&#1089;&#1080;&#1089;&#1090;&#1077;&#108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itium%20breed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0;&#1085;&#1072;&#1084;&#1080;&#1082;&#1072;%20&#1087;&#1088;&#1086;&#1090;&#1080;&#1103;%20&#1074;%20&#1058;&#106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скан параметров"/>
      <sheetName val="ASTRA"/>
      <sheetName val="параметры установок"/>
      <sheetName val="выдача"/>
      <sheetName val="Лист2"/>
    </sheetNames>
    <sheetDataSet>
      <sheetData sheetId="0">
        <row r="1">
          <cell r="C1" t="str">
            <v>ДЕМО-ТИН</v>
          </cell>
        </row>
        <row r="2">
          <cell r="S2">
            <v>3.9300000000000003E-3</v>
          </cell>
          <cell r="T2">
            <v>1</v>
          </cell>
          <cell r="U2">
            <v>-0.24199999999999999</v>
          </cell>
          <cell r="V2">
            <v>-1.5129999999999999</v>
          </cell>
        </row>
        <row r="3">
          <cell r="C3">
            <v>270</v>
          </cell>
          <cell r="K3">
            <v>0.91</v>
          </cell>
          <cell r="N3">
            <v>2.3872799904378641</v>
          </cell>
        </row>
        <row r="4">
          <cell r="C4">
            <v>286</v>
          </cell>
          <cell r="S4">
            <v>3.2000000000000001E-2</v>
          </cell>
          <cell r="T4">
            <v>0.122</v>
          </cell>
          <cell r="U4">
            <v>0.53700000000000003</v>
          </cell>
          <cell r="V4">
            <v>-0.20399999999999999</v>
          </cell>
        </row>
        <row r="5">
          <cell r="C5">
            <v>133</v>
          </cell>
        </row>
        <row r="6">
          <cell r="C6">
            <v>180</v>
          </cell>
        </row>
        <row r="7">
          <cell r="C7">
            <v>17.27875959474386</v>
          </cell>
          <cell r="S7">
            <v>933</v>
          </cell>
          <cell r="T7">
            <v>0.55000000000000004</v>
          </cell>
          <cell r="U7">
            <v>-8.2000000000000003E-2</v>
          </cell>
          <cell r="V7">
            <v>0.91200000000000003</v>
          </cell>
        </row>
        <row r="8">
          <cell r="C8">
            <v>2</v>
          </cell>
        </row>
        <row r="9">
          <cell r="C9">
            <v>30</v>
          </cell>
        </row>
        <row r="11">
          <cell r="C11">
            <v>8E+19</v>
          </cell>
          <cell r="K11">
            <v>3.3784425695498887E+19</v>
          </cell>
        </row>
        <row r="12">
          <cell r="C12">
            <v>2.4607574272048387</v>
          </cell>
          <cell r="K12">
            <v>4.5967806300646621E+19</v>
          </cell>
        </row>
        <row r="13">
          <cell r="C13">
            <v>6.4716265525384389E+19</v>
          </cell>
        </row>
        <row r="14">
          <cell r="C14">
            <v>1.1784920981299063E+19</v>
          </cell>
        </row>
        <row r="15">
          <cell r="K15">
            <v>6.4716265525384389E+19</v>
          </cell>
        </row>
        <row r="16">
          <cell r="C16">
            <v>33.165596022411073</v>
          </cell>
        </row>
        <row r="17">
          <cell r="C17">
            <v>36.385680359718272</v>
          </cell>
        </row>
        <row r="18">
          <cell r="C18">
            <v>788.12959684333293</v>
          </cell>
        </row>
        <row r="21">
          <cell r="C21">
            <v>50</v>
          </cell>
          <cell r="F21">
            <v>0.78118838449983641</v>
          </cell>
        </row>
        <row r="22">
          <cell r="C22">
            <v>50</v>
          </cell>
          <cell r="F22">
            <v>0.44463676113951001</v>
          </cell>
        </row>
        <row r="23">
          <cell r="C23">
            <v>0.5</v>
          </cell>
          <cell r="F23">
            <v>3.1060425913463599E-2</v>
          </cell>
        </row>
        <row r="24">
          <cell r="C24">
            <v>0.5</v>
          </cell>
          <cell r="F24">
            <v>0.36111306131804349</v>
          </cell>
        </row>
        <row r="25">
          <cell r="C25">
            <v>2.5090617407398321</v>
          </cell>
        </row>
        <row r="27">
          <cell r="C27">
            <v>1.2</v>
          </cell>
        </row>
        <row r="28">
          <cell r="C28">
            <v>20</v>
          </cell>
        </row>
        <row r="30">
          <cell r="C30">
            <v>6</v>
          </cell>
        </row>
        <row r="31">
          <cell r="C31">
            <v>6</v>
          </cell>
          <cell r="F31">
            <v>4</v>
          </cell>
        </row>
        <row r="32">
          <cell r="C32">
            <v>30</v>
          </cell>
        </row>
        <row r="33">
          <cell r="C33">
            <v>500</v>
          </cell>
          <cell r="K33">
            <v>1.5E+24</v>
          </cell>
        </row>
        <row r="34">
          <cell r="C34">
            <v>10</v>
          </cell>
        </row>
        <row r="35">
          <cell r="C35">
            <v>0.8</v>
          </cell>
          <cell r="K35">
            <v>0</v>
          </cell>
        </row>
        <row r="36">
          <cell r="C36">
            <v>0.4</v>
          </cell>
        </row>
        <row r="37">
          <cell r="C37">
            <v>4.5</v>
          </cell>
          <cell r="K37">
            <v>0</v>
          </cell>
        </row>
        <row r="38">
          <cell r="C38">
            <v>19.5</v>
          </cell>
        </row>
        <row r="39">
          <cell r="C39">
            <v>0.6</v>
          </cell>
        </row>
        <row r="40">
          <cell r="C40">
            <v>0.8</v>
          </cell>
        </row>
        <row r="41">
          <cell r="C41">
            <v>20</v>
          </cell>
        </row>
        <row r="43">
          <cell r="C43">
            <v>1</v>
          </cell>
          <cell r="H43">
            <v>0.2</v>
          </cell>
          <cell r="I43">
            <v>0.1</v>
          </cell>
        </row>
        <row r="44">
          <cell r="C44">
            <v>1</v>
          </cell>
          <cell r="F44">
            <v>0</v>
          </cell>
          <cell r="I44">
            <v>0.1</v>
          </cell>
        </row>
        <row r="45">
          <cell r="C45">
            <v>8.8986461395615759</v>
          </cell>
        </row>
        <row r="46">
          <cell r="C46">
            <v>8.8986461395615759</v>
          </cell>
        </row>
        <row r="47">
          <cell r="C47">
            <v>9.3181793817417535</v>
          </cell>
        </row>
        <row r="48">
          <cell r="C48">
            <v>8.8986461395615706</v>
          </cell>
        </row>
        <row r="49">
          <cell r="C49">
            <v>8.8986461395615706</v>
          </cell>
        </row>
        <row r="50">
          <cell r="C50">
            <v>8.4791128973813912</v>
          </cell>
        </row>
        <row r="51">
          <cell r="C51">
            <v>2.8446965475698067</v>
          </cell>
          <cell r="F51">
            <v>18.070804763144316</v>
          </cell>
        </row>
        <row r="52">
          <cell r="C52">
            <v>2.8329414690653585</v>
          </cell>
          <cell r="F52">
            <v>17.847708408043779</v>
          </cell>
        </row>
        <row r="54">
          <cell r="C54">
            <v>1</v>
          </cell>
        </row>
        <row r="55">
          <cell r="C55">
            <v>1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1.3657989661467536</v>
          </cell>
          <cell r="F58">
            <v>2</v>
          </cell>
        </row>
        <row r="59">
          <cell r="C59">
            <v>1.3657989661467536</v>
          </cell>
          <cell r="F59">
            <v>2</v>
          </cell>
        </row>
        <row r="61">
          <cell r="C61">
            <v>100</v>
          </cell>
        </row>
        <row r="62">
          <cell r="C62">
            <v>8.5999999999999993E-2</v>
          </cell>
        </row>
        <row r="63">
          <cell r="C63">
            <v>0.16200000000000001</v>
          </cell>
        </row>
        <row r="64">
          <cell r="C64">
            <v>0.24</v>
          </cell>
        </row>
        <row r="66">
          <cell r="C66">
            <v>90</v>
          </cell>
        </row>
        <row r="67">
          <cell r="C67">
            <v>90</v>
          </cell>
        </row>
        <row r="68">
          <cell r="C68">
            <v>50</v>
          </cell>
        </row>
        <row r="70">
          <cell r="C70">
            <v>100</v>
          </cell>
        </row>
        <row r="71">
          <cell r="C71">
            <v>20</v>
          </cell>
        </row>
        <row r="72">
          <cell r="C72">
            <v>2</v>
          </cell>
        </row>
        <row r="74">
          <cell r="C74">
            <v>1</v>
          </cell>
        </row>
        <row r="75">
          <cell r="C75">
            <v>8</v>
          </cell>
        </row>
        <row r="76">
          <cell r="C76">
            <v>8</v>
          </cell>
        </row>
        <row r="78">
          <cell r="C78">
            <v>0.01</v>
          </cell>
          <cell r="R78">
            <v>10</v>
          </cell>
        </row>
        <row r="79">
          <cell r="C79">
            <v>1.8480000000000001</v>
          </cell>
          <cell r="R79">
            <v>20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динамика изотопов в ТЦ"/>
      <sheetName val="изменение параметров"/>
    </sheetNames>
    <sheetDataSet>
      <sheetData sheetId="0">
        <row r="5">
          <cell r="K5">
            <v>121.03</v>
          </cell>
        </row>
      </sheetData>
      <sheetData sheetId="1">
        <row r="1">
          <cell r="CV1">
            <v>0</v>
          </cell>
          <cell r="DS1" t="str">
            <v>NBIs</v>
          </cell>
          <cell r="DV1" t="str">
            <v>PIS</v>
          </cell>
        </row>
        <row r="2">
          <cell r="J2">
            <v>6.4716265525384389E+19</v>
          </cell>
          <cell r="K2">
            <v>6.4716265525384389E+19</v>
          </cell>
          <cell r="L2">
            <v>6.4716265525384389E+19</v>
          </cell>
        </row>
        <row r="3">
          <cell r="J3">
            <v>0</v>
          </cell>
          <cell r="K3">
            <v>0</v>
          </cell>
          <cell r="L3">
            <v>0</v>
          </cell>
        </row>
        <row r="4">
          <cell r="DV4" t="str">
            <v xml:space="preserve">тритий </v>
          </cell>
          <cell r="EF4" t="str">
            <v>дейтерий</v>
          </cell>
        </row>
        <row r="6">
          <cell r="N6">
            <v>3.9163048082686361E+21</v>
          </cell>
          <cell r="O6">
            <v>3.9163048082686361E+21</v>
          </cell>
          <cell r="P6">
            <v>3.9163048082686361E+21</v>
          </cell>
          <cell r="Q6">
            <v>3.9163048082686361E+21</v>
          </cell>
          <cell r="R6">
            <v>3.9163048082686361E+21</v>
          </cell>
          <cell r="S6">
            <v>3.9163048082686361E+21</v>
          </cell>
          <cell r="U6">
            <v>2.0444645209631152E+21</v>
          </cell>
          <cell r="X6">
            <v>2.0444645209631152E+21</v>
          </cell>
          <cell r="AB6">
            <v>1.1784920981299063E+19</v>
          </cell>
          <cell r="AC6">
            <v>1.1784920981299063E+19</v>
          </cell>
          <cell r="AD6">
            <v>1.1784920981299063E+19</v>
          </cell>
          <cell r="AE6">
            <v>1.1784920981299063E+19</v>
          </cell>
          <cell r="AF6">
            <v>1.1784920981299063E+19</v>
          </cell>
          <cell r="AG6">
            <v>1.1784920981299063E+19</v>
          </cell>
          <cell r="AI6">
            <v>1.1162947416967056E+21</v>
          </cell>
          <cell r="AJ6">
            <v>1.1162947416967056E+21</v>
          </cell>
          <cell r="AK6">
            <v>1.1162947416967056E+21</v>
          </cell>
          <cell r="AL6">
            <v>1.1162947416967056E+21</v>
          </cell>
          <cell r="AM6">
            <v>1.1162947416967056E+21</v>
          </cell>
          <cell r="AN6">
            <v>1.1162947416967056E+21</v>
          </cell>
          <cell r="AW6">
            <v>2.0833333333333334E+20</v>
          </cell>
          <cell r="AX6">
            <v>2.0833333333333334E+20</v>
          </cell>
          <cell r="AY6">
            <v>0</v>
          </cell>
          <cell r="AZ6">
            <v>2.0833333333333334E+20</v>
          </cell>
          <cell r="BA6">
            <v>2.0833333333333334E+20</v>
          </cell>
          <cell r="BB6">
            <v>4.1666666666666669E+20</v>
          </cell>
          <cell r="BD6">
            <v>1.875E+20</v>
          </cell>
          <cell r="BE6">
            <v>1.875E+20</v>
          </cell>
          <cell r="BF6">
            <v>0</v>
          </cell>
          <cell r="BG6">
            <v>1.875E+20</v>
          </cell>
          <cell r="BH6">
            <v>1.875E+20</v>
          </cell>
          <cell r="BI6">
            <v>3.75E+20</v>
          </cell>
          <cell r="BK6">
            <v>14.172582114362344</v>
          </cell>
          <cell r="BL6">
            <v>14.172582114362344</v>
          </cell>
          <cell r="BM6">
            <v>14.396039295493541</v>
          </cell>
          <cell r="BN6">
            <v>14.172582114362335</v>
          </cell>
          <cell r="BO6">
            <v>14.172582114362335</v>
          </cell>
          <cell r="BP6">
            <v>13.949124933231133</v>
          </cell>
          <cell r="BY6">
            <v>6.9699621326892271E+21</v>
          </cell>
          <cell r="BZ6">
            <v>6.9699621326892271E+21</v>
          </cell>
          <cell r="CA6">
            <v>7.2985661434049782E+21</v>
          </cell>
          <cell r="CB6">
            <v>6.9699621326892271E+21</v>
          </cell>
          <cell r="CC6">
            <v>6.9699621326892271E+21</v>
          </cell>
          <cell r="CD6">
            <v>6.6413581219734739E+21</v>
          </cell>
          <cell r="CT6">
            <v>6.5518028411816756E+21</v>
          </cell>
          <cell r="CU6">
            <v>6.5518028411816756E+21</v>
          </cell>
          <cell r="CV6">
            <v>6.3950206070530622E+21</v>
          </cell>
          <cell r="CW6">
            <v>6.5518028411816756E+21</v>
          </cell>
          <cell r="CX6">
            <v>6.5518028411816756E+21</v>
          </cell>
          <cell r="CY6">
            <v>6.7085850753102911E+21</v>
          </cell>
          <cell r="DE6">
            <v>8.2619719534046337E+21</v>
          </cell>
          <cell r="DF6">
            <v>8.2619719534046337E+21</v>
          </cell>
          <cell r="DG6">
            <v>8.4030759641203847E+21</v>
          </cell>
          <cell r="DH6">
            <v>8.2619719534046337E+21</v>
          </cell>
          <cell r="DI6">
            <v>8.2619719534046337E+21</v>
          </cell>
          <cell r="DJ6">
            <v>8.1208679426888806E+21</v>
          </cell>
          <cell r="DS6">
            <v>1.661007386240667E-2</v>
          </cell>
          <cell r="DT6">
            <v>1.661007386240667E-2</v>
          </cell>
          <cell r="DU6">
            <v>0</v>
          </cell>
          <cell r="DV6">
            <v>0.61744845782477642</v>
          </cell>
          <cell r="DX6">
            <v>0.64727382236714692</v>
          </cell>
          <cell r="DZ6">
            <v>0.63405853168718307</v>
          </cell>
          <cell r="EA6">
            <v>0.63405853168718307</v>
          </cell>
          <cell r="EB6">
            <v>0.64727382236714692</v>
          </cell>
          <cell r="EC6">
            <v>1.661007386240667E-2</v>
          </cell>
          <cell r="ED6">
            <v>1.661007386240667E-2</v>
          </cell>
          <cell r="EE6">
            <v>3.3183476724627993E-2</v>
          </cell>
          <cell r="EF6">
            <v>0.61744845782477642</v>
          </cell>
          <cell r="EG6">
            <v>0.61744845782477642</v>
          </cell>
          <cell r="EH6">
            <v>0.58768894042780229</v>
          </cell>
          <cell r="EJ6">
            <v>0.63405853168718307</v>
          </cell>
          <cell r="EK6">
            <v>0.63405853168718307</v>
          </cell>
          <cell r="EL6">
            <v>0.62087241715243024</v>
          </cell>
          <cell r="EN6">
            <v>7.3470764114804778E+21</v>
          </cell>
          <cell r="EO6">
            <v>7.3470764114804778E+21</v>
          </cell>
          <cell r="EP6">
            <v>7.2059724007647268E+21</v>
          </cell>
          <cell r="EQ6">
            <v>7.3470764114804778E+21</v>
          </cell>
          <cell r="ER6">
            <v>7.3470764114804778E+21</v>
          </cell>
          <cell r="ES6">
            <v>7.4881804221962319E+21</v>
          </cell>
          <cell r="FB6">
            <v>1.4492753623188406E+22</v>
          </cell>
          <cell r="FC6">
            <v>1.4492753623188406E+22</v>
          </cell>
          <cell r="FD6">
            <v>1.4492753623188406E+22</v>
          </cell>
          <cell r="FE6">
            <v>1.4492753623188406E+22</v>
          </cell>
          <cell r="FF6">
            <v>1.4492753623188406E+22</v>
          </cell>
          <cell r="FG6">
            <v>1.4492753623188406E+22</v>
          </cell>
          <cell r="HH6">
            <v>0.51305531221796552</v>
          </cell>
          <cell r="HI6">
            <v>0.50549204950835669</v>
          </cell>
          <cell r="HK6">
            <v>0</v>
          </cell>
          <cell r="HL6">
            <v>0</v>
          </cell>
          <cell r="HM6">
            <v>-3.2751167131461701E+20</v>
          </cell>
        </row>
        <row r="7">
          <cell r="J7">
            <v>6.3473440049385726E+19</v>
          </cell>
          <cell r="K7">
            <v>6.3473440049385726E+19</v>
          </cell>
          <cell r="L7">
            <v>6.347344004938571E+19</v>
          </cell>
          <cell r="N7">
            <v>4.0054872637940564E+21</v>
          </cell>
          <cell r="O7">
            <v>4.0054872637940564E+21</v>
          </cell>
          <cell r="P7">
            <v>4.0100432660958198E+21</v>
          </cell>
          <cell r="Q7">
            <v>3.6767031853830976E+21</v>
          </cell>
          <cell r="R7">
            <v>3.6767031853830976E+21</v>
          </cell>
          <cell r="S7">
            <v>3.6721471830813327E+21</v>
          </cell>
        </row>
        <row r="8">
          <cell r="J8">
            <v>6.3050337975489348E+19</v>
          </cell>
          <cell r="K8">
            <v>6.3050337975489348E+19</v>
          </cell>
          <cell r="L8">
            <v>6.3050337975489331E+19</v>
          </cell>
          <cell r="N8">
            <v>4.0479978959006492E+21</v>
          </cell>
          <cell r="O8">
            <v>4.0479978959006492E+21</v>
          </cell>
          <cell r="P8">
            <v>4.0547697642639034E+21</v>
          </cell>
          <cell r="Q8">
            <v>3.5829845092728261E+21</v>
          </cell>
          <cell r="R8">
            <v>3.5829845092728261E+21</v>
          </cell>
          <cell r="S8">
            <v>3.5762126409095709E+21</v>
          </cell>
        </row>
        <row r="9">
          <cell r="J9">
            <v>6.2749024401659945E+19</v>
          </cell>
          <cell r="K9">
            <v>6.2749024401659945E+19</v>
          </cell>
          <cell r="L9">
            <v>6.2749024401659912E+19</v>
          </cell>
          <cell r="N9">
            <v>4.0766239398207852E+21</v>
          </cell>
          <cell r="O9">
            <v>4.0766239398207852E+21</v>
          </cell>
          <cell r="P9">
            <v>4.0849122202755478E+21</v>
          </cell>
          <cell r="Q9">
            <v>3.5178904835121181E+21</v>
          </cell>
          <cell r="R9">
            <v>3.5178904835121181E+21</v>
          </cell>
          <cell r="S9">
            <v>3.5096022030573518E+21</v>
          </cell>
        </row>
        <row r="10">
          <cell r="J10">
            <v>6.2535818159393989E+19</v>
          </cell>
          <cell r="K10">
            <v>6.2535818159393989E+19</v>
          </cell>
          <cell r="L10">
            <v>6.2535818159393997E+19</v>
          </cell>
          <cell r="N10">
            <v>4.0964302108374425E+21</v>
          </cell>
          <cell r="O10">
            <v>4.0964302108374419E+21</v>
          </cell>
          <cell r="P10">
            <v>4.1057805390549337E+21</v>
          </cell>
          <cell r="Q10">
            <v>3.4722798609940129E+21</v>
          </cell>
          <cell r="R10">
            <v>3.4722798609940129E+21</v>
          </cell>
          <cell r="S10">
            <v>3.4629295327765222E+21</v>
          </cell>
        </row>
        <row r="11">
          <cell r="J11">
            <v>6.2383232709027832E+19</v>
          </cell>
          <cell r="K11">
            <v>6.238323270902784E+19</v>
          </cell>
          <cell r="L11">
            <v>6.2383232709027832E+19</v>
          </cell>
          <cell r="N11">
            <v>4.1104985492999032E+21</v>
          </cell>
          <cell r="O11">
            <v>4.1104985492999027E+21</v>
          </cell>
          <cell r="P11">
            <v>4.1206101625133764E+21</v>
          </cell>
          <cell r="Q11">
            <v>3.4397441054737359E+21</v>
          </cell>
          <cell r="R11">
            <v>3.439744105473737E+21</v>
          </cell>
          <cell r="S11">
            <v>3.4296324922602616E+21</v>
          </cell>
        </row>
        <row r="12">
          <cell r="J12">
            <v>6.2273191491058573E+19</v>
          </cell>
          <cell r="K12">
            <v>6.2273191491058565E+19</v>
          </cell>
          <cell r="L12">
            <v>6.2273191491058557E+19</v>
          </cell>
          <cell r="N12">
            <v>4.1207096043946639E+21</v>
          </cell>
          <cell r="O12">
            <v>4.1207096043946634E+21</v>
          </cell>
          <cell r="P12">
            <v>4.1313775482409273E+21</v>
          </cell>
          <cell r="Q12">
            <v>3.4162147617681551E+21</v>
          </cell>
          <cell r="R12">
            <v>3.4162147617681551E+21</v>
          </cell>
          <cell r="S12">
            <v>3.4055468179218901E+21</v>
          </cell>
        </row>
        <row r="13">
          <cell r="J13">
            <v>6.2193396375969448E+19</v>
          </cell>
          <cell r="K13">
            <v>6.2193396375969448E+19</v>
          </cell>
          <cell r="L13">
            <v>6.2193396375969448E+19</v>
          </cell>
          <cell r="N13">
            <v>4.1282656508355449E+21</v>
          </cell>
          <cell r="O13">
            <v>4.1282656508355438E+21</v>
          </cell>
          <cell r="P13">
            <v>4.1393473627814714E+21</v>
          </cell>
          <cell r="Q13">
            <v>3.3990011125480376E+21</v>
          </cell>
          <cell r="R13">
            <v>3.3990011125480387E+21</v>
          </cell>
          <cell r="S13">
            <v>3.3879194006021105E+21</v>
          </cell>
        </row>
        <row r="14">
          <cell r="J14">
            <v>6.2135305359981904E+19</v>
          </cell>
          <cell r="K14">
            <v>6.2135305359981904E+19</v>
          </cell>
          <cell r="L14">
            <v>6.2135305359981904E+19</v>
          </cell>
          <cell r="N14">
            <v>4.1339622029362835E+21</v>
          </cell>
          <cell r="O14">
            <v>4.1339622029362824E+21</v>
          </cell>
          <cell r="P14">
            <v>4.1453570318628967E+21</v>
          </cell>
          <cell r="Q14">
            <v>3.3862738047823265E+21</v>
          </cell>
          <cell r="R14">
            <v>3.3862738047823276E+21</v>
          </cell>
          <cell r="S14">
            <v>3.3748789758557128E+21</v>
          </cell>
        </row>
        <row r="15">
          <cell r="J15">
            <v>6.2092894116862894E+19</v>
          </cell>
          <cell r="K15">
            <v>6.2092894116862894E+19</v>
          </cell>
          <cell r="L15">
            <v>6.2092894116862894E+19</v>
          </cell>
          <cell r="N15">
            <v>4.1383396249982683E+21</v>
          </cell>
          <cell r="O15">
            <v>4.1383396249982678E+21</v>
          </cell>
          <cell r="P15">
            <v>4.1499757340432909E+21</v>
          </cell>
          <cell r="Q15">
            <v>3.3767633499656479E+21</v>
          </cell>
          <cell r="R15">
            <v>3.3767633499656484E+21</v>
          </cell>
          <cell r="S15">
            <v>3.3651272409206243E+21</v>
          </cell>
        </row>
        <row r="16">
          <cell r="J16">
            <v>6.2061866080560013E+19</v>
          </cell>
          <cell r="K16">
            <v>6.2061866080560013E+19</v>
          </cell>
          <cell r="L16">
            <v>6.2061866080560005E+19</v>
          </cell>
          <cell r="N16">
            <v>4.1417723469777758E+21</v>
          </cell>
          <cell r="O16">
            <v>4.1417723469777758E+21</v>
          </cell>
          <cell r="P16">
            <v>4.1535980547408407E+21</v>
          </cell>
          <cell r="Q16">
            <v>3.3695753047524025E+21</v>
          </cell>
          <cell r="R16">
            <v>3.3695753047524025E+21</v>
          </cell>
          <cell r="S16">
            <v>3.3577495969893366E+21</v>
          </cell>
        </row>
        <row r="17">
          <cell r="J17">
            <v>6.2039131599758557E+19</v>
          </cell>
          <cell r="K17">
            <v>6.2039131599758557E+19</v>
          </cell>
          <cell r="L17">
            <v>6.2039131599758574E+19</v>
          </cell>
          <cell r="N17">
            <v>4.1445237485127231E+21</v>
          </cell>
          <cell r="O17">
            <v>4.1445237485127231E+21</v>
          </cell>
          <cell r="P17">
            <v>4.1565016549413403E+21</v>
          </cell>
          <cell r="Q17">
            <v>3.3640723490060548E+21</v>
          </cell>
          <cell r="R17">
            <v>3.3640723490060548E+21</v>
          </cell>
          <cell r="S17">
            <v>3.3520944425774398E+21</v>
          </cell>
        </row>
        <row r="18">
          <cell r="J18">
            <v>6.2022455422470898E+19</v>
          </cell>
          <cell r="K18">
            <v>6.2022455422470898E+19</v>
          </cell>
          <cell r="L18">
            <v>6.2022455422470889E+19</v>
          </cell>
          <cell r="N18">
            <v>4.1467811988995871E+21</v>
          </cell>
          <cell r="O18">
            <v>4.1467811988995871E+21</v>
          </cell>
          <cell r="P18">
            <v>4.1588841203785967E+21</v>
          </cell>
          <cell r="Q18">
            <v>3.3597965808820662E+21</v>
          </cell>
          <cell r="R18">
            <v>3.3597965808820662E+21</v>
          </cell>
          <cell r="S18">
            <v>3.3476936594030555E+21</v>
          </cell>
        </row>
        <row r="19">
          <cell r="J19">
            <v>6.2010213206506201E+19</v>
          </cell>
          <cell r="K19">
            <v>6.2010213206506201E+19</v>
          </cell>
          <cell r="L19">
            <v>6.2010213206506201E+19</v>
          </cell>
          <cell r="N19">
            <v>4.1486791242523644E+21</v>
          </cell>
          <cell r="O19">
            <v>4.1486791242523644E+21</v>
          </cell>
          <cell r="P19">
            <v>4.1608872377086887E+21</v>
          </cell>
          <cell r="Q19">
            <v>3.3564169801310814E+21</v>
          </cell>
          <cell r="R19">
            <v>3.3564169801310814E+21</v>
          </cell>
          <cell r="S19">
            <v>3.3442088666747571E+21</v>
          </cell>
        </row>
        <row r="20">
          <cell r="J20">
            <v>6.2001220679769457E+19</v>
          </cell>
          <cell r="K20">
            <v>6.2001220679769457E+19</v>
          </cell>
          <cell r="L20">
            <v>6.2001220679769448E+19</v>
          </cell>
          <cell r="N20">
            <v>4.1503145763386069E+21</v>
          </cell>
          <cell r="O20">
            <v>4.1503145763386069E+21</v>
          </cell>
          <cell r="P20">
            <v>4.1626133895947548E+21</v>
          </cell>
          <cell r="Q20">
            <v>3.3536931625338908E+21</v>
          </cell>
          <cell r="R20">
            <v>3.3536931625338908E+21</v>
          </cell>
          <cell r="S20">
            <v>3.3413943492777413E+21</v>
          </cell>
        </row>
        <row r="21">
          <cell r="J21">
            <v>6.1994612331550745E+19</v>
          </cell>
          <cell r="K21">
            <v>6.1994612331550745E+19</v>
          </cell>
          <cell r="L21">
            <v>6.1994612331550736E+19</v>
          </cell>
          <cell r="N21">
            <v>4.1517579523648054E+21</v>
          </cell>
          <cell r="O21">
            <v>4.1517579523648054E+21</v>
          </cell>
          <cell r="P21">
            <v>4.1641368491752937E+21</v>
          </cell>
          <cell r="Q21">
            <v>3.3514499781227813E+21</v>
          </cell>
          <cell r="R21">
            <v>3.3514499781227813E+21</v>
          </cell>
          <cell r="S21">
            <v>3.3390710813122919E+21</v>
          </cell>
        </row>
        <row r="22">
          <cell r="J22">
            <v>6.1989754490946609E+19</v>
          </cell>
          <cell r="K22">
            <v>6.1989754490946609E+19</v>
          </cell>
          <cell r="L22">
            <v>6.1989754490946568E+19</v>
          </cell>
          <cell r="N22">
            <v>4.1530604929259867E+21</v>
          </cell>
          <cell r="O22">
            <v>4.1530604929259867E+21</v>
          </cell>
          <cell r="P22">
            <v>4.1655116832070272E+21</v>
          </cell>
          <cell r="Q22">
            <v>3.349559493113281E+21</v>
          </cell>
          <cell r="R22">
            <v>3.349559493113281E+21</v>
          </cell>
          <cell r="S22">
            <v>3.3371083028322357E+21</v>
          </cell>
        </row>
        <row r="23">
          <cell r="J23">
            <v>6.1986182619229159E+19</v>
          </cell>
          <cell r="K23">
            <v>6.1986182619229159E+19</v>
          </cell>
          <cell r="L23">
            <v>6.1986182619229086E+19</v>
          </cell>
          <cell r="N23">
            <v>4.1542595908438201E+21</v>
          </cell>
          <cell r="O23">
            <v>4.1542595908438201E+21</v>
          </cell>
          <cell r="P23">
            <v>4.1667773495904525E+21</v>
          </cell>
          <cell r="Q23">
            <v>3.3479280915614841E+21</v>
          </cell>
          <cell r="R23">
            <v>3.3479280915614841E+21</v>
          </cell>
          <cell r="S23">
            <v>3.3354103328148438E+21</v>
          </cell>
        </row>
        <row r="24">
          <cell r="J24">
            <v>6.1983555839815688E+19</v>
          </cell>
          <cell r="K24">
            <v>6.1983555839815688E+19</v>
          </cell>
          <cell r="L24">
            <v>6.1983555839815639E+19</v>
          </cell>
          <cell r="N24">
            <v>4.1553825853927132E+21</v>
          </cell>
          <cell r="O24">
            <v>4.1553825853927132E+21</v>
          </cell>
          <cell r="P24">
            <v>4.1679626989119823E+21</v>
          </cell>
          <cell r="Q24">
            <v>3.3464871779001801E+21</v>
          </cell>
          <cell r="R24">
            <v>3.3464871779001801E+21</v>
          </cell>
          <cell r="S24">
            <v>3.3339070643809037E+21</v>
          </cell>
        </row>
        <row r="25">
          <cell r="J25">
            <v>6.1981623842076434E+19</v>
          </cell>
          <cell r="K25">
            <v>6.1981623842076434E+19</v>
          </cell>
          <cell r="L25">
            <v>6.1981623842076418E+19</v>
          </cell>
          <cell r="N25">
            <v>4.1564494933954412E+21</v>
          </cell>
          <cell r="O25">
            <v>4.1564494933954412E+21</v>
          </cell>
          <cell r="P25">
            <v>4.1690888553109699E+21</v>
          </cell>
          <cell r="Q25">
            <v>3.3451864402110689E+21</v>
          </cell>
          <cell r="R25">
            <v>3.3451864402110689E+21</v>
          </cell>
          <cell r="S25">
            <v>3.3325470782955386E+21</v>
          </cell>
        </row>
        <row r="26">
          <cell r="J26">
            <v>6.1980202723686277E+19</v>
          </cell>
          <cell r="K26">
            <v>6.1980202723686277E+19</v>
          </cell>
          <cell r="L26">
            <v>6.1980202723686269E+19</v>
          </cell>
          <cell r="N26">
            <v>4.1574749856484725E+21</v>
          </cell>
          <cell r="O26">
            <v>4.1574749856484725E+21</v>
          </cell>
          <cell r="P26">
            <v>4.170171301589051E+21</v>
          </cell>
          <cell r="Q26">
            <v>3.3439889499992778E+21</v>
          </cell>
          <cell r="R26">
            <v>3.3439889499992778E+21</v>
          </cell>
          <cell r="S26">
            <v>3.3312926340586983E+21</v>
          </cell>
        </row>
        <row r="27">
          <cell r="J27">
            <v>6.1979157320566874E+19</v>
          </cell>
          <cell r="K27">
            <v>6.1979157320566874E+19</v>
          </cell>
          <cell r="L27">
            <v>6.1979157320566833E+19</v>
          </cell>
          <cell r="N27">
            <v>4.1584698229736656E+21</v>
          </cell>
          <cell r="O27">
            <v>4.1584698229736656E+21</v>
          </cell>
          <cell r="P27">
            <v>4.171221394393393E+21</v>
          </cell>
          <cell r="Q27">
            <v>3.3428675875345431E+21</v>
          </cell>
          <cell r="R27">
            <v>3.3428675875345431E+21</v>
          </cell>
          <cell r="S27">
            <v>3.330116016114811E+21</v>
          </cell>
        </row>
        <row r="28">
          <cell r="J28">
            <v>6.1978388262190359E+19</v>
          </cell>
          <cell r="K28">
            <v>6.1978388262190359E+19</v>
          </cell>
          <cell r="L28">
            <v>6.1978388262190342E+19</v>
          </cell>
          <cell r="N28">
            <v>4.159441902774371E+21</v>
          </cell>
          <cell r="O28">
            <v>4.159441902774371E+21</v>
          </cell>
          <cell r="P28">
            <v>4.1722474685304254E+21</v>
          </cell>
          <cell r="Q28">
            <v>3.3418024285985277E+21</v>
          </cell>
          <cell r="R28">
            <v>3.3418024285985277E+21</v>
          </cell>
          <cell r="S28">
            <v>3.3289968628424722E+21</v>
          </cell>
        </row>
        <row r="29">
          <cell r="J29">
            <v>6.1977822477759078E+19</v>
          </cell>
          <cell r="K29">
            <v>6.1977822477759078E+19</v>
          </cell>
          <cell r="L29">
            <v>6.197782247775907E+19</v>
          </cell>
          <cell r="N29">
            <v>4.1603970234404548E+21</v>
          </cell>
          <cell r="O29">
            <v>4.1603970234404548E+21</v>
          </cell>
          <cell r="P29">
            <v>4.1732556436052524E+21</v>
          </cell>
          <cell r="Q29">
            <v>3.3407788310427269E+21</v>
          </cell>
          <cell r="R29">
            <v>3.3407788310427269E+21</v>
          </cell>
          <cell r="S29">
            <v>3.3279202108779277E+21</v>
          </cell>
        </row>
        <row r="30">
          <cell r="J30">
            <v>6.1977406227444482E+19</v>
          </cell>
          <cell r="K30">
            <v>6.1977406227444482E+19</v>
          </cell>
          <cell r="L30">
            <v>6.1977406227444474E+19</v>
          </cell>
          <cell r="N30">
            <v>4.1613394435942116E+21</v>
          </cell>
          <cell r="O30">
            <v>4.1613394435942116E+21</v>
          </cell>
          <cell r="P30">
            <v>4.1742504141928236E+21</v>
          </cell>
          <cell r="Q30">
            <v>3.3397860321133939E+21</v>
          </cell>
          <cell r="R30">
            <v>3.3397860321133939E+21</v>
          </cell>
          <cell r="S30">
            <v>3.3268750615147813E+21</v>
          </cell>
        </row>
        <row r="31">
          <cell r="J31">
            <v>6.1977099983924191E+19</v>
          </cell>
          <cell r="K31">
            <v>6.1977099983924191E+19</v>
          </cell>
          <cell r="L31">
            <v>6.1977099983924191E+19</v>
          </cell>
          <cell r="N31">
            <v>4.1622722917410537E+21</v>
          </cell>
          <cell r="O31">
            <v>4.1622722917410537E+21</v>
          </cell>
          <cell r="P31">
            <v>4.1752350821557307E+21</v>
          </cell>
          <cell r="Q31">
            <v>3.3388161193132902E+21</v>
          </cell>
          <cell r="R31">
            <v>3.3388161193132902E+21</v>
          </cell>
          <cell r="S31">
            <v>3.3258533288986133E+21</v>
          </cell>
        </row>
        <row r="32">
          <cell r="J32">
            <v>6.1976874671219745E+19</v>
          </cell>
          <cell r="K32">
            <v>6.1976874671219745E+19</v>
          </cell>
          <cell r="L32">
            <v>6.1976874671219728E+19</v>
          </cell>
          <cell r="N32">
            <v>4.1631978666124457E+21</v>
          </cell>
          <cell r="O32">
            <v>4.1631978666124457E+21</v>
          </cell>
          <cell r="P32">
            <v>4.1762120736136285E+21</v>
          </cell>
          <cell r="Q32">
            <v>3.3378632748452796E+21</v>
          </cell>
          <cell r="R32">
            <v>3.3378632748452796E+21</v>
          </cell>
          <cell r="S32">
            <v>3.3248490678440957E+21</v>
          </cell>
        </row>
        <row r="33">
          <cell r="J33">
            <v>6.1976708899978404E+19</v>
          </cell>
          <cell r="K33">
            <v>6.1976708899978404E+19</v>
          </cell>
          <cell r="L33">
            <v>6.1976708899978379E+19</v>
          </cell>
          <cell r="N33">
            <v>4.1641178575149487E+21</v>
          </cell>
          <cell r="O33">
            <v>4.1641178575149487E+21</v>
          </cell>
          <cell r="P33">
            <v>4.1771831714946168E+21</v>
          </cell>
          <cell r="Q33">
            <v>3.3369232206494386E+21</v>
          </cell>
          <cell r="R33">
            <v>3.3369232206494386E+21</v>
          </cell>
          <cell r="S33">
            <v>3.3238579066697668E+21</v>
          </cell>
        </row>
        <row r="34">
          <cell r="J34">
            <v>6.1976586934707806E+19</v>
          </cell>
          <cell r="K34">
            <v>6.1976586934707806E+19</v>
          </cell>
          <cell r="L34">
            <v>6.1976586934707773E+19</v>
          </cell>
          <cell r="N34">
            <v>4.1650335060707561E+21</v>
          </cell>
          <cell r="O34">
            <v>4.1650335060707561E+21</v>
          </cell>
          <cell r="P34">
            <v>4.1781496862347624E+21</v>
          </cell>
          <cell r="Q34">
            <v>3.3359928106369302E+21</v>
          </cell>
          <cell r="R34">
            <v>3.3359928106369302E+21</v>
          </cell>
          <cell r="S34">
            <v>3.3228766304729191E+21</v>
          </cell>
        </row>
        <row r="35">
          <cell r="J35">
            <v>6.1976497198907154E+19</v>
          </cell>
          <cell r="K35">
            <v>6.1976497198907154E+19</v>
          </cell>
          <cell r="L35">
            <v>6.1976497198907122E+19</v>
          </cell>
          <cell r="N35">
            <v>4.1659457249815471E+21</v>
          </cell>
          <cell r="O35">
            <v>4.1659457249815471E+21</v>
          </cell>
          <cell r="P35">
            <v>4.1791125811216384E+21</v>
          </cell>
          <cell r="Q35">
            <v>3.3350697310021857E+21</v>
          </cell>
          <cell r="R35">
            <v>3.3350697310021857E+21</v>
          </cell>
          <cell r="S35">
            <v>3.3219028748620907E+21</v>
          </cell>
          <cell r="U35">
            <v>2.0672584820418418E+21</v>
          </cell>
          <cell r="X35">
            <v>2.0672584820418418E+21</v>
          </cell>
          <cell r="AB35">
            <v>1.3508535534802106E+19</v>
          </cell>
          <cell r="AC35">
            <v>1.3508535534802106E+19</v>
          </cell>
          <cell r="AD35">
            <v>1.3508535534802106E+19</v>
          </cell>
          <cell r="AE35">
            <v>1.3508535534802106E+19</v>
          </cell>
          <cell r="AF35">
            <v>1.3508535534802106E+19</v>
          </cell>
          <cell r="AG35">
            <v>1.3508535534802106E+19</v>
          </cell>
          <cell r="AI35">
            <v>1.1114242695417218E+21</v>
          </cell>
          <cell r="AJ35">
            <v>1.1114242695417218E+21</v>
          </cell>
          <cell r="AK35">
            <v>1.1114242695417216E+21</v>
          </cell>
          <cell r="AL35">
            <v>1.1114242695417218E+21</v>
          </cell>
          <cell r="AM35">
            <v>1.1114242695417218E+21</v>
          </cell>
          <cell r="AN35">
            <v>1.1114242695417218E+21</v>
          </cell>
          <cell r="BD35">
            <v>1.8750000000000003E+20</v>
          </cell>
          <cell r="BE35">
            <v>1.875E+20</v>
          </cell>
          <cell r="BF35">
            <v>0</v>
          </cell>
          <cell r="BG35">
            <v>1.8749999999999997E+20</v>
          </cell>
          <cell r="BH35">
            <v>1.875E+20</v>
          </cell>
          <cell r="BI35">
            <v>3.75E+20</v>
          </cell>
          <cell r="BY35">
            <v>6.9699621326892271E+21</v>
          </cell>
          <cell r="BZ35">
            <v>6.9699621326892271E+21</v>
          </cell>
          <cell r="CA35">
            <v>7.2985661434049782E+21</v>
          </cell>
          <cell r="CB35">
            <v>6.9699621326892271E+21</v>
          </cell>
          <cell r="CC35">
            <v>6.9699621326892271E+21</v>
          </cell>
          <cell r="CD35">
            <v>6.6413581219734739E+21</v>
          </cell>
          <cell r="CT35">
            <v>6.5535264557351788E+21</v>
          </cell>
          <cell r="CU35">
            <v>6.5535264557351788E+21</v>
          </cell>
          <cell r="CV35">
            <v>6.3967442216065633E+21</v>
          </cell>
          <cell r="CW35">
            <v>6.5535264557351788E+21</v>
          </cell>
          <cell r="CX35">
            <v>6.5535264557351788E+21</v>
          </cell>
          <cell r="CY35">
            <v>6.7103086898637942E+21</v>
          </cell>
          <cell r="DE35">
            <v>8.2553778666961466E+21</v>
          </cell>
          <cell r="DF35">
            <v>8.2553778666961466E+21</v>
          </cell>
          <cell r="DG35">
            <v>8.3964818774118975E+21</v>
          </cell>
          <cell r="DH35">
            <v>8.2553778666961466E+21</v>
          </cell>
          <cell r="DI35">
            <v>8.2553778666961466E+21</v>
          </cell>
          <cell r="DJ35">
            <v>8.1142738559803935E+21</v>
          </cell>
          <cell r="DS35">
            <v>1.837937899578285E-2</v>
          </cell>
          <cell r="DT35">
            <v>1.8379378995782847E-2</v>
          </cell>
          <cell r="DU35">
            <v>0</v>
          </cell>
          <cell r="DV35">
            <v>0.68321906998906778</v>
          </cell>
          <cell r="DX35">
            <v>0.69431689591078927</v>
          </cell>
          <cell r="DZ35">
            <v>0.70159844898485069</v>
          </cell>
          <cell r="EA35">
            <v>0.70159844898485058</v>
          </cell>
          <cell r="EB35">
            <v>0.69431689591078927</v>
          </cell>
          <cell r="EC35">
            <v>1.4442241430841017E-2</v>
          </cell>
          <cell r="ED35">
            <v>1.4442241430841019E-2</v>
          </cell>
          <cell r="EE35">
            <v>2.9591556499801976E-2</v>
          </cell>
          <cell r="EF35">
            <v>0.53686333804862607</v>
          </cell>
          <cell r="EG35">
            <v>0.53686333804862607</v>
          </cell>
          <cell r="EH35">
            <v>0.52407499760479148</v>
          </cell>
          <cell r="EJ35">
            <v>0.55130557947946712</v>
          </cell>
          <cell r="EK35">
            <v>0.55130557947946712</v>
          </cell>
          <cell r="EN35">
            <v>7.348800026033981E+21</v>
          </cell>
          <cell r="EO35">
            <v>7.348800026033981E+21</v>
          </cell>
          <cell r="EP35">
            <v>7.2076960153182279E+21</v>
          </cell>
          <cell r="EQ35">
            <v>7.348800026033981E+21</v>
          </cell>
          <cell r="ER35">
            <v>7.348800026033981E+21</v>
          </cell>
          <cell r="ES35">
            <v>7.4899040367497351E+21</v>
          </cell>
          <cell r="FB35">
            <v>1.4492753623188406E+22</v>
          </cell>
          <cell r="FC35">
            <v>1.4492753623188406E+22</v>
          </cell>
          <cell r="FD35">
            <v>1.4492753623188402E+22</v>
          </cell>
          <cell r="FE35">
            <v>1.4492753623188406E+22</v>
          </cell>
          <cell r="FF35">
            <v>1.4492753623188406E+22</v>
          </cell>
          <cell r="FG35">
            <v>1.4492753623188406E+22</v>
          </cell>
          <cell r="HH35">
            <v>0.51305193895817758</v>
          </cell>
          <cell r="HI35">
            <v>0.50550120509508389</v>
          </cell>
          <cell r="HK35">
            <v>0</v>
          </cell>
          <cell r="HL35">
            <v>0</v>
          </cell>
          <cell r="HM35">
            <v>-3.2777182170006946E+20</v>
          </cell>
        </row>
      </sheetData>
      <sheetData sheetId="2">
        <row r="6">
          <cell r="T6">
            <v>0.4153</v>
          </cell>
          <cell r="W6">
            <v>0.44489999999999963</v>
          </cell>
          <cell r="Z6">
            <v>3.1000000000000007E-2</v>
          </cell>
          <cell r="AC6">
            <v>0.34660000000000002</v>
          </cell>
        </row>
        <row r="35">
          <cell r="T35">
            <v>0.39157808301916774</v>
          </cell>
          <cell r="W35">
            <v>0.41725270798182246</v>
          </cell>
          <cell r="Z35">
            <v>2.7782086035722402E-2</v>
          </cell>
          <cell r="AC35">
            <v>0.32445364232962359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динамика трития в инжекторах"/>
    </sheetNames>
    <sheetDataSet>
      <sheetData sheetId="0"/>
      <sheetData sheetId="1">
        <row r="6">
          <cell r="F6">
            <v>0</v>
          </cell>
        </row>
        <row r="10">
          <cell r="F10">
            <v>0</v>
          </cell>
        </row>
        <row r="12">
          <cell r="F12">
            <v>-1.4222222222222225E+20</v>
          </cell>
        </row>
        <row r="16">
          <cell r="F16">
            <v>0</v>
          </cell>
        </row>
        <row r="18">
          <cell r="F18">
            <v>5</v>
          </cell>
        </row>
        <row r="20">
          <cell r="Z20">
            <v>2.1287171868847279E+24</v>
          </cell>
        </row>
        <row r="22">
          <cell r="I22">
            <v>4.2574343737694568E+25</v>
          </cell>
        </row>
        <row r="30">
          <cell r="F30">
            <v>87.758421173972806</v>
          </cell>
        </row>
        <row r="33">
          <cell r="R33">
            <v>11.776000000000009</v>
          </cell>
        </row>
        <row r="34">
          <cell r="R34">
            <v>0.29440000000000005</v>
          </cell>
          <cell r="V34">
            <v>5.8880000000000008</v>
          </cell>
        </row>
        <row r="97">
          <cell r="AJ97">
            <v>1.4222222222222225E+20</v>
          </cell>
        </row>
        <row r="98">
          <cell r="AC98">
            <v>3.5555555555555561E+19</v>
          </cell>
        </row>
        <row r="99">
          <cell r="AC99">
            <v>3.5555555555555561E+19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поэлементый расчет систем"/>
    </sheetNames>
    <sheetDataSet>
      <sheetData sheetId="0"/>
      <sheetData sheetId="1">
        <row r="14">
          <cell r="L14">
            <v>17.05049934999278</v>
          </cell>
        </row>
        <row r="15">
          <cell r="L15">
            <v>17.05049934999278</v>
          </cell>
        </row>
        <row r="16">
          <cell r="L16">
            <v>17.05049934999278</v>
          </cell>
        </row>
        <row r="40">
          <cell r="L40">
            <v>25.259409504550053</v>
          </cell>
        </row>
        <row r="41">
          <cell r="L41">
            <v>25.259409504550053</v>
          </cell>
        </row>
        <row r="42">
          <cell r="L42">
            <v>25.259409504550053</v>
          </cell>
        </row>
        <row r="89">
          <cell r="L89">
            <v>150</v>
          </cell>
          <cell r="Q89">
            <v>99.999999999999972</v>
          </cell>
        </row>
        <row r="90">
          <cell r="L90">
            <v>150</v>
          </cell>
          <cell r="Q90">
            <v>100</v>
          </cell>
        </row>
        <row r="91">
          <cell r="L91">
            <v>7.2541119553640074</v>
          </cell>
          <cell r="Q91">
            <v>136.60692781390321</v>
          </cell>
        </row>
        <row r="138">
          <cell r="L138">
            <v>68.483203528496816</v>
          </cell>
          <cell r="Q138">
            <v>45.655400015328837</v>
          </cell>
        </row>
        <row r="139">
          <cell r="L139">
            <v>68.483203528496816</v>
          </cell>
          <cell r="Q139">
            <v>45.655400015328837</v>
          </cell>
        </row>
        <row r="140">
          <cell r="L140">
            <v>68.483203528496816</v>
          </cell>
          <cell r="Q140">
            <v>45.655400015328837</v>
          </cell>
        </row>
        <row r="191">
          <cell r="L191">
            <v>1.5166791655757978</v>
          </cell>
        </row>
        <row r="192">
          <cell r="L192">
            <v>1.5166791655757978</v>
          </cell>
        </row>
        <row r="193">
          <cell r="L193">
            <v>1.5166791655757978</v>
          </cell>
        </row>
        <row r="203">
          <cell r="M203">
            <v>12.000000000000002</v>
          </cell>
          <cell r="Q203">
            <v>12.000000000000002</v>
          </cell>
        </row>
        <row r="204">
          <cell r="M204">
            <v>12.000000000000002</v>
          </cell>
          <cell r="O204">
            <v>12.000000000000002</v>
          </cell>
          <cell r="Q204">
            <v>12.000000000000002</v>
          </cell>
        </row>
        <row r="213">
          <cell r="L213">
            <v>0.15797728134479275</v>
          </cell>
        </row>
        <row r="214">
          <cell r="L214">
            <v>0.15797728134479275</v>
          </cell>
        </row>
        <row r="215">
          <cell r="L215">
            <v>0.15797728134479275</v>
          </cell>
        </row>
        <row r="233">
          <cell r="K233">
            <v>2.7819722165108165E-4</v>
          </cell>
          <cell r="M233">
            <v>3.4985408177333E-4</v>
          </cell>
        </row>
        <row r="237">
          <cell r="L237">
            <v>6.5823867226996978E-3</v>
          </cell>
        </row>
        <row r="238">
          <cell r="L238">
            <v>6.5823867226996978E-3</v>
          </cell>
        </row>
        <row r="239">
          <cell r="L239">
            <v>6.5823867226996978E-3</v>
          </cell>
        </row>
        <row r="292">
          <cell r="L292">
            <v>1.9812984035326091</v>
          </cell>
        </row>
        <row r="293">
          <cell r="L293">
            <v>1.9812984035326091</v>
          </cell>
        </row>
        <row r="294">
          <cell r="L294">
            <v>1.9812984035326091</v>
          </cell>
        </row>
        <row r="339">
          <cell r="L339">
            <v>26.344792719919113</v>
          </cell>
        </row>
        <row r="340">
          <cell r="L340">
            <v>10.088958177369486</v>
          </cell>
        </row>
        <row r="341">
          <cell r="L341">
            <v>10.088958177369486</v>
          </cell>
        </row>
        <row r="354">
          <cell r="L354">
            <v>5.6905893725921641E-2</v>
          </cell>
        </row>
        <row r="369">
          <cell r="L369">
            <v>78.700945963771716</v>
          </cell>
          <cell r="Q369">
            <v>78.700945963771716</v>
          </cell>
        </row>
        <row r="370">
          <cell r="L370">
            <v>80.617322511996122</v>
          </cell>
          <cell r="Q370">
            <v>477.61174318195646</v>
          </cell>
        </row>
        <row r="371">
          <cell r="L371">
            <v>114.46794688801326</v>
          </cell>
          <cell r="Q371">
            <v>875.49656117682775</v>
          </cell>
        </row>
        <row r="396">
          <cell r="L396">
            <v>68.7752780586451</v>
          </cell>
        </row>
        <row r="397">
          <cell r="L397">
            <v>68.7752780586451</v>
          </cell>
        </row>
        <row r="398">
          <cell r="L398">
            <v>68.7752780586451</v>
          </cell>
        </row>
        <row r="433">
          <cell r="L433">
            <v>102.88620438359523</v>
          </cell>
          <cell r="Q433">
            <v>1234.7151762998246</v>
          </cell>
        </row>
        <row r="434">
          <cell r="L434">
            <v>102.85346589502372</v>
          </cell>
          <cell r="Q434">
            <v>21827.242524916943</v>
          </cell>
        </row>
        <row r="435">
          <cell r="L435">
            <v>102.35228971029488</v>
          </cell>
          <cell r="Q435">
            <v>1234.7151762998246</v>
          </cell>
        </row>
        <row r="439">
          <cell r="L439">
            <v>569.96142687422093</v>
          </cell>
          <cell r="Q439">
            <v>405.90937172010342</v>
          </cell>
        </row>
        <row r="440">
          <cell r="L440">
            <v>555.62196887989569</v>
          </cell>
          <cell r="Q440">
            <v>793.98294590992168</v>
          </cell>
        </row>
        <row r="441">
          <cell r="L441">
            <v>336.10679996866446</v>
          </cell>
          <cell r="Q441">
            <v>1167.0306394616741</v>
          </cell>
        </row>
        <row r="443">
          <cell r="G443">
            <v>344.81408733907142</v>
          </cell>
          <cell r="L443">
            <v>672.84763125781615</v>
          </cell>
        </row>
        <row r="444">
          <cell r="G444">
            <v>345.41156475550179</v>
          </cell>
          <cell r="L444">
            <v>658.47543477491945</v>
          </cell>
        </row>
        <row r="445">
          <cell r="G445">
            <v>354.55803012680281</v>
          </cell>
          <cell r="L445">
            <v>438.45908967895934</v>
          </cell>
        </row>
        <row r="448">
          <cell r="L448">
            <v>21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tritium breeding"/>
    </sheetNames>
    <sheetDataSet>
      <sheetData sheetId="0"/>
      <sheetData sheetId="1">
        <row r="25">
          <cell r="D25">
            <v>1.4141905177558874E+19</v>
          </cell>
        </row>
        <row r="40">
          <cell r="AH40">
            <v>1.1428890840042174</v>
          </cell>
        </row>
        <row r="43">
          <cell r="BP43">
            <v>6.0776159169029544E-2</v>
          </cell>
        </row>
        <row r="44">
          <cell r="BP44">
            <v>1.041696610151353</v>
          </cell>
        </row>
        <row r="45">
          <cell r="BP45">
            <v>4.0416314683834963E-2</v>
          </cell>
        </row>
        <row r="46">
          <cell r="BP46">
            <v>0.8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аметры для расчета"/>
      <sheetName val="динамика протия в ТЦ"/>
    </sheetNames>
    <sheetDataSet>
      <sheetData sheetId="0"/>
      <sheetData sheetId="1">
        <row r="5">
          <cell r="F5">
            <v>2.9767774208102532E+16</v>
          </cell>
        </row>
        <row r="6">
          <cell r="F6">
            <v>260869565217391.31</v>
          </cell>
        </row>
        <row r="7">
          <cell r="F7">
            <v>0</v>
          </cell>
        </row>
        <row r="8">
          <cell r="F8">
            <v>7.8E+16</v>
          </cell>
        </row>
        <row r="9">
          <cell r="F9">
            <v>0</v>
          </cell>
        </row>
        <row r="10">
          <cell r="F10">
            <v>0</v>
          </cell>
        </row>
        <row r="19">
          <cell r="F19">
            <v>99.68915991617807</v>
          </cell>
          <cell r="H19">
            <v>99.68915991617807</v>
          </cell>
          <cell r="J19">
            <v>98.881746610364615</v>
          </cell>
        </row>
        <row r="23">
          <cell r="F23">
            <v>155.13750000000002</v>
          </cell>
          <cell r="H23">
            <v>59.411200000000001</v>
          </cell>
          <cell r="J23">
            <v>59.411200000000001</v>
          </cell>
        </row>
        <row r="31">
          <cell r="M31">
            <v>0.48222953503924615</v>
          </cell>
          <cell r="O31">
            <v>0.18467382387961426</v>
          </cell>
          <cell r="Q31">
            <v>0.66436775782305757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29"/>
  <sheetViews>
    <sheetView topLeftCell="A10" zoomScale="85" zoomScaleNormal="85" workbookViewId="0">
      <selection activeCell="D62" sqref="B62:D64"/>
    </sheetView>
  </sheetViews>
  <sheetFormatPr defaultColWidth="9.1796875" defaultRowHeight="15.5" x14ac:dyDescent="0.35"/>
  <cols>
    <col min="1" max="1" width="70.54296875" style="2" customWidth="1"/>
    <col min="2" max="2" width="13.1796875" style="2" customWidth="1"/>
    <col min="3" max="3" width="12.26953125" style="2" customWidth="1"/>
    <col min="4" max="4" width="8.26953125" style="2" customWidth="1"/>
    <col min="5" max="5" width="4.7265625" style="2" customWidth="1"/>
    <col min="6" max="6" width="10.7265625" style="2" customWidth="1"/>
    <col min="7" max="7" width="11.54296875" style="2" customWidth="1"/>
    <col min="8" max="8" width="10.81640625" style="2" customWidth="1"/>
    <col min="9" max="9" width="10.7265625" style="2" customWidth="1"/>
    <col min="10" max="10" width="11.26953125" style="2" customWidth="1"/>
    <col min="11" max="11" width="10.81640625" style="2" customWidth="1"/>
    <col min="12" max="12" width="10.7265625" style="2" customWidth="1"/>
    <col min="13" max="13" width="13.7265625" style="2" customWidth="1"/>
    <col min="14" max="14" width="11.1796875" style="2" customWidth="1"/>
    <col min="15" max="15" width="10.54296875" style="2" customWidth="1"/>
    <col min="16" max="16" width="11.26953125" style="2" customWidth="1"/>
    <col min="17" max="18" width="15.1796875" style="2" customWidth="1"/>
    <col min="19" max="19" width="14.7265625" style="2" customWidth="1"/>
    <col min="20" max="20" width="11" style="2" customWidth="1"/>
    <col min="21" max="21" width="11.453125" style="2" customWidth="1"/>
    <col min="22" max="22" width="11.7265625" style="2" customWidth="1"/>
    <col min="23" max="23" width="8.7265625" style="2" customWidth="1"/>
    <col min="24" max="24" width="10" style="2" customWidth="1"/>
    <col min="25" max="26" width="10.7265625" style="2" bestFit="1" customWidth="1"/>
    <col min="27" max="28" width="10.1796875" style="2" customWidth="1"/>
    <col min="29" max="29" width="10.7265625" style="2" bestFit="1" customWidth="1"/>
    <col min="30" max="30" width="10.81640625" style="2" customWidth="1"/>
    <col min="31" max="33" width="9.1796875" style="2"/>
    <col min="34" max="36" width="9.7265625" style="2" customWidth="1"/>
    <col min="37" max="37" width="9.1796875" style="2"/>
    <col min="38" max="38" width="9.26953125" style="2" bestFit="1" customWidth="1"/>
    <col min="39" max="39" width="9.1796875" style="2" customWidth="1"/>
    <col min="40" max="40" width="9.1796875" style="2"/>
    <col min="41" max="41" width="10" style="2" bestFit="1" customWidth="1"/>
    <col min="42" max="42" width="9.81640625" style="2" customWidth="1"/>
    <col min="43" max="43" width="9.1796875" style="2"/>
    <col min="44" max="44" width="9.26953125" style="2" bestFit="1" customWidth="1"/>
    <col min="45" max="16384" width="9.1796875" style="2"/>
  </cols>
  <sheetData>
    <row r="1" spans="2:46" x14ac:dyDescent="0.35">
      <c r="B1" s="1071" t="s">
        <v>81</v>
      </c>
      <c r="C1" s="1061" t="str">
        <f>'[1]параметры для расчета'!$C$1</f>
        <v>ДЕМО-ТИН</v>
      </c>
      <c r="D1" s="436"/>
    </row>
    <row r="2" spans="2:46" x14ac:dyDescent="0.35">
      <c r="M2" s="796"/>
    </row>
    <row r="3" spans="2:46" x14ac:dyDescent="0.35">
      <c r="B3" s="1071" t="s">
        <v>399</v>
      </c>
      <c r="C3" s="743">
        <f>'[1]параметры для расчета'!$C$3</f>
        <v>270</v>
      </c>
      <c r="D3" s="36" t="s">
        <v>0</v>
      </c>
      <c r="J3" s="4" t="s">
        <v>524</v>
      </c>
      <c r="K3" s="743">
        <f>'[1]параметры для расчета'!$K$3</f>
        <v>0.91</v>
      </c>
      <c r="M3" s="1333"/>
      <c r="N3" s="852"/>
    </row>
    <row r="4" spans="2:46" x14ac:dyDescent="0.35">
      <c r="B4" s="1071" t="s">
        <v>400</v>
      </c>
      <c r="C4" s="743">
        <f>'[1]параметры для расчета'!$C$4</f>
        <v>286</v>
      </c>
      <c r="D4" s="288" t="s">
        <v>3</v>
      </c>
      <c r="J4" s="4" t="s">
        <v>525</v>
      </c>
      <c r="K4" s="1022">
        <f>1-K3</f>
        <v>8.9999999999999969E-2</v>
      </c>
    </row>
    <row r="5" spans="2:46" x14ac:dyDescent="0.35">
      <c r="B5" s="1071" t="s">
        <v>514</v>
      </c>
      <c r="C5" s="1028">
        <f>'[1]параметры для расчета'!$C$5</f>
        <v>133</v>
      </c>
      <c r="D5" s="36" t="s">
        <v>0</v>
      </c>
      <c r="J5" s="4" t="s">
        <v>511</v>
      </c>
      <c r="K5" s="1022">
        <f>K3*C5</f>
        <v>121.03</v>
      </c>
      <c r="L5" s="36" t="s">
        <v>0</v>
      </c>
    </row>
    <row r="6" spans="2:46" x14ac:dyDescent="0.35">
      <c r="B6" s="4" t="s">
        <v>513</v>
      </c>
      <c r="C6" s="1029">
        <f>'[1]параметры для расчета'!$C$6</f>
        <v>180</v>
      </c>
      <c r="D6" s="288" t="s">
        <v>3</v>
      </c>
      <c r="J6" s="4" t="s">
        <v>512</v>
      </c>
      <c r="K6" s="1022">
        <f>K4*C5</f>
        <v>11.969999999999995</v>
      </c>
      <c r="L6" s="36" t="s">
        <v>0</v>
      </c>
      <c r="Q6" s="388"/>
      <c r="R6" s="126"/>
      <c r="T6" s="278"/>
    </row>
    <row r="7" spans="2:46" x14ac:dyDescent="0.35">
      <c r="B7" s="4" t="s">
        <v>444</v>
      </c>
      <c r="C7" s="791">
        <f>'[1]параметры для расчета'!$C$7</f>
        <v>17.27875959474386</v>
      </c>
      <c r="D7" s="36" t="s">
        <v>601</v>
      </c>
      <c r="J7" s="4" t="s">
        <v>600</v>
      </c>
      <c r="K7" s="1022">
        <f>C6*K3^2</f>
        <v>149.05800000000002</v>
      </c>
      <c r="L7" s="288" t="s">
        <v>3</v>
      </c>
      <c r="Q7" s="762"/>
      <c r="R7" s="116"/>
      <c r="T7" s="278"/>
    </row>
    <row r="8" spans="2:46" x14ac:dyDescent="0.35">
      <c r="C8" s="440"/>
      <c r="T8" s="946"/>
    </row>
    <row r="9" spans="2:46" ht="15.65" customHeight="1" x14ac:dyDescent="0.35">
      <c r="B9" s="1071" t="s">
        <v>518</v>
      </c>
      <c r="C9" s="1027">
        <f>'[1]параметры для расчета'!$C$8</f>
        <v>2</v>
      </c>
      <c r="D9" s="36" t="s">
        <v>6</v>
      </c>
      <c r="J9" s="959" t="s">
        <v>516</v>
      </c>
      <c r="K9" s="413">
        <f>C9/(1/2*1.38E-23*1000)</f>
        <v>2.8985507246376809E+20</v>
      </c>
      <c r="L9" s="36" t="s">
        <v>1</v>
      </c>
      <c r="M9" s="2" t="s">
        <v>526</v>
      </c>
      <c r="N9" s="897">
        <f>K9*1/2*1.38E-23*1000</f>
        <v>2</v>
      </c>
      <c r="O9" s="36" t="s">
        <v>6</v>
      </c>
      <c r="P9" s="85" t="s">
        <v>439</v>
      </c>
      <c r="T9" s="946"/>
    </row>
    <row r="10" spans="2:46" x14ac:dyDescent="0.35">
      <c r="B10" s="658" t="s">
        <v>517</v>
      </c>
      <c r="C10" s="1030">
        <f>'[1]параметры для расчета'!$C$11</f>
        <v>8E+19</v>
      </c>
      <c r="D10" s="36" t="s">
        <v>1</v>
      </c>
      <c r="J10" s="959" t="s">
        <v>515</v>
      </c>
      <c r="K10" s="413">
        <f>'[1]параметры для расчета'!$K$12</f>
        <v>4.5967806300646621E+19</v>
      </c>
      <c r="L10" s="36" t="s">
        <v>1</v>
      </c>
      <c r="M10" s="288" t="s">
        <v>527</v>
      </c>
      <c r="N10" s="897">
        <f>K10*1/2*1.38E-23*600</f>
        <v>0.19030671808467703</v>
      </c>
      <c r="O10" s="36" t="s">
        <v>6</v>
      </c>
      <c r="P10" s="85" t="s">
        <v>445</v>
      </c>
    </row>
    <row r="11" spans="2:46" x14ac:dyDescent="0.35">
      <c r="B11" s="4" t="s">
        <v>510</v>
      </c>
      <c r="C11" s="1342">
        <f>'[1]параметры для расчета'!$C$12</f>
        <v>2.4607574272048387</v>
      </c>
      <c r="U11" s="955"/>
      <c r="AR11" s="124"/>
    </row>
    <row r="12" spans="2:46" x14ac:dyDescent="0.35">
      <c r="B12" s="71" t="s">
        <v>523</v>
      </c>
      <c r="C12" s="1030">
        <f>'[1]параметры для расчета'!$C$13</f>
        <v>6.4716265525384389E+19</v>
      </c>
      <c r="D12" s="36" t="s">
        <v>1</v>
      </c>
      <c r="J12" s="4" t="s">
        <v>877</v>
      </c>
      <c r="K12" s="1354">
        <f>'[1]параметры для расчета'!$K$15</f>
        <v>6.4716265525384389E+19</v>
      </c>
      <c r="L12" s="36" t="s">
        <v>1</v>
      </c>
      <c r="M12" s="4" t="s">
        <v>878</v>
      </c>
      <c r="N12" s="1354">
        <f>'[1]параметры для расчета'!$K$11</f>
        <v>3.3784425695498887E+19</v>
      </c>
      <c r="O12" s="36" t="s">
        <v>1</v>
      </c>
      <c r="U12" s="956"/>
      <c r="AR12" s="53"/>
      <c r="AT12" s="1"/>
    </row>
    <row r="13" spans="2:46" ht="15.65" customHeight="1" x14ac:dyDescent="0.35">
      <c r="B13" s="1071" t="s">
        <v>82</v>
      </c>
      <c r="C13" s="1302">
        <f>'[1]параметры для расчета'!$C$14</f>
        <v>1.1784920981299063E+19</v>
      </c>
      <c r="D13" s="436" t="s">
        <v>42</v>
      </c>
      <c r="I13" s="779"/>
      <c r="O13" s="229"/>
      <c r="U13" s="910"/>
      <c r="AR13" s="1"/>
      <c r="AT13" s="53"/>
    </row>
    <row r="14" spans="2:46" ht="15.65" customHeight="1" x14ac:dyDescent="0.35">
      <c r="B14" s="71"/>
      <c r="D14" s="436"/>
      <c r="F14" s="1341"/>
      <c r="I14" s="761"/>
      <c r="J14" s="1071" t="s">
        <v>879</v>
      </c>
      <c r="K14" s="1355">
        <f>'[1]параметры для расчета'!$F$21</f>
        <v>0.78118838449983641</v>
      </c>
      <c r="L14" s="958" t="s">
        <v>227</v>
      </c>
      <c r="O14" s="229"/>
      <c r="U14" s="910"/>
    </row>
    <row r="15" spans="2:46" x14ac:dyDescent="0.35">
      <c r="B15" s="1071" t="s">
        <v>519</v>
      </c>
      <c r="C15" s="24">
        <f>'[1]параметры для расчета'!$C$16</f>
        <v>33.165596022411073</v>
      </c>
      <c r="D15" s="436" t="s">
        <v>50</v>
      </c>
      <c r="J15" s="4" t="s">
        <v>880</v>
      </c>
      <c r="K15" s="1355">
        <f>'[1]параметры для расчета'!$F$22</f>
        <v>0.44463676113951001</v>
      </c>
      <c r="L15" s="958" t="s">
        <v>227</v>
      </c>
    </row>
    <row r="16" spans="2:46" x14ac:dyDescent="0.35">
      <c r="B16" s="720" t="s">
        <v>520</v>
      </c>
      <c r="C16" s="1343">
        <f>'[1]параметры для расчета'!$C$17</f>
        <v>36.385680359718272</v>
      </c>
      <c r="D16" s="436" t="s">
        <v>50</v>
      </c>
      <c r="J16" s="4" t="s">
        <v>881</v>
      </c>
      <c r="K16" s="1355">
        <f>'[1]параметры для расчета'!$F$23</f>
        <v>3.1060425913463599E-2</v>
      </c>
      <c r="L16" s="958" t="s">
        <v>227</v>
      </c>
      <c r="M16" s="229"/>
      <c r="N16" s="229"/>
      <c r="U16" s="440"/>
      <c r="AL16" s="4"/>
    </row>
    <row r="17" spans="2:38" x14ac:dyDescent="0.35">
      <c r="B17" s="1071" t="s">
        <v>521</v>
      </c>
      <c r="C17" s="659">
        <f>'[1]параметры для расчета'!$C$18</f>
        <v>788.12959684333293</v>
      </c>
      <c r="D17" s="436" t="s">
        <v>54</v>
      </c>
      <c r="J17" s="1071" t="s">
        <v>904</v>
      </c>
      <c r="K17" s="1355">
        <f>'[1]параметры для расчета'!$F$24</f>
        <v>0.36111306131804349</v>
      </c>
      <c r="L17" s="958" t="s">
        <v>227</v>
      </c>
      <c r="AL17" s="4"/>
    </row>
    <row r="18" spans="2:38" ht="15.65" customHeight="1" x14ac:dyDescent="0.45">
      <c r="B18" s="720" t="s">
        <v>522</v>
      </c>
      <c r="C18" s="1344">
        <f>'[1]параметры для расчета'!$F$19</f>
        <v>0</v>
      </c>
      <c r="D18" s="410"/>
      <c r="E18" s="176"/>
      <c r="F18" s="1374"/>
      <c r="G18" s="958"/>
      <c r="AL18" s="4"/>
    </row>
    <row r="19" spans="2:38" ht="14.25" customHeight="1" x14ac:dyDescent="0.35">
      <c r="U19" s="440"/>
      <c r="AL19" s="4"/>
    </row>
    <row r="20" spans="2:38" x14ac:dyDescent="0.35">
      <c r="B20" s="9" t="s">
        <v>875</v>
      </c>
      <c r="C20" s="1345">
        <f>100-'[1]параметры для расчета'!$C$21</f>
        <v>50</v>
      </c>
      <c r="D20" s="53" t="s">
        <v>18</v>
      </c>
      <c r="U20" s="790"/>
      <c r="AL20" s="4"/>
    </row>
    <row r="21" spans="2:38" x14ac:dyDescent="0.35">
      <c r="B21" s="176" t="s">
        <v>245</v>
      </c>
      <c r="C21" s="1031">
        <f>'[1]параметры для расчета'!$C$22</f>
        <v>50</v>
      </c>
      <c r="D21" s="2" t="s">
        <v>18</v>
      </c>
      <c r="AA21" s="4"/>
      <c r="AL21" s="4"/>
    </row>
    <row r="22" spans="2:38" ht="15.75" customHeight="1" x14ac:dyDescent="0.35">
      <c r="B22" s="176" t="s">
        <v>453</v>
      </c>
      <c r="C22" s="424">
        <f>'[1]параметры для расчета'!$C$23</f>
        <v>0.5</v>
      </c>
      <c r="D22" s="165" t="s">
        <v>18</v>
      </c>
      <c r="V22" s="229"/>
      <c r="W22" s="229"/>
      <c r="X22" s="229"/>
      <c r="Y22" s="229"/>
      <c r="Z22" s="229"/>
      <c r="AA22" s="229"/>
      <c r="AB22" s="229"/>
      <c r="AC22" s="229"/>
      <c r="AD22" s="229"/>
      <c r="AE22" s="408"/>
      <c r="AL22" s="4"/>
    </row>
    <row r="23" spans="2:38" ht="15" customHeight="1" x14ac:dyDescent="0.35">
      <c r="B23" s="176" t="s">
        <v>452</v>
      </c>
      <c r="C23" s="1024">
        <f>'[1]параметры для расчета'!$C$24</f>
        <v>0.5</v>
      </c>
      <c r="D23" s="165" t="s">
        <v>18</v>
      </c>
      <c r="J23" s="1319"/>
      <c r="K23" s="891" t="s">
        <v>442</v>
      </c>
      <c r="L23" s="891"/>
      <c r="M23" s="278"/>
      <c r="N23" s="278"/>
      <c r="V23" s="229"/>
      <c r="W23" s="229"/>
      <c r="AL23" s="4"/>
    </row>
    <row r="24" spans="2:38" ht="15.75" customHeight="1" x14ac:dyDescent="0.35">
      <c r="B24" s="176" t="s">
        <v>449</v>
      </c>
      <c r="C24" s="960">
        <f>'[1]параметры для расчета'!$C$25</f>
        <v>2.5090617407398321</v>
      </c>
      <c r="D24" s="165" t="s">
        <v>18</v>
      </c>
      <c r="K24" s="181">
        <f>'[2]динамика изотопов в ТЦ'!DE6+'[2]динамика изотопов в ТЦ'!DH6</f>
        <v>1.6523943906809267E+22</v>
      </c>
      <c r="L24" s="2" t="s">
        <v>443</v>
      </c>
      <c r="M24" s="278"/>
      <c r="N24" s="278"/>
      <c r="O24" s="278"/>
      <c r="V24" s="229"/>
      <c r="W24" s="229"/>
      <c r="X24" s="229"/>
      <c r="AL24" s="4"/>
    </row>
    <row r="25" spans="2:38" ht="15.65" customHeight="1" x14ac:dyDescent="0.35">
      <c r="J25" s="137"/>
      <c r="K25" s="390" t="s">
        <v>440</v>
      </c>
      <c r="M25" s="278"/>
      <c r="N25" s="278"/>
    </row>
    <row r="26" spans="2:38" ht="15.65" customHeight="1" x14ac:dyDescent="0.35">
      <c r="B26" s="4" t="s">
        <v>397</v>
      </c>
      <c r="C26" s="424">
        <f>'[1]параметры для расчета'!$C$27</f>
        <v>1.2</v>
      </c>
      <c r="J26" s="31"/>
      <c r="K26" s="181">
        <f>K24/K7</f>
        <v>1.1085580047236153E+20</v>
      </c>
      <c r="L26" s="2" t="s">
        <v>441</v>
      </c>
      <c r="M26" s="421">
        <f>'[1]параметры для расчета'!$M$27</f>
        <v>0</v>
      </c>
      <c r="N26" s="25" t="s">
        <v>479</v>
      </c>
      <c r="AL26" s="4"/>
    </row>
    <row r="27" spans="2:38" ht="15.75" customHeight="1" x14ac:dyDescent="0.35">
      <c r="B27" s="231" t="s">
        <v>489</v>
      </c>
      <c r="C27" s="574">
        <f>'[1]параметры для расчета'!$C$28</f>
        <v>20</v>
      </c>
      <c r="D27" s="116" t="s">
        <v>167</v>
      </c>
      <c r="R27" s="297"/>
      <c r="AL27" s="4"/>
    </row>
    <row r="28" spans="2:38" x14ac:dyDescent="0.35">
      <c r="K28" s="790" t="s">
        <v>502</v>
      </c>
      <c r="L28" s="790" t="s">
        <v>850</v>
      </c>
      <c r="M28" s="790" t="s">
        <v>851</v>
      </c>
      <c r="N28" s="790" t="s">
        <v>22</v>
      </c>
      <c r="AL28" s="4"/>
    </row>
    <row r="29" spans="2:38" ht="15.75" customHeight="1" x14ac:dyDescent="0.35">
      <c r="B29" s="1071" t="s">
        <v>58</v>
      </c>
      <c r="C29" s="24">
        <f>'[1]параметры для расчета'!$C$70</f>
        <v>100</v>
      </c>
      <c r="D29" s="436" t="s">
        <v>2</v>
      </c>
      <c r="J29" s="4" t="s">
        <v>852</v>
      </c>
      <c r="K29" s="1324">
        <f>'[1]параметры для расчета'!S2</f>
        <v>3.9300000000000003E-3</v>
      </c>
      <c r="L29" s="910">
        <f>'[1]параметры для расчета'!T2</f>
        <v>1</v>
      </c>
      <c r="M29" s="910">
        <f>'[1]параметры для расчета'!U2</f>
        <v>-0.24199999999999999</v>
      </c>
      <c r="N29" s="910">
        <f>'[1]параметры для расчета'!V2</f>
        <v>-1.5129999999999999</v>
      </c>
      <c r="U29" s="53"/>
      <c r="AL29" s="4"/>
    </row>
    <row r="30" spans="2:38" x14ac:dyDescent="0.35">
      <c r="B30" s="71" t="s">
        <v>874</v>
      </c>
      <c r="C30" s="1336">
        <f>'[1]параметры для расчета'!$C$30</f>
        <v>6</v>
      </c>
      <c r="D30" s="436" t="s">
        <v>50</v>
      </c>
      <c r="J30" s="4" t="s">
        <v>854</v>
      </c>
      <c r="K30" s="1324">
        <f>'[1]параметры для расчета'!S4</f>
        <v>3.2000000000000001E-2</v>
      </c>
      <c r="L30" s="910">
        <f>'[1]параметры для расчета'!T4</f>
        <v>0.122</v>
      </c>
      <c r="M30" s="910">
        <f>'[1]параметры для расчета'!U4</f>
        <v>0.53700000000000003</v>
      </c>
      <c r="N30" s="910">
        <f>'[1]параметры для расчета'!V4</f>
        <v>-0.20399999999999999</v>
      </c>
      <c r="AL30" s="4"/>
    </row>
    <row r="31" spans="2:38" x14ac:dyDescent="0.35">
      <c r="B31" s="1071" t="s">
        <v>69</v>
      </c>
      <c r="C31" s="1026">
        <f>'[1]параметры для расчета'!$C$31</f>
        <v>6</v>
      </c>
      <c r="D31" s="436" t="s">
        <v>42</v>
      </c>
      <c r="F31" s="1320">
        <f>'[1]параметры для расчета'!$F$31</f>
        <v>4</v>
      </c>
      <c r="G31" s="2" t="s">
        <v>844</v>
      </c>
      <c r="J31" s="4" t="s">
        <v>853</v>
      </c>
      <c r="K31" s="1324">
        <f>'[1]параметры для расчета'!S7</f>
        <v>933</v>
      </c>
      <c r="L31" s="910">
        <f>'[1]параметры для расчета'!T7</f>
        <v>0.55000000000000004</v>
      </c>
      <c r="M31" s="910">
        <f>'[1]параметры для расчета'!U7</f>
        <v>-8.2000000000000003E-2</v>
      </c>
      <c r="N31" s="910">
        <f>'[1]параметры для расчета'!V7</f>
        <v>0.91200000000000003</v>
      </c>
      <c r="AL31" s="4"/>
    </row>
    <row r="32" spans="2:38" x14ac:dyDescent="0.35">
      <c r="B32" s="1071" t="s">
        <v>31</v>
      </c>
      <c r="C32" s="1026">
        <f>'[1]параметры для расчета'!$C$32</f>
        <v>30</v>
      </c>
      <c r="D32" s="36" t="s">
        <v>55</v>
      </c>
      <c r="F32" s="1321"/>
      <c r="G32" s="288" t="s">
        <v>845</v>
      </c>
      <c r="K32" s="288"/>
    </row>
    <row r="33" spans="1:24" x14ac:dyDescent="0.35">
      <c r="B33" s="71" t="s">
        <v>398</v>
      </c>
      <c r="C33" s="1027">
        <f>'[1]параметры для расчета'!$C$33</f>
        <v>500</v>
      </c>
      <c r="D33" s="30" t="s">
        <v>56</v>
      </c>
      <c r="J33" s="275"/>
      <c r="K33" s="1323" t="s">
        <v>848</v>
      </c>
      <c r="L33" s="1322" t="s">
        <v>847</v>
      </c>
      <c r="M33" s="1325"/>
      <c r="N33" s="1325"/>
    </row>
    <row r="34" spans="1:24" x14ac:dyDescent="0.35">
      <c r="B34" s="4" t="s">
        <v>35</v>
      </c>
      <c r="C34" s="424">
        <f>'[1]параметры для расчета'!$C$34</f>
        <v>10</v>
      </c>
      <c r="D34" s="680" t="s">
        <v>36</v>
      </c>
      <c r="K34" s="1323" t="s">
        <v>849</v>
      </c>
      <c r="L34" s="1322" t="s">
        <v>846</v>
      </c>
    </row>
    <row r="35" spans="1:24" x14ac:dyDescent="0.35">
      <c r="B35" s="4" t="s">
        <v>255</v>
      </c>
      <c r="C35" s="424">
        <f>'[1]параметры для расчета'!$C$35</f>
        <v>0.8</v>
      </c>
      <c r="D35" s="680" t="s">
        <v>36</v>
      </c>
    </row>
    <row r="36" spans="1:24" x14ac:dyDescent="0.35">
      <c r="B36" s="4" t="s">
        <v>256</v>
      </c>
      <c r="C36" s="424">
        <f>'[1]параметры для расчета'!$C$36</f>
        <v>0.4</v>
      </c>
      <c r="D36" s="680" t="s">
        <v>36</v>
      </c>
      <c r="J36" s="9" t="s">
        <v>573</v>
      </c>
      <c r="K36" s="1023">
        <f>'[1]параметры для расчета'!$C$9</f>
        <v>30</v>
      </c>
      <c r="L36" s="126" t="s">
        <v>624</v>
      </c>
    </row>
    <row r="37" spans="1:24" ht="16.5" customHeight="1" x14ac:dyDescent="0.35">
      <c r="B37" s="4" t="s">
        <v>506</v>
      </c>
      <c r="C37" s="743">
        <f>'[1]параметры для расчета'!$C$37</f>
        <v>4.5</v>
      </c>
      <c r="D37" s="112" t="s">
        <v>9</v>
      </c>
      <c r="E37" s="229"/>
      <c r="M37" s="229"/>
    </row>
    <row r="38" spans="1:24" ht="16.5" customHeight="1" x14ac:dyDescent="0.35">
      <c r="B38" s="4" t="s">
        <v>284</v>
      </c>
      <c r="C38" s="743">
        <f>'[1]параметры для расчета'!$C$38</f>
        <v>19.5</v>
      </c>
      <c r="D38" s="112" t="s">
        <v>9</v>
      </c>
      <c r="E38" s="229"/>
      <c r="F38" s="682"/>
      <c r="J38" s="720" t="s">
        <v>450</v>
      </c>
      <c r="K38" s="894">
        <f>K29*C9^(L29)*C16^(M29)*C24%^(N29)</f>
        <v>0.86939411331349581</v>
      </c>
      <c r="L38" s="2" t="s">
        <v>464</v>
      </c>
      <c r="O38" s="278"/>
    </row>
    <row r="39" spans="1:24" ht="16.5" customHeight="1" x14ac:dyDescent="0.35">
      <c r="A39" s="4" t="s">
        <v>594</v>
      </c>
      <c r="B39" s="7" t="s">
        <v>10</v>
      </c>
      <c r="C39" s="791">
        <f>'[1]параметры для расчета'!$C$39</f>
        <v>0.6</v>
      </c>
      <c r="D39" s="53"/>
      <c r="E39" s="442"/>
      <c r="F39" s="683"/>
      <c r="O39" s="278"/>
      <c r="U39" s="43"/>
    </row>
    <row r="40" spans="1:24" ht="17.5" x14ac:dyDescent="0.35">
      <c r="A40" s="4" t="s">
        <v>595</v>
      </c>
      <c r="B40" s="7" t="s">
        <v>5</v>
      </c>
      <c r="C40" s="791">
        <f>'[1]параметры для расчета'!$C$40</f>
        <v>0.8</v>
      </c>
      <c r="D40" s="53"/>
      <c r="E40" s="681"/>
      <c r="F40" s="683"/>
      <c r="H40" s="387"/>
      <c r="P40" s="126"/>
      <c r="Q40" s="126"/>
      <c r="R40" s="126"/>
      <c r="S40" s="126"/>
      <c r="T40" s="126"/>
      <c r="U40" s="31"/>
      <c r="V40" s="126"/>
      <c r="W40" s="126"/>
      <c r="X40" s="126"/>
    </row>
    <row r="41" spans="1:24" x14ac:dyDescent="0.35">
      <c r="B41" s="9" t="s">
        <v>254</v>
      </c>
      <c r="C41" s="684">
        <f>'[1]параметры для расчета'!$C$41</f>
        <v>20</v>
      </c>
      <c r="D41" s="436" t="s">
        <v>18</v>
      </c>
      <c r="F41" s="320" t="s">
        <v>322</v>
      </c>
      <c r="M41" s="126"/>
      <c r="P41" s="126"/>
      <c r="Q41" s="126"/>
      <c r="R41" s="126"/>
      <c r="S41" s="126"/>
      <c r="T41" s="126"/>
      <c r="U41" s="126"/>
      <c r="V41" s="31"/>
      <c r="W41" s="126"/>
      <c r="X41" s="126"/>
    </row>
    <row r="42" spans="1:24" ht="15.65" customHeight="1" x14ac:dyDescent="0.35">
      <c r="M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</row>
    <row r="43" spans="1:24" x14ac:dyDescent="0.35">
      <c r="A43" s="1071" t="s">
        <v>480</v>
      </c>
      <c r="B43" s="4" t="s">
        <v>603</v>
      </c>
      <c r="C43" s="743">
        <f>'[1]параметры для расчета'!$C$43</f>
        <v>1</v>
      </c>
      <c r="D43" s="2" t="s">
        <v>42</v>
      </c>
      <c r="H43" s="80"/>
      <c r="I43" s="387"/>
      <c r="M43" s="126"/>
      <c r="N43" s="1066"/>
      <c r="O43" s="126"/>
      <c r="P43" s="126"/>
      <c r="Q43" s="285"/>
      <c r="R43" s="285"/>
      <c r="S43" s="285"/>
      <c r="T43" s="126"/>
      <c r="U43" s="126"/>
      <c r="V43" s="126"/>
      <c r="W43" s="126"/>
      <c r="X43" s="126"/>
    </row>
    <row r="44" spans="1:24" x14ac:dyDescent="0.35">
      <c r="B44" s="4" t="s">
        <v>602</v>
      </c>
      <c r="C44" s="743">
        <f>'[1]параметры для расчета'!$C$44</f>
        <v>1</v>
      </c>
      <c r="D44" s="2" t="s">
        <v>42</v>
      </c>
      <c r="I44" s="387"/>
      <c r="J44" s="1066"/>
      <c r="K44" s="440"/>
      <c r="N44" s="1066"/>
      <c r="O44" s="126"/>
      <c r="P44" s="126"/>
      <c r="Q44" s="285"/>
      <c r="R44" s="285"/>
      <c r="S44" s="285"/>
      <c r="T44" s="126"/>
      <c r="U44" s="126"/>
      <c r="V44" s="126"/>
      <c r="W44" s="126"/>
      <c r="X44" s="126"/>
    </row>
    <row r="45" spans="1:24" x14ac:dyDescent="0.35">
      <c r="A45" s="1071" t="s">
        <v>481</v>
      </c>
      <c r="B45" s="4" t="s">
        <v>603</v>
      </c>
      <c r="C45" s="694">
        <f>'[1]параметры для расчета'!$C$45</f>
        <v>8.8986461395615759</v>
      </c>
      <c r="D45" s="288" t="s">
        <v>396</v>
      </c>
      <c r="I45" s="387"/>
      <c r="J45" s="176" t="s">
        <v>592</v>
      </c>
      <c r="K45" s="1020">
        <f>результаты!AM73</f>
        <v>0.63405853168718307</v>
      </c>
      <c r="O45" s="126"/>
      <c r="P45" s="126"/>
      <c r="Q45" s="285"/>
      <c r="R45" s="285"/>
      <c r="S45" s="285"/>
      <c r="T45" s="126"/>
      <c r="U45" s="126"/>
      <c r="V45" s="126"/>
      <c r="W45" s="126"/>
      <c r="X45" s="126"/>
    </row>
    <row r="46" spans="1:24" x14ac:dyDescent="0.35">
      <c r="A46" s="1071"/>
      <c r="B46" s="4"/>
      <c r="C46" s="616">
        <f>'[1]параметры для расчета'!$C$46</f>
        <v>8.8986461395615759</v>
      </c>
      <c r="D46" s="288"/>
      <c r="I46" s="387"/>
      <c r="J46" s="176"/>
      <c r="K46" s="1021">
        <f>результаты!AN73</f>
        <v>0.63405853168718307</v>
      </c>
      <c r="L46" s="1212"/>
      <c r="M46" s="1212"/>
      <c r="O46" s="126"/>
      <c r="P46" s="126"/>
      <c r="Q46" s="107"/>
      <c r="R46" s="107"/>
      <c r="S46" s="107"/>
      <c r="T46" s="1077"/>
      <c r="U46" s="126"/>
      <c r="V46" s="126"/>
      <c r="W46" s="126"/>
      <c r="X46" s="126"/>
    </row>
    <row r="47" spans="1:24" x14ac:dyDescent="0.35">
      <c r="A47" s="1071"/>
      <c r="B47" s="4"/>
      <c r="C47" s="307">
        <f>'[1]параметры для расчета'!$C$47</f>
        <v>9.3181793817417535</v>
      </c>
      <c r="D47" s="288"/>
      <c r="I47" s="387"/>
      <c r="J47" s="176"/>
      <c r="K47" s="1032">
        <f>результаты!AO73</f>
        <v>0.64727382236714692</v>
      </c>
      <c r="L47" s="1212"/>
      <c r="M47" s="1212"/>
      <c r="O47" s="126"/>
      <c r="P47" s="126"/>
      <c r="Q47" s="107"/>
      <c r="R47" s="107"/>
      <c r="S47" s="107"/>
      <c r="T47" s="1077"/>
      <c r="U47" s="126"/>
      <c r="V47" s="126"/>
      <c r="W47" s="126"/>
      <c r="X47" s="126"/>
    </row>
    <row r="48" spans="1:24" x14ac:dyDescent="0.35">
      <c r="B48" s="4" t="s">
        <v>602</v>
      </c>
      <c r="C48" s="694">
        <f>'[1]параметры для расчета'!$C$48</f>
        <v>8.8986461395615706</v>
      </c>
      <c r="D48" s="288" t="s">
        <v>396</v>
      </c>
      <c r="I48" s="593"/>
      <c r="J48" s="1025" t="s">
        <v>593</v>
      </c>
      <c r="K48" s="1020">
        <f>результаты!AM82</f>
        <v>0.63405853168718307</v>
      </c>
      <c r="O48" s="126"/>
      <c r="P48" s="126"/>
      <c r="Q48" s="107"/>
      <c r="R48" s="107"/>
      <c r="S48" s="107"/>
      <c r="T48" s="1077"/>
      <c r="U48" s="126"/>
      <c r="V48" s="126"/>
      <c r="W48" s="126"/>
      <c r="X48" s="126"/>
    </row>
    <row r="49" spans="1:24" ht="15.65" customHeight="1" x14ac:dyDescent="0.35">
      <c r="B49" s="4"/>
      <c r="C49" s="616">
        <f>'[1]параметры для расчета'!$C$49</f>
        <v>8.8986461395615706</v>
      </c>
      <c r="D49" s="288"/>
      <c r="I49" s="593"/>
      <c r="J49" s="1025"/>
      <c r="K49" s="1021">
        <f>результаты!AN82</f>
        <v>0.63405853168718307</v>
      </c>
      <c r="L49" s="1212"/>
      <c r="M49" s="1212"/>
      <c r="O49" s="126"/>
      <c r="P49" s="126"/>
      <c r="Q49" s="126"/>
      <c r="R49" s="202"/>
      <c r="S49" s="126"/>
      <c r="T49" s="126"/>
      <c r="U49" s="126"/>
      <c r="V49" s="126"/>
      <c r="W49" s="126"/>
      <c r="X49" s="126"/>
    </row>
    <row r="50" spans="1:24" x14ac:dyDescent="0.35">
      <c r="B50" s="4"/>
      <c r="C50" s="307">
        <f>'[1]параметры для расчета'!$C$50</f>
        <v>8.4791128973813912</v>
      </c>
      <c r="D50" s="288"/>
      <c r="I50" s="593"/>
      <c r="J50" s="1025"/>
      <c r="K50" s="1032">
        <f>результаты!AO82</f>
        <v>0.62087241715243024</v>
      </c>
      <c r="L50" s="1212"/>
      <c r="M50" s="1212"/>
      <c r="O50" s="126"/>
      <c r="P50" s="126"/>
      <c r="Q50" s="107"/>
      <c r="R50" s="107"/>
      <c r="S50" s="107"/>
      <c r="T50" s="332"/>
      <c r="U50" s="126"/>
      <c r="V50" s="126"/>
      <c r="W50" s="126"/>
      <c r="X50" s="126"/>
    </row>
    <row r="51" spans="1:24" ht="15.65" customHeight="1" x14ac:dyDescent="0.35">
      <c r="A51" s="4" t="s">
        <v>482</v>
      </c>
      <c r="B51" s="4" t="s">
        <v>603</v>
      </c>
      <c r="C51" s="24">
        <f>'[1]параметры для расчета'!$C$51</f>
        <v>2.8446965475698067</v>
      </c>
      <c r="D51" s="288" t="s">
        <v>84</v>
      </c>
      <c r="E51" s="406" t="s">
        <v>8</v>
      </c>
      <c r="F51" s="897">
        <f>'[1]параметры для расчета'!$F$51</f>
        <v>18.070804763144316</v>
      </c>
      <c r="G51" s="2" t="s">
        <v>436</v>
      </c>
      <c r="I51" s="387"/>
      <c r="J51" s="1066"/>
      <c r="K51" s="440"/>
      <c r="O51" s="126"/>
      <c r="P51" s="126"/>
      <c r="Q51" s="285"/>
      <c r="R51" s="285"/>
      <c r="S51" s="285"/>
      <c r="T51" s="126"/>
      <c r="U51" s="126"/>
      <c r="V51" s="126"/>
      <c r="W51" s="126"/>
      <c r="X51" s="126"/>
    </row>
    <row r="52" spans="1:24" x14ac:dyDescent="0.35">
      <c r="B52" s="4" t="s">
        <v>602</v>
      </c>
      <c r="C52" s="24">
        <f>'[1]параметры для расчета'!$C$52</f>
        <v>2.8329414690653585</v>
      </c>
      <c r="D52" s="288" t="s">
        <v>84</v>
      </c>
      <c r="E52" s="438" t="s">
        <v>8</v>
      </c>
      <c r="F52" s="897">
        <f>'[1]параметры для расчета'!$F$52</f>
        <v>17.847708408043779</v>
      </c>
      <c r="G52" s="2" t="s">
        <v>436</v>
      </c>
      <c r="I52" s="387"/>
      <c r="J52" s="1066"/>
      <c r="K52" s="1066"/>
      <c r="M52" s="1066"/>
      <c r="O52" s="126"/>
      <c r="P52" s="126"/>
      <c r="Q52" s="126"/>
      <c r="R52" s="126"/>
      <c r="S52" s="126"/>
      <c r="T52" s="126"/>
      <c r="U52" s="126"/>
      <c r="V52" s="126"/>
      <c r="W52" s="126"/>
      <c r="X52" s="126"/>
    </row>
    <row r="53" spans="1:24" ht="15.65" customHeight="1" x14ac:dyDescent="0.35">
      <c r="J53" s="1067"/>
      <c r="K53" s="1067"/>
      <c r="L53" s="1068"/>
      <c r="M53" s="1069"/>
      <c r="N53" s="1066"/>
      <c r="O53" s="126"/>
      <c r="P53" s="126"/>
      <c r="Q53" s="126"/>
      <c r="R53" s="202"/>
      <c r="S53" s="126"/>
      <c r="T53" s="126"/>
      <c r="U53" s="126"/>
      <c r="V53" s="126"/>
      <c r="W53" s="126"/>
      <c r="X53" s="126"/>
    </row>
    <row r="54" spans="1:24" x14ac:dyDescent="0.35">
      <c r="A54" s="1071" t="s">
        <v>480</v>
      </c>
      <c r="B54" s="4" t="s">
        <v>604</v>
      </c>
      <c r="C54" s="743">
        <f>'[1]параметры для расчета'!$C$54</f>
        <v>1</v>
      </c>
      <c r="D54" s="2" t="s">
        <v>42</v>
      </c>
      <c r="N54" s="1066"/>
      <c r="O54" s="126"/>
      <c r="P54" s="126"/>
      <c r="Q54" s="519"/>
      <c r="R54" s="519"/>
      <c r="S54" s="519"/>
      <c r="T54" s="1077"/>
      <c r="U54" s="965"/>
      <c r="V54" s="1078"/>
      <c r="W54" s="126"/>
      <c r="X54" s="126"/>
    </row>
    <row r="55" spans="1:24" x14ac:dyDescent="0.35">
      <c r="B55" s="4" t="s">
        <v>605</v>
      </c>
      <c r="C55" s="743">
        <f>'[1]параметры для расчета'!$C$55</f>
        <v>1</v>
      </c>
      <c r="D55" s="2" t="s">
        <v>42</v>
      </c>
      <c r="J55" s="903"/>
      <c r="K55" s="202"/>
      <c r="L55" s="1065"/>
      <c r="O55" s="126"/>
      <c r="P55" s="126"/>
      <c r="Q55" s="519"/>
      <c r="R55" s="1079"/>
      <c r="S55" s="1079"/>
      <c r="T55" s="1077"/>
      <c r="U55" s="519"/>
      <c r="V55" s="519"/>
      <c r="W55" s="126"/>
      <c r="X55" s="126"/>
    </row>
    <row r="56" spans="1:24" x14ac:dyDescent="0.35">
      <c r="A56" s="1071" t="s">
        <v>481</v>
      </c>
      <c r="B56" s="4" t="s">
        <v>604</v>
      </c>
      <c r="C56" s="1048">
        <f>'[1]параметры для расчета'!$C$56</f>
        <v>0</v>
      </c>
      <c r="D56" s="862" t="s">
        <v>396</v>
      </c>
      <c r="J56" s="903"/>
      <c r="K56" s="202"/>
      <c r="L56" s="1065"/>
      <c r="O56" s="126"/>
      <c r="P56" s="126"/>
      <c r="Q56" s="1079"/>
      <c r="R56" s="1079"/>
      <c r="S56" s="1079"/>
      <c r="T56" s="1077"/>
      <c r="U56" s="126"/>
      <c r="V56" s="767"/>
      <c r="W56" s="126"/>
      <c r="X56" s="126"/>
    </row>
    <row r="57" spans="1:24" ht="16.5" customHeight="1" x14ac:dyDescent="0.35">
      <c r="B57" s="4" t="s">
        <v>605</v>
      </c>
      <c r="C57" s="1327">
        <f>'[1]параметры для расчета'!$C$57</f>
        <v>0</v>
      </c>
      <c r="D57" s="862" t="s">
        <v>396</v>
      </c>
      <c r="J57" s="229"/>
      <c r="O57" s="126"/>
      <c r="P57" s="126"/>
      <c r="Q57" s="126"/>
      <c r="R57" s="202"/>
      <c r="S57" s="126"/>
      <c r="T57" s="126"/>
      <c r="U57" s="126"/>
      <c r="V57" s="126"/>
      <c r="W57" s="126"/>
      <c r="X57" s="126"/>
    </row>
    <row r="58" spans="1:24" ht="15" customHeight="1" x14ac:dyDescent="0.35">
      <c r="A58" s="4" t="s">
        <v>482</v>
      </c>
      <c r="B58" s="4" t="s">
        <v>604</v>
      </c>
      <c r="C58" s="24">
        <f>'[1]параметры для расчета'!$C$58</f>
        <v>1.3657989661467536</v>
      </c>
      <c r="D58" s="288" t="s">
        <v>84</v>
      </c>
      <c r="E58" s="406" t="s">
        <v>8</v>
      </c>
      <c r="F58" s="897">
        <f>'[1]параметры для расчета'!$F$58</f>
        <v>2</v>
      </c>
      <c r="G58" s="2" t="s">
        <v>436</v>
      </c>
      <c r="J58" s="229"/>
      <c r="O58" s="126"/>
      <c r="P58" s="126"/>
      <c r="Q58" s="922"/>
      <c r="R58" s="922"/>
      <c r="S58" s="922"/>
      <c r="T58" s="1077"/>
      <c r="U58" s="126"/>
      <c r="V58" s="126"/>
      <c r="W58" s="126"/>
      <c r="X58" s="126"/>
    </row>
    <row r="59" spans="1:24" x14ac:dyDescent="0.35">
      <c r="B59" s="4" t="s">
        <v>605</v>
      </c>
      <c r="C59" s="24">
        <f>'[1]параметры для расчета'!$C$59</f>
        <v>1.3657989661467536</v>
      </c>
      <c r="D59" s="288" t="s">
        <v>84</v>
      </c>
      <c r="E59" s="438" t="s">
        <v>8</v>
      </c>
      <c r="F59" s="897">
        <f>'[1]параметры для расчета'!$F$59</f>
        <v>2</v>
      </c>
      <c r="G59" s="2" t="s">
        <v>436</v>
      </c>
      <c r="I59" s="223"/>
      <c r="O59" s="126"/>
      <c r="P59" s="126"/>
      <c r="Q59" s="1081"/>
      <c r="R59" s="1081"/>
      <c r="S59" s="137"/>
      <c r="T59" s="1082"/>
      <c r="U59" s="126"/>
      <c r="V59" s="126"/>
      <c r="W59" s="126"/>
      <c r="X59" s="126"/>
    </row>
    <row r="60" spans="1:24" x14ac:dyDescent="0.35">
      <c r="O60" s="1080"/>
      <c r="P60" s="126"/>
      <c r="Q60" s="917"/>
      <c r="R60" s="917"/>
      <c r="S60" s="917"/>
      <c r="T60" s="1077"/>
      <c r="U60" s="126"/>
      <c r="V60" s="126"/>
      <c r="W60" s="126"/>
      <c r="X60" s="126"/>
    </row>
    <row r="61" spans="1:24" x14ac:dyDescent="0.35">
      <c r="B61" s="9" t="s">
        <v>652</v>
      </c>
      <c r="C61" s="1326">
        <f>'[1]параметры для расчета'!$C$61</f>
        <v>100</v>
      </c>
      <c r="D61" s="2" t="s">
        <v>18</v>
      </c>
      <c r="F61" s="25" t="s">
        <v>855</v>
      </c>
      <c r="O61" s="126"/>
      <c r="P61" s="126"/>
      <c r="Q61" s="1083"/>
      <c r="R61" s="1083"/>
      <c r="S61" s="137"/>
      <c r="T61" s="1082"/>
      <c r="U61" s="126"/>
      <c r="V61" s="126"/>
      <c r="W61" s="126"/>
      <c r="X61" s="126"/>
    </row>
    <row r="62" spans="1:24" x14ac:dyDescent="0.35">
      <c r="B62" s="4" t="s">
        <v>390</v>
      </c>
      <c r="C62" s="1184">
        <f>'[1]параметры для расчета'!$C$62</f>
        <v>8.5999999999999993E-2</v>
      </c>
      <c r="D62" s="436" t="s">
        <v>57</v>
      </c>
      <c r="L62" s="275"/>
      <c r="O62" s="126"/>
      <c r="P62" s="126"/>
      <c r="Q62" s="917"/>
      <c r="R62" s="917"/>
      <c r="S62" s="917"/>
      <c r="T62" s="1077"/>
      <c r="U62" s="126"/>
      <c r="V62" s="126"/>
      <c r="W62" s="126"/>
      <c r="X62" s="126"/>
    </row>
    <row r="63" spans="1:24" x14ac:dyDescent="0.35">
      <c r="A63" s="9" t="s">
        <v>389</v>
      </c>
      <c r="B63" s="4" t="s">
        <v>60</v>
      </c>
      <c r="C63" s="1184">
        <f>'[1]параметры для расчета'!$C$63</f>
        <v>0.16200000000000001</v>
      </c>
      <c r="D63" s="436" t="s">
        <v>57</v>
      </c>
      <c r="O63" s="126"/>
      <c r="P63" s="126"/>
      <c r="Q63" s="1083"/>
      <c r="R63" s="1083"/>
      <c r="S63" s="137"/>
      <c r="T63" s="126"/>
      <c r="U63" s="126"/>
      <c r="V63" s="126"/>
      <c r="W63" s="126"/>
      <c r="X63" s="126"/>
    </row>
    <row r="64" spans="1:24" x14ac:dyDescent="0.35">
      <c r="B64" s="4" t="s">
        <v>61</v>
      </c>
      <c r="C64" s="1184">
        <f>'[1]параметры для расчета'!$C$64</f>
        <v>0.24</v>
      </c>
      <c r="D64" s="436" t="s">
        <v>57</v>
      </c>
      <c r="O64" s="126"/>
      <c r="P64" s="126"/>
      <c r="Q64" s="126"/>
      <c r="R64" s="126"/>
      <c r="S64" s="126"/>
      <c r="T64" s="126"/>
      <c r="U64" s="126"/>
      <c r="V64" s="126"/>
      <c r="W64" s="126"/>
      <c r="X64" s="126"/>
    </row>
    <row r="65" spans="1:44" ht="15.75" customHeight="1" x14ac:dyDescent="0.35">
      <c r="O65" s="126"/>
      <c r="P65" s="1076"/>
      <c r="Q65" s="1076"/>
      <c r="R65" s="126"/>
      <c r="S65" s="126"/>
      <c r="T65" s="31"/>
      <c r="U65" s="126"/>
      <c r="V65" s="126"/>
      <c r="W65" s="126"/>
      <c r="X65" s="126"/>
    </row>
    <row r="66" spans="1:44" ht="15" customHeight="1" x14ac:dyDescent="0.35">
      <c r="B66" s="11" t="s">
        <v>597</v>
      </c>
      <c r="C66" s="24">
        <f>'[1]параметры для расчета'!$C$66</f>
        <v>90</v>
      </c>
      <c r="D66" s="102" t="s">
        <v>18</v>
      </c>
      <c r="O66" s="126"/>
      <c r="P66" s="1034"/>
      <c r="Q66" s="1035"/>
      <c r="R66" s="1035"/>
      <c r="S66" s="1035"/>
      <c r="T66" s="935"/>
    </row>
    <row r="67" spans="1:44" x14ac:dyDescent="0.35">
      <c r="B67" s="11" t="s">
        <v>347</v>
      </c>
      <c r="C67" s="24">
        <f>'[1]параметры для расчета'!$C$67</f>
        <v>90</v>
      </c>
      <c r="D67" s="102" t="s">
        <v>18</v>
      </c>
      <c r="J67" s="4" t="s">
        <v>644</v>
      </c>
      <c r="K67" s="743">
        <f>'[1]параметры для расчета'!$R$78</f>
        <v>10</v>
      </c>
      <c r="L67" s="36" t="s">
        <v>645</v>
      </c>
      <c r="O67" s="31"/>
      <c r="P67" s="1036"/>
      <c r="Q67" s="1037"/>
      <c r="R67" s="1037"/>
      <c r="S67" s="1037"/>
      <c r="T67" s="80"/>
    </row>
    <row r="68" spans="1:44" x14ac:dyDescent="0.35">
      <c r="B68" s="11" t="s">
        <v>348</v>
      </c>
      <c r="C68" s="24">
        <f>'[1]параметры для расчета'!$C$68</f>
        <v>50</v>
      </c>
      <c r="D68" s="102" t="s">
        <v>18</v>
      </c>
      <c r="J68" s="4" t="s">
        <v>644</v>
      </c>
      <c r="K68" s="743">
        <f>'[1]параметры для расчета'!$R$79</f>
        <v>20</v>
      </c>
      <c r="L68" s="36" t="s">
        <v>646</v>
      </c>
      <c r="O68" s="994"/>
      <c r="P68" s="1036"/>
      <c r="Q68" s="1038"/>
      <c r="R68" s="1037"/>
      <c r="S68" s="1035"/>
      <c r="T68" s="935"/>
    </row>
    <row r="69" spans="1:44" x14ac:dyDescent="0.35">
      <c r="L69" s="436"/>
      <c r="O69" s="951"/>
      <c r="P69" s="80"/>
      <c r="Q69" s="1039"/>
      <c r="R69" s="1039"/>
      <c r="S69" s="1039"/>
      <c r="T69" s="80"/>
    </row>
    <row r="70" spans="1:44" x14ac:dyDescent="0.35">
      <c r="B70" s="9" t="s">
        <v>403</v>
      </c>
      <c r="C70" s="684">
        <f>'[1]параметры для расчета'!$C$71</f>
        <v>20</v>
      </c>
      <c r="D70" s="165" t="s">
        <v>18</v>
      </c>
      <c r="J70" s="25" t="s">
        <v>324</v>
      </c>
      <c r="O70" s="951"/>
      <c r="P70" s="80"/>
      <c r="Q70" s="1040"/>
      <c r="R70" s="80"/>
      <c r="S70" s="947"/>
      <c r="T70" s="1041"/>
    </row>
    <row r="71" spans="1:44" x14ac:dyDescent="0.35">
      <c r="B71" s="558" t="s">
        <v>596</v>
      </c>
      <c r="C71" s="684">
        <f>'[1]параметры для расчета'!$C$72</f>
        <v>2</v>
      </c>
      <c r="D71" s="165" t="s">
        <v>18</v>
      </c>
      <c r="J71" s="320" t="s">
        <v>323</v>
      </c>
      <c r="O71" s="951"/>
      <c r="P71" s="80"/>
      <c r="Q71" s="1040"/>
      <c r="R71" s="80"/>
      <c r="S71" s="947"/>
      <c r="T71" s="80"/>
    </row>
    <row r="72" spans="1:44" x14ac:dyDescent="0.35">
      <c r="O72" s="994"/>
      <c r="P72" s="80"/>
      <c r="Q72" s="1040"/>
      <c r="R72" s="80"/>
      <c r="S72" s="1042"/>
      <c r="T72" s="935"/>
    </row>
    <row r="73" spans="1:44" x14ac:dyDescent="0.35">
      <c r="A73" s="13"/>
      <c r="B73" s="75" t="s">
        <v>44</v>
      </c>
      <c r="C73" s="659">
        <f>'[1]параметры для расчета'!$C$74</f>
        <v>1</v>
      </c>
      <c r="D73" s="102" t="s">
        <v>39</v>
      </c>
      <c r="E73" s="406" t="s">
        <v>8</v>
      </c>
      <c r="F73" s="685">
        <f>60*60*C73</f>
        <v>3600</v>
      </c>
      <c r="G73" s="1" t="s">
        <v>38</v>
      </c>
      <c r="O73" s="951"/>
      <c r="P73" s="1043"/>
      <c r="Q73" s="1033"/>
      <c r="R73" s="1037"/>
      <c r="S73" s="1037"/>
      <c r="T73" s="80"/>
    </row>
    <row r="74" spans="1:44" x14ac:dyDescent="0.35">
      <c r="A74" s="13"/>
      <c r="B74" s="75" t="s">
        <v>45</v>
      </c>
      <c r="C74" s="24">
        <f>'[1]параметры для расчета'!$C$75</f>
        <v>8</v>
      </c>
      <c r="D74" s="437" t="s">
        <v>39</v>
      </c>
      <c r="E74" s="438" t="s">
        <v>8</v>
      </c>
      <c r="F74" s="685">
        <f>60*60*C74</f>
        <v>28800</v>
      </c>
      <c r="G74" s="439" t="s">
        <v>38</v>
      </c>
      <c r="O74" s="951"/>
      <c r="P74" s="1040"/>
      <c r="Q74" s="1040"/>
      <c r="R74" s="80"/>
      <c r="S74" s="1040"/>
      <c r="T74" s="935"/>
    </row>
    <row r="75" spans="1:44" x14ac:dyDescent="0.35">
      <c r="B75" s="1071" t="s">
        <v>43</v>
      </c>
      <c r="C75" s="24">
        <f>'[1]параметры для расчета'!$C$76</f>
        <v>8</v>
      </c>
      <c r="D75" s="437" t="s">
        <v>39</v>
      </c>
      <c r="E75" s="438" t="s">
        <v>8</v>
      </c>
      <c r="F75" s="685">
        <f>60*60*C75</f>
        <v>28800</v>
      </c>
      <c r="G75" s="439" t="s">
        <v>38</v>
      </c>
      <c r="O75" s="951"/>
      <c r="P75" s="1040"/>
      <c r="Q75" s="1040"/>
      <c r="R75" s="80"/>
      <c r="S75" s="1040"/>
      <c r="T75" s="80"/>
      <c r="U75" s="13"/>
      <c r="AL75" s="4"/>
    </row>
    <row r="76" spans="1:44" x14ac:dyDescent="0.35">
      <c r="G76" s="13"/>
      <c r="H76" s="297"/>
      <c r="O76" s="994"/>
      <c r="P76" s="1040"/>
      <c r="Q76" s="1040"/>
      <c r="R76" s="80"/>
      <c r="S76" s="1040"/>
      <c r="T76" s="935"/>
      <c r="U76" s="13"/>
    </row>
    <row r="77" spans="1:44" x14ac:dyDescent="0.35">
      <c r="B77" s="94" t="s">
        <v>217</v>
      </c>
      <c r="C77" s="788">
        <f>'[1]параметры для расчета'!$C$78</f>
        <v>0.01</v>
      </c>
      <c r="D77" s="297" t="s">
        <v>4</v>
      </c>
      <c r="G77" s="13"/>
      <c r="J77" s="281" t="s">
        <v>168</v>
      </c>
      <c r="O77" s="80"/>
      <c r="U77" s="13"/>
    </row>
    <row r="78" spans="1:44" x14ac:dyDescent="0.35">
      <c r="B78" s="94" t="s">
        <v>46</v>
      </c>
      <c r="C78" s="789">
        <f>'[1]параметры для расчета'!$C$79</f>
        <v>1.8480000000000001</v>
      </c>
      <c r="D78" s="85" t="s">
        <v>57</v>
      </c>
      <c r="J78" s="281" t="s">
        <v>168</v>
      </c>
      <c r="O78" s="80"/>
      <c r="U78" s="13"/>
    </row>
    <row r="79" spans="1:44" x14ac:dyDescent="0.35">
      <c r="U79" s="13"/>
    </row>
    <row r="80" spans="1:44" x14ac:dyDescent="0.35">
      <c r="U80" s="13"/>
      <c r="AR80" s="824"/>
    </row>
    <row r="81" spans="1:21" x14ac:dyDescent="0.35">
      <c r="U81" s="13"/>
    </row>
    <row r="82" spans="1:21" ht="15.75" customHeight="1" x14ac:dyDescent="0.35">
      <c r="U82" s="13"/>
    </row>
    <row r="83" spans="1:21" x14ac:dyDescent="0.35">
      <c r="A83" s="13"/>
      <c r="U83" s="13"/>
    </row>
    <row r="84" spans="1:21" x14ac:dyDescent="0.35">
      <c r="S84" s="955"/>
      <c r="T84" s="955"/>
      <c r="U84" s="13"/>
    </row>
    <row r="85" spans="1:21" x14ac:dyDescent="0.35">
      <c r="S85" s="910"/>
      <c r="T85" s="910"/>
    </row>
    <row r="86" spans="1:21" x14ac:dyDescent="0.35">
      <c r="S86" s="910"/>
      <c r="T86" s="910"/>
    </row>
    <row r="87" spans="1:21" x14ac:dyDescent="0.35">
      <c r="J87" s="229"/>
    </row>
    <row r="88" spans="1:21" x14ac:dyDescent="0.35">
      <c r="S88" s="907"/>
      <c r="T88" s="907"/>
    </row>
    <row r="89" spans="1:21" x14ac:dyDescent="0.35">
      <c r="S89" s="910"/>
      <c r="T89" s="910"/>
    </row>
    <row r="90" spans="1:21" x14ac:dyDescent="0.35">
      <c r="S90" s="910"/>
      <c r="T90" s="910"/>
    </row>
    <row r="92" spans="1:21" x14ac:dyDescent="0.35">
      <c r="J92" s="80"/>
      <c r="K92" s="886"/>
      <c r="S92" s="907"/>
      <c r="T92" s="907"/>
    </row>
    <row r="93" spans="1:21" x14ac:dyDescent="0.35">
      <c r="K93" s="278"/>
      <c r="S93" s="910"/>
      <c r="T93" s="910"/>
    </row>
    <row r="94" spans="1:21" x14ac:dyDescent="0.35">
      <c r="S94" s="910"/>
      <c r="T94" s="910"/>
    </row>
    <row r="95" spans="1:21" x14ac:dyDescent="0.35">
      <c r="K95" s="278"/>
      <c r="M95" s="53"/>
      <c r="N95" s="53"/>
      <c r="O95" s="53"/>
      <c r="Q95" s="53"/>
      <c r="R95" s="53"/>
    </row>
    <row r="111" spans="20:20" x14ac:dyDescent="0.35">
      <c r="T111" s="53"/>
    </row>
    <row r="112" spans="20:20" x14ac:dyDescent="0.35">
      <c r="T112" s="53"/>
    </row>
    <row r="115" spans="20:20" x14ac:dyDescent="0.35">
      <c r="T115" s="827"/>
    </row>
    <row r="116" spans="20:20" x14ac:dyDescent="0.35">
      <c r="T116" s="53"/>
    </row>
    <row r="117" spans="20:20" x14ac:dyDescent="0.35">
      <c r="T117" s="53"/>
    </row>
    <row r="118" spans="20:20" x14ac:dyDescent="0.35">
      <c r="T118" s="825"/>
    </row>
    <row r="120" spans="20:20" x14ac:dyDescent="0.35">
      <c r="T120" s="145"/>
    </row>
    <row r="121" spans="20:20" x14ac:dyDescent="0.35">
      <c r="T121" s="1"/>
    </row>
    <row r="122" spans="20:20" x14ac:dyDescent="0.35">
      <c r="T122" s="1"/>
    </row>
    <row r="123" spans="20:20" x14ac:dyDescent="0.35">
      <c r="T123" s="1"/>
    </row>
    <row r="126" spans="20:20" x14ac:dyDescent="0.35">
      <c r="T126" s="229"/>
    </row>
    <row r="127" spans="20:20" x14ac:dyDescent="0.35">
      <c r="T127" s="408"/>
    </row>
    <row r="128" spans="20:20" x14ac:dyDescent="0.35">
      <c r="T128" s="229"/>
    </row>
    <row r="129" spans="20:20" x14ac:dyDescent="0.35">
      <c r="T129" s="25"/>
    </row>
  </sheetData>
  <pageMargins left="0.25" right="0.25" top="0.75" bottom="0.75" header="0.3" footer="0.3"/>
  <pageSetup paperSize="9"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0"/>
  <sheetViews>
    <sheetView zoomScaleNormal="100" workbookViewId="0">
      <selection activeCell="E19" sqref="E19"/>
    </sheetView>
  </sheetViews>
  <sheetFormatPr defaultColWidth="9.1796875" defaultRowHeight="15.5" x14ac:dyDescent="0.35"/>
  <cols>
    <col min="1" max="1" width="76.81640625" style="13" customWidth="1"/>
    <col min="2" max="2" width="14.54296875" style="18" customWidth="1"/>
    <col min="3" max="3" width="8.453125" style="13" customWidth="1"/>
    <col min="4" max="4" width="5.7265625" style="13" customWidth="1"/>
    <col min="5" max="5" width="11.81640625" style="63" customWidth="1"/>
    <col min="6" max="6" width="10.7265625" style="13" customWidth="1"/>
    <col min="7" max="7" width="5.453125" style="13" customWidth="1"/>
    <col min="8" max="8" width="13.1796875" style="39" customWidth="1"/>
    <col min="9" max="9" width="6.1796875" style="13" customWidth="1"/>
    <col min="10" max="10" width="11.1796875" style="13" customWidth="1"/>
    <col min="11" max="12" width="11" style="13" customWidth="1"/>
    <col min="13" max="13" width="14.54296875" style="13" customWidth="1"/>
    <col min="14" max="14" width="14.54296875" style="41" customWidth="1"/>
    <col min="15" max="15" width="12.453125" style="13" customWidth="1"/>
    <col min="16" max="16" width="53.26953125" style="13" customWidth="1"/>
    <col min="17" max="17" width="11.7265625" style="13" customWidth="1"/>
    <col min="18" max="18" width="12.1796875" style="33" customWidth="1"/>
    <col min="19" max="19" width="10.453125" style="17" customWidth="1"/>
    <col min="20" max="20" width="9.81640625" style="13" customWidth="1"/>
    <col min="21" max="21" width="11.54296875" style="34" customWidth="1"/>
    <col min="22" max="22" width="11.54296875" style="13" customWidth="1"/>
    <col min="23" max="23" width="9.54296875" style="13" bestFit="1" customWidth="1"/>
    <col min="24" max="24" width="11.26953125" style="13" customWidth="1"/>
    <col min="25" max="25" width="11.81640625" style="13" customWidth="1"/>
    <col min="26" max="26" width="8.54296875" style="13" customWidth="1"/>
    <col min="27" max="16384" width="9.1796875" style="13"/>
  </cols>
  <sheetData>
    <row r="1" spans="1:25" x14ac:dyDescent="0.35">
      <c r="A1" s="306"/>
      <c r="R1" s="322" t="s">
        <v>97</v>
      </c>
    </row>
    <row r="2" spans="1:25" x14ac:dyDescent="0.35">
      <c r="A2" s="291"/>
      <c r="B2" s="415" t="s">
        <v>794</v>
      </c>
      <c r="D2" s="1241"/>
      <c r="E2" s="585" t="s">
        <v>796</v>
      </c>
      <c r="H2" s="1294" t="s">
        <v>795</v>
      </c>
      <c r="P2" s="254" t="s">
        <v>100</v>
      </c>
      <c r="Q2" s="14"/>
      <c r="R2" s="34"/>
    </row>
    <row r="3" spans="1:25" x14ac:dyDescent="0.35">
      <c r="A3" s="15" t="s">
        <v>882</v>
      </c>
      <c r="B3" s="395"/>
      <c r="C3" s="2"/>
      <c r="E3" s="698" t="s">
        <v>335</v>
      </c>
      <c r="F3" s="135"/>
      <c r="G3" s="4"/>
      <c r="H3" s="56"/>
      <c r="I3" s="135"/>
      <c r="J3" s="94"/>
      <c r="Q3" s="14"/>
      <c r="R3" s="193"/>
      <c r="S3" s="13" t="s">
        <v>92</v>
      </c>
    </row>
    <row r="4" spans="1:25" ht="15.75" customHeight="1" x14ac:dyDescent="0.35">
      <c r="A4" s="11" t="s">
        <v>884</v>
      </c>
      <c r="B4" s="1360">
        <f>'параметры для расчета'!K5*'параметры для расчета'!C12*'параметры для расчета'!C21%</f>
        <v>3.9163048082686361E+21</v>
      </c>
      <c r="C4" s="2" t="s">
        <v>29</v>
      </c>
      <c r="D4" s="18" t="s">
        <v>37</v>
      </c>
      <c r="E4" s="666">
        <f>B4*(1/2*1.38E-23*E6)</f>
        <v>3698.8402348750956</v>
      </c>
      <c r="F4" s="13" t="s">
        <v>28</v>
      </c>
      <c r="G4" s="18" t="s">
        <v>37</v>
      </c>
      <c r="H4" s="1360">
        <f>B4*3/(6.02*10^23)</f>
        <v>1.9516469144195862E-2</v>
      </c>
      <c r="I4" s="3" t="s">
        <v>2</v>
      </c>
      <c r="J4" s="31" t="s">
        <v>8</v>
      </c>
      <c r="K4" s="272">
        <f>H4</f>
        <v>1.9516469144195862E-2</v>
      </c>
      <c r="L4" s="13" t="s">
        <v>2</v>
      </c>
      <c r="M4" s="64"/>
      <c r="N4" s="12"/>
      <c r="O4" s="414">
        <f>B9/B4</f>
        <v>3.0091940127890794E-3</v>
      </c>
      <c r="P4" s="14" t="s">
        <v>78</v>
      </c>
      <c r="Q4" s="14"/>
      <c r="R4" s="194"/>
      <c r="S4" s="1419" t="s">
        <v>93</v>
      </c>
      <c r="T4" s="1419"/>
      <c r="U4" s="1419"/>
      <c r="V4" s="1419"/>
      <c r="W4" s="1419"/>
    </row>
    <row r="5" spans="1:25" ht="17.25" customHeight="1" x14ac:dyDescent="0.35">
      <c r="A5" s="1071" t="s">
        <v>883</v>
      </c>
      <c r="B5" s="1361">
        <f>'параметры для расчета'!$K$5*'параметры для расчета'!N12*'параметры для расчета'!$C$20%</f>
        <v>2.0444645209631152E+21</v>
      </c>
      <c r="C5" s="2" t="s">
        <v>29</v>
      </c>
      <c r="D5" s="1241" t="s">
        <v>37</v>
      </c>
      <c r="E5" s="666">
        <f>B5*(1/2*1.38E-23*E6)</f>
        <v>1930.9394950430753</v>
      </c>
      <c r="F5" s="13" t="s">
        <v>28</v>
      </c>
      <c r="G5" s="1241" t="s">
        <v>37</v>
      </c>
      <c r="H5" s="1360">
        <f>B5*3/(6.02*10^23)</f>
        <v>1.0188361400148416E-2</v>
      </c>
      <c r="I5" s="3" t="s">
        <v>2</v>
      </c>
      <c r="M5" s="1356" t="s">
        <v>876</v>
      </c>
      <c r="Q5" s="46"/>
      <c r="R5" s="577"/>
      <c r="S5" s="1419"/>
      <c r="T5" s="1419"/>
      <c r="U5" s="1419"/>
      <c r="V5" s="1419"/>
      <c r="W5" s="1419"/>
    </row>
    <row r="6" spans="1:25" ht="17.25" customHeight="1" x14ac:dyDescent="0.35">
      <c r="A6" s="1357" t="s">
        <v>885</v>
      </c>
      <c r="B6" s="105">
        <f>(B4+'баланс дейтерий'!B4)/'параметры для расчета'!$K$5</f>
        <v>6.4716265525384389E+19</v>
      </c>
      <c r="C6" s="228"/>
      <c r="D6" s="54"/>
      <c r="E6" s="1393">
        <f>1.16*10^4*11.8</f>
        <v>136880</v>
      </c>
      <c r="F6" s="19"/>
      <c r="G6" s="406"/>
      <c r="H6" s="107"/>
      <c r="I6" s="3"/>
      <c r="J6" s="31"/>
      <c r="K6" s="893"/>
      <c r="M6" s="1373">
        <f>'параметры для расчета'!C20%*(B5+'баланс дейтерий'!B5)+B33*'параметры для расчета'!K14+B103*'параметры для расчета'!K15+'параметры для расчета'!C20%*(B10+'баланс дейтерий'!B10)*'параметры для расчета'!K16-'параметры для расчета'!C13*'параметры для расчета'!K17</f>
        <v>5.3204556322299152E+21</v>
      </c>
      <c r="N6" s="111">
        <f>(B4-'параметры для расчета'!C20%*(B5+'баланс дейтерий'!B5)-B33*'параметры для расчета'!K14-'параметры для расчета'!C20%*(B10+'баланс дейтерий'!B10)*'параметры для расчета'!K16+'параметры для расчета'!C13*'параметры для расчета'!K17)/(B103*'параметры для расчета'!K15)</f>
        <v>0.5469167838704263</v>
      </c>
      <c r="P6" s="14"/>
      <c r="Q6" s="46"/>
      <c r="R6" s="578"/>
      <c r="S6" s="1419"/>
      <c r="T6" s="1419"/>
      <c r="U6" s="1419"/>
      <c r="V6" s="1419"/>
      <c r="W6" s="1419"/>
    </row>
    <row r="7" spans="1:25" ht="17.25" customHeight="1" x14ac:dyDescent="0.35">
      <c r="A7" s="1358" t="s">
        <v>888</v>
      </c>
      <c r="B7" s="733">
        <f>B4/(B4+'баланс дейтерий'!B4)</f>
        <v>0.5</v>
      </c>
      <c r="C7" s="409"/>
      <c r="D7" s="280"/>
      <c r="E7" s="491"/>
      <c r="F7" s="308"/>
      <c r="G7" s="280"/>
      <c r="H7" s="274"/>
      <c r="I7" s="229"/>
      <c r="J7" s="31"/>
      <c r="K7" s="893"/>
      <c r="M7" s="1372"/>
      <c r="N7" s="12"/>
      <c r="O7" s="868"/>
      <c r="P7" s="14"/>
      <c r="Q7" s="46"/>
      <c r="R7" s="195"/>
      <c r="S7" s="13" t="s">
        <v>94</v>
      </c>
      <c r="T7" s="976"/>
      <c r="U7" s="976"/>
      <c r="V7" s="976"/>
      <c r="W7" s="976"/>
    </row>
    <row r="8" spans="1:25" x14ac:dyDescent="0.35">
      <c r="A8" s="15"/>
      <c r="B8" s="311">
        <f>'параметры для расчета'!C15*10^6/(((14.1+3.5)*10^6)*1.6*10^(-19))</f>
        <v>1.177755540568575E+19</v>
      </c>
      <c r="E8" s="428"/>
      <c r="H8" s="58"/>
      <c r="K8" s="18"/>
      <c r="M8" s="481"/>
      <c r="Q8" s="35"/>
      <c r="R8" s="196"/>
      <c r="S8" s="13" t="s">
        <v>95</v>
      </c>
      <c r="T8" s="976"/>
      <c r="U8" s="976"/>
      <c r="V8" s="976"/>
      <c r="W8" s="976"/>
      <c r="X8" s="242"/>
      <c r="Y8" s="136"/>
    </row>
    <row r="9" spans="1:25" ht="18" customHeight="1" x14ac:dyDescent="0.35">
      <c r="A9" s="71" t="s">
        <v>890</v>
      </c>
      <c r="B9" s="413">
        <f>'параметры для расчета'!C15*10^6/(((17.589)*10^6)*1.6*10^(-19))</f>
        <v>1.1784920981299063E+19</v>
      </c>
      <c r="C9" s="13" t="s">
        <v>14</v>
      </c>
      <c r="D9" s="18" t="s">
        <v>37</v>
      </c>
      <c r="E9" s="666">
        <f>B9*(1/2*1.38E-23*136880)</f>
        <v>11.130527889049489</v>
      </c>
      <c r="F9" s="13" t="s">
        <v>9</v>
      </c>
      <c r="G9" s="18" t="s">
        <v>37</v>
      </c>
      <c r="H9" s="1360">
        <f>B9*3/(6.02*10^23)</f>
        <v>5.8728842099497004E-5</v>
      </c>
      <c r="I9" s="17" t="s">
        <v>7</v>
      </c>
      <c r="J9" s="31" t="s">
        <v>8</v>
      </c>
      <c r="K9" s="273">
        <f>H9</f>
        <v>5.8728842099497004E-5</v>
      </c>
      <c r="L9" s="17" t="s">
        <v>7</v>
      </c>
      <c r="M9" s="887" t="s">
        <v>257</v>
      </c>
      <c r="N9" s="130"/>
      <c r="O9" s="19"/>
      <c r="P9" s="19"/>
      <c r="Q9" s="14"/>
      <c r="R9" s="675"/>
      <c r="S9" s="436" t="s">
        <v>316</v>
      </c>
    </row>
    <row r="10" spans="1:25" x14ac:dyDescent="0.35">
      <c r="A10" s="15" t="s">
        <v>891</v>
      </c>
      <c r="B10" s="413">
        <f>'параметры для расчета'!K31*'параметры для расчета'!K38^'параметры для расчета'!L31*'параметры для расчета'!C16^'параметры для расчета'!M31*'параметры для расчета'!C24%^'параметры для расчета'!N31*10^20*('параметры для расчета'!C20)%</f>
        <v>1.1162947416967056E+21</v>
      </c>
      <c r="C10" s="13" t="s">
        <v>14</v>
      </c>
      <c r="D10" s="892" t="s">
        <v>37</v>
      </c>
      <c r="E10" s="666">
        <f>B10*(1/2*1.38E-23*136880)</f>
        <v>1054.309127279771</v>
      </c>
      <c r="F10" s="13" t="s">
        <v>9</v>
      </c>
      <c r="G10" s="892" t="s">
        <v>37</v>
      </c>
      <c r="H10" s="1360">
        <f>B10*3/(6.02*10^23)</f>
        <v>5.5629306064619889E-3</v>
      </c>
      <c r="I10" s="436" t="s">
        <v>7</v>
      </c>
      <c r="J10" s="31" t="s">
        <v>8</v>
      </c>
      <c r="K10" s="273">
        <f>H10</f>
        <v>5.5629306064619889E-3</v>
      </c>
      <c r="L10" s="436" t="s">
        <v>7</v>
      </c>
      <c r="N10" s="888"/>
      <c r="O10" s="889"/>
      <c r="P10" s="889"/>
      <c r="Q10" s="14"/>
      <c r="R10" s="676"/>
      <c r="S10" s="436" t="s">
        <v>317</v>
      </c>
    </row>
    <row r="11" spans="1:25" x14ac:dyDescent="0.35">
      <c r="B11" s="105">
        <f>B4/('[1]параметры для расчета'!$C$18*1*10^-3)</f>
        <v>4.9691127245499605E+21</v>
      </c>
      <c r="H11" s="58"/>
      <c r="W11" s="15"/>
    </row>
    <row r="12" spans="1:25" x14ac:dyDescent="0.35">
      <c r="A12" s="15" t="s">
        <v>889</v>
      </c>
      <c r="B12" s="1376">
        <f>B32+B102+B10-B9</f>
        <v>8.2619719534046337E+21</v>
      </c>
      <c r="C12" s="13" t="s">
        <v>14</v>
      </c>
      <c r="E12" s="1377">
        <f>B33+B103+B10-B9-E13</f>
        <v>8.2619719534046337E+21</v>
      </c>
      <c r="F12" s="13" t="s">
        <v>14</v>
      </c>
      <c r="G12" s="63"/>
      <c r="H12" s="624">
        <f>B34+B104+B10-B9-H13</f>
        <v>8.4030759641203847E+21</v>
      </c>
      <c r="I12" s="13" t="s">
        <v>14</v>
      </c>
      <c r="P12" s="25"/>
    </row>
    <row r="13" spans="1:25" ht="15" customHeight="1" x14ac:dyDescent="0.35">
      <c r="A13" s="97"/>
      <c r="B13" s="111">
        <f>B12/10^19</f>
        <v>826.1971953404634</v>
      </c>
      <c r="C13" s="26"/>
      <c r="D13" s="26"/>
      <c r="E13" s="69"/>
      <c r="F13" s="26"/>
      <c r="G13" s="44"/>
      <c r="H13" s="69"/>
      <c r="I13" s="26"/>
      <c r="J13" s="31"/>
      <c r="K13" s="1367"/>
      <c r="L13" s="17"/>
      <c r="M13" s="275"/>
      <c r="N13" s="1353"/>
      <c r="O13" s="85"/>
      <c r="Q13" s="14"/>
    </row>
    <row r="14" spans="1:25" x14ac:dyDescent="0.35">
      <c r="B14" s="406"/>
      <c r="E14" s="395">
        <f>E13*(1/2*1.38E-23*300)</f>
        <v>0</v>
      </c>
      <c r="H14" s="58"/>
      <c r="K14" s="892"/>
      <c r="N14" s="105"/>
      <c r="O14" s="311"/>
      <c r="Q14" s="14"/>
      <c r="R14" s="146"/>
      <c r="S14" s="436"/>
    </row>
    <row r="15" spans="1:25" x14ac:dyDescent="0.35">
      <c r="A15" s="48" t="s">
        <v>911</v>
      </c>
      <c r="B15" s="68">
        <f>B73</f>
        <v>6.9872976180796824E+21</v>
      </c>
      <c r="C15" s="13" t="s">
        <v>14</v>
      </c>
      <c r="E15" s="489">
        <f>B74</f>
        <v>6.9872976180796824E+21</v>
      </c>
      <c r="F15" s="13" t="s">
        <v>14</v>
      </c>
      <c r="G15" s="63"/>
      <c r="H15" s="182">
        <f>B75</f>
        <v>7.3167189230530729E+21</v>
      </c>
      <c r="I15" s="13" t="s">
        <v>14</v>
      </c>
      <c r="J15" s="31"/>
      <c r="K15" s="1359"/>
      <c r="L15" s="566"/>
      <c r="O15" s="311"/>
      <c r="R15" s="46"/>
      <c r="S15" s="84"/>
      <c r="T15" s="136"/>
    </row>
    <row r="16" spans="1:25" ht="15.75" customHeight="1" x14ac:dyDescent="0.35">
      <c r="A16" s="94"/>
      <c r="B16" s="311"/>
      <c r="C16" s="25"/>
      <c r="D16" s="703"/>
      <c r="E16" s="703"/>
      <c r="F16" s="26"/>
      <c r="G16" s="35"/>
      <c r="H16" s="147"/>
      <c r="I16" s="136"/>
      <c r="J16" s="26"/>
      <c r="K16" s="26"/>
      <c r="L16" s="96"/>
      <c r="O16" s="311"/>
      <c r="Q16" s="8"/>
      <c r="R16" s="46"/>
      <c r="S16" s="84"/>
      <c r="T16" s="136"/>
    </row>
    <row r="17" spans="1:21" ht="15.75" customHeight="1" x14ac:dyDescent="0.35">
      <c r="A17" s="94"/>
      <c r="B17" s="311"/>
      <c r="C17" s="25"/>
      <c r="D17" s="703"/>
      <c r="E17" s="703"/>
      <c r="F17" s="26"/>
      <c r="G17" s="35"/>
      <c r="H17" s="147"/>
      <c r="I17" s="136"/>
      <c r="J17" s="26"/>
      <c r="K17" s="26"/>
      <c r="L17" s="96"/>
      <c r="Q17" s="379"/>
      <c r="R17" s="46"/>
      <c r="S17" s="435"/>
      <c r="T17" s="136"/>
      <c r="U17" s="13"/>
    </row>
    <row r="18" spans="1:21" x14ac:dyDescent="0.35">
      <c r="B18" s="13"/>
      <c r="E18" s="13"/>
      <c r="H18" s="13"/>
      <c r="M18" s="25"/>
      <c r="Q18" s="379"/>
      <c r="R18" s="14"/>
      <c r="S18" s="410"/>
      <c r="U18" s="13"/>
    </row>
    <row r="19" spans="1:21" x14ac:dyDescent="0.35">
      <c r="A19" s="48" t="s">
        <v>448</v>
      </c>
      <c r="B19" s="73">
        <f>B32+B73</f>
        <v>7.1747976180796825E+21</v>
      </c>
      <c r="C19" s="13" t="s">
        <v>14</v>
      </c>
      <c r="D19" s="700" t="s">
        <v>37</v>
      </c>
      <c r="E19" s="119">
        <f>B19*(1/2*1.38E-23*1000)</f>
        <v>49.506103564749814</v>
      </c>
      <c r="F19" s="13" t="s">
        <v>9</v>
      </c>
      <c r="G19" s="700" t="s">
        <v>37</v>
      </c>
      <c r="H19" s="77">
        <f>B19*3/(6.02*10^23)</f>
        <v>3.5754805405712707E-2</v>
      </c>
      <c r="I19" s="436" t="s">
        <v>7</v>
      </c>
      <c r="J19" s="700" t="s">
        <v>8</v>
      </c>
      <c r="K19" s="170">
        <f>H19</f>
        <v>3.5754805405712707E-2</v>
      </c>
      <c r="L19" s="2" t="s">
        <v>7</v>
      </c>
      <c r="P19" s="253" t="s">
        <v>118</v>
      </c>
      <c r="Q19" s="379"/>
      <c r="R19" s="14"/>
      <c r="S19" s="410"/>
      <c r="U19" s="13"/>
    </row>
    <row r="20" spans="1:21" x14ac:dyDescent="0.35">
      <c r="A20" s="48"/>
      <c r="B20" s="585">
        <f>B33+B74</f>
        <v>7.1747976180796825E+21</v>
      </c>
      <c r="D20" s="700"/>
      <c r="E20" s="581">
        <f>B20*(1/2*1.38E-23*1000)</f>
        <v>49.506103564749814</v>
      </c>
      <c r="G20" s="700"/>
      <c r="H20" s="582">
        <f>B20*3/(6.02*10^23)</f>
        <v>3.5754805405712707E-2</v>
      </c>
      <c r="I20" s="436"/>
      <c r="J20" s="700"/>
      <c r="K20" s="170">
        <f>H20</f>
        <v>3.5754805405712707E-2</v>
      </c>
      <c r="L20" s="2"/>
      <c r="Q20" s="379"/>
      <c r="R20" s="14"/>
      <c r="S20" s="410"/>
      <c r="U20" s="13"/>
    </row>
    <row r="21" spans="1:21" x14ac:dyDescent="0.35">
      <c r="A21" s="48"/>
      <c r="B21" s="190">
        <f>B34+B75</f>
        <v>7.3167189230530729E+21</v>
      </c>
      <c r="D21" s="700"/>
      <c r="E21" s="211">
        <f>B21*(1/2*1.38E-23*1000)</f>
        <v>50.485360569066202</v>
      </c>
      <c r="G21" s="700"/>
      <c r="H21" s="184">
        <f>B21*3/(6.02*10^23)</f>
        <v>3.6462054433819308E-2</v>
      </c>
      <c r="I21" s="436"/>
      <c r="J21" s="700"/>
      <c r="K21" s="170">
        <f>H21</f>
        <v>3.6462054433819308E-2</v>
      </c>
      <c r="L21" s="2"/>
      <c r="M21" s="25"/>
      <c r="Q21" s="379"/>
      <c r="R21" s="14"/>
      <c r="S21" s="410"/>
      <c r="U21" s="13"/>
    </row>
    <row r="22" spans="1:21" x14ac:dyDescent="0.35">
      <c r="B22" s="700"/>
      <c r="L22" s="19"/>
      <c r="Q22" s="14"/>
      <c r="R22" s="46"/>
      <c r="S22" s="328"/>
      <c r="T22" s="136"/>
      <c r="U22" s="13"/>
    </row>
    <row r="23" spans="1:21" x14ac:dyDescent="0.35">
      <c r="A23" s="514" t="s">
        <v>860</v>
      </c>
      <c r="B23" s="415" t="s">
        <v>794</v>
      </c>
      <c r="D23" s="1183"/>
      <c r="E23" s="585" t="s">
        <v>796</v>
      </c>
      <c r="H23" s="1294" t="s">
        <v>795</v>
      </c>
      <c r="Q23" s="84"/>
      <c r="U23" s="13"/>
    </row>
    <row r="24" spans="1:21" x14ac:dyDescent="0.35">
      <c r="A24" s="514"/>
      <c r="B24" s="406"/>
      <c r="C24" s="19"/>
      <c r="D24" s="406"/>
      <c r="E24" s="110"/>
      <c r="F24" s="19"/>
      <c r="G24" s="19"/>
      <c r="I24" s="19"/>
      <c r="P24" s="252" t="s">
        <v>106</v>
      </c>
      <c r="Q24" s="435"/>
      <c r="U24" s="13"/>
    </row>
    <row r="25" spans="1:21" x14ac:dyDescent="0.35">
      <c r="A25" s="32" t="s">
        <v>344</v>
      </c>
      <c r="B25" s="700"/>
      <c r="E25" s="104"/>
      <c r="K25" s="1218"/>
      <c r="L25" s="1218"/>
      <c r="Q25" s="86"/>
      <c r="U25" s="13"/>
    </row>
    <row r="26" spans="1:21" x14ac:dyDescent="0.35">
      <c r="A26" s="36" t="s">
        <v>326</v>
      </c>
      <c r="B26" s="21">
        <f>'параметры для расчета'!C32</f>
        <v>30</v>
      </c>
      <c r="C26" s="1" t="s">
        <v>19</v>
      </c>
      <c r="E26" s="13"/>
      <c r="H26" s="13"/>
      <c r="K26" s="1219">
        <f>8.28/20</f>
        <v>0.41399999999999998</v>
      </c>
      <c r="L26" s="1218"/>
      <c r="M26" s="67" t="s">
        <v>447</v>
      </c>
      <c r="U26" s="13"/>
    </row>
    <row r="27" spans="1:21" x14ac:dyDescent="0.35">
      <c r="A27" s="4" t="s">
        <v>446</v>
      </c>
      <c r="B27" s="139">
        <f>('параметры для расчета'!C32*10^6)/('параметры для расчета'!C33*10^3)</f>
        <v>60</v>
      </c>
      <c r="C27" s="177" t="s">
        <v>33</v>
      </c>
      <c r="E27" s="943">
        <f>B27/('параметры для расчета'!C39*'параметры для расчета'!C40)</f>
        <v>125</v>
      </c>
      <c r="F27" s="13" t="s">
        <v>502</v>
      </c>
      <c r="H27" s="943">
        <f>E27/4</f>
        <v>31.25</v>
      </c>
      <c r="I27" s="13" t="s">
        <v>502</v>
      </c>
      <c r="J27" s="25"/>
      <c r="K27" s="1219">
        <f>('параметры для расчета'!C39*'параметры для расчета'!C40)</f>
        <v>0.48</v>
      </c>
      <c r="L27" s="1218"/>
      <c r="M27" s="25" t="s">
        <v>163</v>
      </c>
      <c r="P27" s="71"/>
      <c r="U27" s="13"/>
    </row>
    <row r="28" spans="1:21" x14ac:dyDescent="0.35">
      <c r="A28" s="4"/>
      <c r="B28" s="579">
        <f>('параметры для расчета'!C32*10^6)/('параметры для расчета'!C33*10^3)</f>
        <v>60</v>
      </c>
      <c r="C28" s="288"/>
      <c r="E28" s="32" t="s">
        <v>503</v>
      </c>
      <c r="H28" s="32" t="s">
        <v>504</v>
      </c>
      <c r="J28" s="25"/>
      <c r="K28" s="1218"/>
      <c r="L28" s="1218"/>
      <c r="M28" s="890"/>
      <c r="P28" s="71"/>
      <c r="U28" s="13"/>
    </row>
    <row r="29" spans="1:21" x14ac:dyDescent="0.35">
      <c r="B29" s="615">
        <f>('параметры для расчета'!C32*10^6)/('параметры для расчета'!C33*10^3)</f>
        <v>60</v>
      </c>
      <c r="C29" s="288"/>
      <c r="E29" s="13" t="s">
        <v>528</v>
      </c>
      <c r="H29" s="32" t="s">
        <v>505</v>
      </c>
      <c r="K29" s="1218"/>
      <c r="L29" s="1218"/>
      <c r="M29" s="451"/>
      <c r="U29" s="13"/>
    </row>
    <row r="30" spans="1:21" x14ac:dyDescent="0.35">
      <c r="B30" s="618"/>
      <c r="C30" s="288"/>
      <c r="E30" s="451"/>
      <c r="K30" s="1218"/>
      <c r="L30" s="1218"/>
      <c r="U30" s="13"/>
    </row>
    <row r="31" spans="1:21" x14ac:dyDescent="0.35">
      <c r="A31" s="36" t="s">
        <v>529</v>
      </c>
      <c r="K31" s="1220"/>
      <c r="L31" s="1218"/>
      <c r="U31" s="13"/>
    </row>
    <row r="32" spans="1:21" x14ac:dyDescent="0.35">
      <c r="A32" s="76" t="s">
        <v>544</v>
      </c>
      <c r="B32" s="68">
        <f>(6.25*10^18*B27)*'параметры для расчета'!C21%</f>
        <v>1.875E+20</v>
      </c>
      <c r="C32" s="13" t="s">
        <v>14</v>
      </c>
      <c r="D32" s="567" t="s">
        <v>37</v>
      </c>
      <c r="E32" s="114">
        <f>B32*(1/2*1.38E-23*300)</f>
        <v>0.388125</v>
      </c>
      <c r="F32" s="1" t="s">
        <v>9</v>
      </c>
      <c r="G32" s="567" t="s">
        <v>37</v>
      </c>
      <c r="H32" s="188">
        <f>B32*3/(6.02*10^23)</f>
        <v>9.3438538205980082E-4</v>
      </c>
      <c r="I32" s="17" t="s">
        <v>7</v>
      </c>
      <c r="J32" s="115"/>
      <c r="K32" s="1201">
        <f>B32+'баланс дейтерий'!B32</f>
        <v>3.75E+20</v>
      </c>
      <c r="L32" s="1218"/>
      <c r="M32" s="15" t="s">
        <v>64</v>
      </c>
      <c r="N32" s="119">
        <f>100*B32/B19</f>
        <v>2.6133141306665029</v>
      </c>
      <c r="O32" s="13" t="s">
        <v>18</v>
      </c>
      <c r="P32" s="54"/>
      <c r="R32" s="13"/>
      <c r="S32" s="13"/>
      <c r="U32" s="13"/>
    </row>
    <row r="33" spans="1:21" ht="15.65" customHeight="1" x14ac:dyDescent="0.35">
      <c r="A33" s="76"/>
      <c r="B33" s="489">
        <f>(6.25*10^18*B28)*'параметры для расчета'!C21%</f>
        <v>1.875E+20</v>
      </c>
      <c r="D33" s="567"/>
      <c r="E33" s="133">
        <f>B33*(1/2*1.38E-23*1000)</f>
        <v>1.2937500000000002</v>
      </c>
      <c r="F33" s="1"/>
      <c r="G33" s="567"/>
      <c r="H33" s="582">
        <f>B33*3/(6.02*10^23)</f>
        <v>9.3438538205980082E-4</v>
      </c>
      <c r="I33" s="436"/>
      <c r="J33" s="115"/>
      <c r="K33" s="1219"/>
      <c r="L33" s="1218"/>
      <c r="M33" s="15"/>
      <c r="N33" s="581">
        <f>100*B33/B20</f>
        <v>2.6133141306665029</v>
      </c>
      <c r="P33" s="54"/>
      <c r="R33" s="13"/>
      <c r="S33" s="13"/>
      <c r="U33" s="13"/>
    </row>
    <row r="34" spans="1:21" x14ac:dyDescent="0.35">
      <c r="B34" s="215">
        <v>0</v>
      </c>
      <c r="D34" s="567"/>
      <c r="E34" s="215">
        <f>B34*(1/2*1.38E-23*300)</f>
        <v>0</v>
      </c>
      <c r="F34" s="1"/>
      <c r="G34" s="567"/>
      <c r="H34" s="215">
        <f>B34*3/(6.02*10^23)</f>
        <v>0</v>
      </c>
      <c r="I34" s="289"/>
      <c r="K34" s="1218"/>
      <c r="L34" s="1218"/>
      <c r="N34" s="552">
        <f>100*B34/B21</f>
        <v>0</v>
      </c>
      <c r="P34" s="19"/>
      <c r="R34" s="13"/>
      <c r="S34" s="13"/>
      <c r="U34" s="13"/>
    </row>
    <row r="35" spans="1:21" x14ac:dyDescent="0.35">
      <c r="B35" s="957"/>
      <c r="D35" s="567"/>
      <c r="E35" s="111"/>
      <c r="G35" s="567"/>
      <c r="K35" s="1218"/>
      <c r="L35" s="1218"/>
      <c r="U35" s="13"/>
    </row>
    <row r="36" spans="1:21" x14ac:dyDescent="0.35">
      <c r="A36" s="12" t="s">
        <v>545</v>
      </c>
      <c r="B36" s="68">
        <f>B32/'параметры для расчета'!C66%</f>
        <v>2.0833333333333334E+20</v>
      </c>
      <c r="C36" s="13" t="s">
        <v>14</v>
      </c>
      <c r="D36" s="18" t="s">
        <v>37</v>
      </c>
      <c r="E36" s="114">
        <f>B36*(1/2*1.38E-23*300)</f>
        <v>0.43125000000000002</v>
      </c>
      <c r="F36" s="1" t="s">
        <v>9</v>
      </c>
      <c r="G36" s="18" t="s">
        <v>37</v>
      </c>
      <c r="H36" s="527">
        <f>B36*3/(6.02*10^23)</f>
        <v>1.0382059800664453E-3</v>
      </c>
      <c r="I36" s="17" t="s">
        <v>7</v>
      </c>
      <c r="K36" s="1221">
        <f>B36+'баланс дейтерий'!B36</f>
        <v>4.1666666666666669E+20</v>
      </c>
      <c r="L36" s="1218" t="s">
        <v>501</v>
      </c>
      <c r="M36" s="85" t="s">
        <v>770</v>
      </c>
      <c r="N36" s="13"/>
      <c r="P36" s="17"/>
      <c r="Q36" s="103"/>
      <c r="U36" s="13"/>
    </row>
    <row r="37" spans="1:21" x14ac:dyDescent="0.35">
      <c r="A37" s="94" t="s">
        <v>530</v>
      </c>
      <c r="B37" s="489">
        <f>B33/'параметры для расчета'!C67%</f>
        <v>2.0833333333333334E+20</v>
      </c>
      <c r="D37" s="567"/>
      <c r="E37" s="133">
        <f>B37*(1/2*1.38E-23*1000)</f>
        <v>1.4375000000000002</v>
      </c>
      <c r="F37" s="1"/>
      <c r="G37" s="567"/>
      <c r="H37" s="582">
        <f>B37*3/(6.02*10^23)</f>
        <v>1.0382059800664453E-3</v>
      </c>
      <c r="I37" s="319"/>
      <c r="J37" s="302"/>
      <c r="K37" s="1221">
        <f>B37+'баланс дейтерий'!B37</f>
        <v>4.1666666666666669E+20</v>
      </c>
      <c r="L37" s="1222"/>
      <c r="M37" s="85" t="s">
        <v>771</v>
      </c>
      <c r="N37" s="13"/>
      <c r="P37" s="436"/>
      <c r="Q37" s="103"/>
      <c r="U37" s="13"/>
    </row>
    <row r="38" spans="1:21" x14ac:dyDescent="0.35">
      <c r="A38" s="482"/>
      <c r="B38" s="215">
        <f>B34/'параметры для расчета'!C68%</f>
        <v>0</v>
      </c>
      <c r="D38" s="567"/>
      <c r="E38" s="215">
        <f>B38*(1/2*1.38E-23*300)</f>
        <v>0</v>
      </c>
      <c r="F38" s="1"/>
      <c r="G38" s="567"/>
      <c r="H38" s="215">
        <f>B38*3/(6.02*10^23)</f>
        <v>0</v>
      </c>
      <c r="I38" s="289"/>
      <c r="J38" s="305"/>
      <c r="K38" s="1221">
        <f>B38+'баланс дейтерий'!B38</f>
        <v>4.1666666666666669E+20</v>
      </c>
      <c r="L38" s="1218"/>
      <c r="N38" s="13"/>
      <c r="U38" s="13"/>
    </row>
    <row r="39" spans="1:21" x14ac:dyDescent="0.35">
      <c r="B39" s="342"/>
      <c r="C39" s="19"/>
      <c r="D39" s="406"/>
      <c r="E39" s="342"/>
      <c r="F39" s="112"/>
      <c r="G39" s="406"/>
      <c r="H39" s="342"/>
      <c r="I39" s="22"/>
      <c r="J39" s="19"/>
      <c r="K39" s="19"/>
      <c r="L39" s="19"/>
      <c r="M39" s="19"/>
      <c r="N39" s="217"/>
      <c r="O39" s="19"/>
      <c r="R39" s="410"/>
      <c r="S39" s="436"/>
      <c r="U39" s="13"/>
    </row>
    <row r="40" spans="1:21" x14ac:dyDescent="0.35">
      <c r="A40" s="13" t="s">
        <v>155</v>
      </c>
      <c r="J40" s="25"/>
      <c r="Q40" s="167"/>
      <c r="U40" s="13"/>
    </row>
    <row r="41" spans="1:21" x14ac:dyDescent="0.35">
      <c r="A41" s="120" t="s">
        <v>63</v>
      </c>
      <c r="B41" s="23">
        <f>'параметры для расчета'!F31</f>
        <v>4</v>
      </c>
      <c r="C41" s="22" t="s">
        <v>42</v>
      </c>
      <c r="D41" s="19"/>
      <c r="E41" s="261" t="s">
        <v>111</v>
      </c>
      <c r="F41" s="19"/>
      <c r="G41" s="19"/>
      <c r="H41" s="118"/>
      <c r="I41" s="19"/>
      <c r="J41" s="74"/>
      <c r="K41" s="19"/>
      <c r="L41" s="19"/>
      <c r="M41" s="19"/>
      <c r="N41" s="130"/>
      <c r="O41" s="19"/>
      <c r="P41" s="262" t="s">
        <v>110</v>
      </c>
      <c r="Q41" s="167"/>
      <c r="R41" s="410"/>
      <c r="S41" s="436"/>
      <c r="U41" s="13"/>
    </row>
    <row r="42" spans="1:21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410"/>
      <c r="S42" s="436"/>
      <c r="U42" s="13"/>
    </row>
    <row r="43" spans="1:21" x14ac:dyDescent="0.35">
      <c r="A43" s="246" t="s">
        <v>126</v>
      </c>
      <c r="B43" s="68">
        <f>B32</f>
        <v>1.875E+20</v>
      </c>
      <c r="C43" s="19" t="s">
        <v>14</v>
      </c>
      <c r="D43" s="20" t="s">
        <v>37</v>
      </c>
      <c r="E43" s="114">
        <f>B43*(1/2*1.38E-23*300)</f>
        <v>0.388125</v>
      </c>
      <c r="F43" s="186" t="s">
        <v>9</v>
      </c>
      <c r="G43" s="19"/>
      <c r="H43" s="58"/>
      <c r="I43" s="19"/>
      <c r="J43" s="19"/>
      <c r="K43" s="19"/>
      <c r="L43" s="19"/>
      <c r="M43" s="19"/>
      <c r="N43" s="19"/>
      <c r="O43" s="19"/>
      <c r="P43" s="19"/>
      <c r="Q43" s="19"/>
      <c r="R43" s="410"/>
      <c r="S43" s="436"/>
      <c r="U43" s="13"/>
    </row>
    <row r="44" spans="1:21" x14ac:dyDescent="0.35">
      <c r="A44" s="246"/>
      <c r="B44" s="489">
        <f>B33</f>
        <v>1.875E+20</v>
      </c>
      <c r="D44" s="1241"/>
      <c r="E44" s="133">
        <f>B44*(1/2*1.38E-23*300)</f>
        <v>0.388125</v>
      </c>
      <c r="F44" s="186"/>
      <c r="G44" s="19"/>
      <c r="H44" s="58"/>
      <c r="I44" s="19"/>
      <c r="J44" s="19"/>
      <c r="K44" s="19"/>
      <c r="L44" s="19"/>
      <c r="M44" s="19"/>
      <c r="N44" s="19"/>
      <c r="O44" s="19"/>
      <c r="P44" s="19"/>
      <c r="Q44" s="19"/>
      <c r="R44" s="410"/>
      <c r="S44" s="436"/>
      <c r="U44" s="13"/>
    </row>
    <row r="45" spans="1:21" x14ac:dyDescent="0.35">
      <c r="A45" s="19"/>
      <c r="B45" s="215">
        <v>0</v>
      </c>
      <c r="C45" s="216"/>
      <c r="D45" s="217"/>
      <c r="E45" s="215">
        <f>B45*(1/2*1.38E-23*300)</f>
        <v>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410"/>
      <c r="S45" s="436"/>
      <c r="U45" s="13"/>
    </row>
    <row r="46" spans="1:21" x14ac:dyDescent="0.35">
      <c r="A46" s="19"/>
      <c r="B46" s="19"/>
      <c r="C46" s="19"/>
      <c r="D46" s="19"/>
      <c r="E46" s="20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410"/>
      <c r="S46" s="436"/>
      <c r="U46" s="13"/>
    </row>
    <row r="47" spans="1:21" x14ac:dyDescent="0.35">
      <c r="A47" s="246" t="s">
        <v>128</v>
      </c>
      <c r="B47" s="191">
        <f>E47/(1/2*1.38E-23*300)</f>
        <v>4.3478260869565215E+21</v>
      </c>
      <c r="C47" s="19" t="s">
        <v>14</v>
      </c>
      <c r="D47" s="20" t="s">
        <v>37</v>
      </c>
      <c r="E47" s="192">
        <f>IF(N32&gt;100,N47/(N32/100),N47)*B41*'параметры для расчета'!C21%</f>
        <v>9</v>
      </c>
      <c r="F47" s="186" t="s">
        <v>9</v>
      </c>
      <c r="G47" s="19"/>
      <c r="H47" s="19"/>
      <c r="I47" s="19"/>
      <c r="J47" s="19"/>
      <c r="K47" s="19"/>
      <c r="L47" s="19"/>
      <c r="M47" s="19"/>
      <c r="N47" s="237">
        <f>'параметры для расчета'!C37</f>
        <v>4.5</v>
      </c>
      <c r="O47" s="112" t="s">
        <v>9</v>
      </c>
      <c r="P47" s="74"/>
      <c r="Q47" s="19"/>
      <c r="R47" s="410"/>
      <c r="S47" s="436"/>
      <c r="U47" s="13"/>
    </row>
    <row r="48" spans="1:21" x14ac:dyDescent="0.35">
      <c r="A48" s="246"/>
      <c r="B48" s="489">
        <f>E48/(1/2*1.38E-23*300)</f>
        <v>4.3478260869565215E+21</v>
      </c>
      <c r="C48" s="216"/>
      <c r="D48" s="217"/>
      <c r="E48" s="581">
        <f>IF(N33&gt;100,N47/(N33/100),N47)*B41*'параметры для расчета'!C21%</f>
        <v>9</v>
      </c>
      <c r="F48" s="186"/>
      <c r="G48" s="19"/>
      <c r="H48" s="19"/>
      <c r="I48" s="19"/>
      <c r="J48" s="19"/>
      <c r="K48" s="19"/>
      <c r="L48" s="19"/>
      <c r="M48" s="19"/>
      <c r="N48" s="19"/>
      <c r="O48" s="112"/>
      <c r="P48" s="187" t="s">
        <v>154</v>
      </c>
      <c r="Q48" s="19"/>
      <c r="R48" s="410"/>
      <c r="S48" s="436"/>
      <c r="U48" s="13"/>
    </row>
    <row r="49" spans="1:19" s="13" customFormat="1" x14ac:dyDescent="0.35">
      <c r="A49" s="19"/>
      <c r="B49" s="215">
        <v>0</v>
      </c>
      <c r="C49" s="216"/>
      <c r="D49" s="217"/>
      <c r="E49" s="215">
        <f>B49*(1/2*1.38E-23*300)</f>
        <v>0</v>
      </c>
      <c r="F49" s="19"/>
      <c r="G49" s="19"/>
      <c r="H49" s="263"/>
      <c r="I49" s="186"/>
      <c r="J49" s="186"/>
      <c r="K49" s="19"/>
      <c r="L49" s="19"/>
      <c r="M49" s="19"/>
      <c r="N49" s="19"/>
      <c r="O49" s="19"/>
      <c r="P49" s="187" t="s">
        <v>153</v>
      </c>
      <c r="Q49" s="19"/>
      <c r="R49" s="410"/>
      <c r="S49" s="436"/>
    </row>
    <row r="50" spans="1:19" s="13" customFormat="1" x14ac:dyDescent="0.35">
      <c r="A50" s="246" t="s">
        <v>127</v>
      </c>
      <c r="B50" s="191">
        <f>E50/(1/2*1.38E-23*300)</f>
        <v>1.8840579710144926E+22</v>
      </c>
      <c r="C50" s="19" t="s">
        <v>14</v>
      </c>
      <c r="D50" s="20" t="s">
        <v>37</v>
      </c>
      <c r="E50" s="192">
        <f>IF(N32&gt;100,N50/(N32/100),N50)*B41*'параметры для расчета'!C21%</f>
        <v>39</v>
      </c>
      <c r="F50" s="186" t="s">
        <v>9</v>
      </c>
      <c r="G50" s="19"/>
      <c r="H50" s="263"/>
      <c r="I50" s="186"/>
      <c r="J50" s="186"/>
      <c r="K50" s="19"/>
      <c r="L50" s="19"/>
      <c r="M50" s="19"/>
      <c r="N50" s="237">
        <f>'параметры для расчета'!C38</f>
        <v>19.5</v>
      </c>
      <c r="O50" s="112" t="s">
        <v>9</v>
      </c>
      <c r="P50" s="74"/>
      <c r="Q50" s="19"/>
      <c r="R50" s="410"/>
      <c r="S50" s="436"/>
    </row>
    <row r="51" spans="1:19" s="13" customFormat="1" x14ac:dyDescent="0.35">
      <c r="A51" s="246"/>
      <c r="B51" s="489">
        <f>E51/(1/2*1.38E-23*300)</f>
        <v>1.8840579710144926E+22</v>
      </c>
      <c r="C51" s="216"/>
      <c r="D51" s="217"/>
      <c r="E51" s="133">
        <f>IF(N33&gt;100,N50/(N33/100),N50)*B41*'параметры для расчета'!C21%</f>
        <v>39</v>
      </c>
      <c r="F51" s="186"/>
      <c r="G51" s="19"/>
      <c r="H51" s="263"/>
      <c r="I51" s="186"/>
      <c r="J51" s="186"/>
      <c r="K51" s="19"/>
      <c r="L51" s="568"/>
      <c r="M51" s="112"/>
      <c r="N51" s="232"/>
      <c r="O51" s="19"/>
      <c r="P51" s="74"/>
      <c r="Q51" s="19"/>
      <c r="R51" s="410"/>
      <c r="S51" s="436"/>
    </row>
    <row r="52" spans="1:19" s="13" customFormat="1" x14ac:dyDescent="0.35">
      <c r="A52" s="19"/>
      <c r="B52" s="215">
        <v>0</v>
      </c>
      <c r="C52" s="216"/>
      <c r="D52" s="217"/>
      <c r="E52" s="215">
        <f>B52*(1/2*1.38E-23*300)</f>
        <v>0</v>
      </c>
      <c r="F52" s="19"/>
      <c r="G52" s="19"/>
      <c r="H52" s="58"/>
      <c r="I52" s="19"/>
      <c r="J52" s="19"/>
      <c r="K52" s="19"/>
      <c r="L52" s="19"/>
      <c r="M52" s="19"/>
      <c r="N52" s="130"/>
      <c r="O52" s="19"/>
      <c r="P52" s="19"/>
      <c r="R52" s="410"/>
      <c r="S52" s="436"/>
    </row>
    <row r="53" spans="1:19" s="13" customFormat="1" x14ac:dyDescent="0.35">
      <c r="A53" s="19"/>
      <c r="B53" s="19"/>
      <c r="C53" s="19"/>
      <c r="D53" s="19"/>
      <c r="E53" s="20"/>
      <c r="F53" s="19"/>
      <c r="G53" s="19"/>
      <c r="H53" s="19"/>
      <c r="I53" s="19"/>
      <c r="J53" s="19"/>
      <c r="K53" s="19"/>
      <c r="L53" s="19"/>
      <c r="M53" s="19"/>
      <c r="N53" s="381"/>
      <c r="O53" s="19"/>
      <c r="P53" s="19"/>
      <c r="R53" s="410"/>
      <c r="S53" s="436"/>
    </row>
    <row r="54" spans="1:19" s="13" customFormat="1" x14ac:dyDescent="0.35">
      <c r="A54" s="246" t="s">
        <v>129</v>
      </c>
      <c r="B54" s="68">
        <f>(B47+B50)/B41</f>
        <v>5.797101449275362E+21</v>
      </c>
      <c r="C54" s="19" t="s">
        <v>14</v>
      </c>
      <c r="D54" s="20" t="s">
        <v>37</v>
      </c>
      <c r="E54" s="114">
        <f>B54*(1/2*1.38E-23*300)</f>
        <v>12</v>
      </c>
      <c r="F54" s="121" t="s">
        <v>9</v>
      </c>
      <c r="G54" s="20" t="s">
        <v>37</v>
      </c>
      <c r="H54" s="509">
        <f>B54*3/(6.02*10^23)</f>
        <v>2.8889209880109779E-2</v>
      </c>
      <c r="I54" s="121" t="s">
        <v>7</v>
      </c>
      <c r="J54" s="186"/>
      <c r="K54" s="19"/>
      <c r="L54" s="140"/>
      <c r="M54" s="120" t="s">
        <v>159</v>
      </c>
      <c r="N54" s="55">
        <f>100*(B43/B41)/B54</f>
        <v>0.80859375000000011</v>
      </c>
      <c r="O54" s="19" t="s">
        <v>18</v>
      </c>
      <c r="P54" s="54" t="s">
        <v>160</v>
      </c>
      <c r="R54" s="410"/>
      <c r="S54" s="436"/>
    </row>
    <row r="55" spans="1:19" s="13" customFormat="1" x14ac:dyDescent="0.35">
      <c r="A55" s="246"/>
      <c r="B55" s="489">
        <f>(B48+B51)/B41</f>
        <v>5.797101449275362E+21</v>
      </c>
      <c r="C55" s="216"/>
      <c r="D55" s="217"/>
      <c r="E55" s="581">
        <f>B55*(1/2*1.38E-23*300)</f>
        <v>12</v>
      </c>
      <c r="F55" s="1"/>
      <c r="G55" s="1241"/>
      <c r="H55" s="1295">
        <f>B55*3/(6.02*10^23)</f>
        <v>2.8889209880109779E-2</v>
      </c>
      <c r="I55" s="121"/>
      <c r="J55" s="186"/>
      <c r="K55" s="19"/>
      <c r="L55" s="568"/>
      <c r="M55" s="120"/>
      <c r="N55" s="568"/>
      <c r="O55" s="19"/>
      <c r="P55" s="54" t="s">
        <v>161</v>
      </c>
      <c r="R55" s="410"/>
      <c r="S55" s="436"/>
    </row>
    <row r="56" spans="1:19" s="13" customFormat="1" x14ac:dyDescent="0.35">
      <c r="A56" s="246"/>
      <c r="B56" s="215">
        <f>(B49+B52)/B41</f>
        <v>0</v>
      </c>
      <c r="C56" s="216"/>
      <c r="D56" s="217"/>
      <c r="E56" s="215">
        <f>B56*(1/2*1.38E-23*300)</f>
        <v>0</v>
      </c>
      <c r="F56" s="216"/>
      <c r="G56" s="217"/>
      <c r="H56" s="595">
        <f>B56*3/(6.02*10^23)</f>
        <v>0</v>
      </c>
      <c r="I56" s="289"/>
      <c r="J56" s="186"/>
      <c r="K56" s="19"/>
      <c r="L56" s="140"/>
      <c r="M56" s="94"/>
      <c r="N56" s="140"/>
      <c r="O56" s="19"/>
      <c r="R56" s="410"/>
      <c r="S56" s="436"/>
    </row>
    <row r="57" spans="1:19" s="13" customFormat="1" x14ac:dyDescent="0.35">
      <c r="A57" s="19"/>
      <c r="B57" s="110"/>
      <c r="C57" s="19"/>
      <c r="D57" s="19"/>
      <c r="E57" s="110"/>
      <c r="F57" s="19"/>
      <c r="G57" s="19"/>
      <c r="H57" s="58"/>
      <c r="I57" s="19"/>
      <c r="J57" s="19"/>
      <c r="K57" s="19"/>
      <c r="L57" s="19"/>
      <c r="M57" s="120"/>
      <c r="N57" s="130"/>
      <c r="O57" s="19"/>
      <c r="P57" s="235" t="s">
        <v>112</v>
      </c>
      <c r="R57" s="410"/>
      <c r="S57" s="436"/>
    </row>
    <row r="58" spans="1:19" s="13" customFormat="1" x14ac:dyDescent="0.35">
      <c r="A58" s="120" t="s">
        <v>130</v>
      </c>
      <c r="B58" s="1298">
        <f>'[3]динамика трития в инжекторах'!AC98</f>
        <v>3.5555555555555561E+19</v>
      </c>
      <c r="C58" s="19" t="s">
        <v>14</v>
      </c>
      <c r="D58" s="20" t="s">
        <v>37</v>
      </c>
      <c r="E58" s="496">
        <f>B58*(1/2*1.38E-23*300)</f>
        <v>7.3600000000000013E-2</v>
      </c>
      <c r="F58" s="19" t="s">
        <v>9</v>
      </c>
      <c r="G58" s="20" t="s">
        <v>37</v>
      </c>
      <c r="H58" s="1299">
        <f>B58*3/(6.02*10^23)</f>
        <v>1.7718715393134004E-4</v>
      </c>
      <c r="I58" s="22" t="s">
        <v>7</v>
      </c>
      <c r="J58" s="19"/>
      <c r="K58" s="19"/>
      <c r="L58" s="19"/>
      <c r="M58" s="19"/>
      <c r="N58" s="41"/>
      <c r="O58" s="19"/>
      <c r="P58" s="235"/>
      <c r="R58" s="410"/>
      <c r="S58" s="436"/>
    </row>
    <row r="59" spans="1:19" s="13" customFormat="1" x14ac:dyDescent="0.35">
      <c r="A59" s="19"/>
      <c r="B59" s="316">
        <f>B58*B41</f>
        <v>1.4222222222222225E+20</v>
      </c>
      <c r="C59" s="19"/>
      <c r="D59" s="19"/>
      <c r="E59" s="422"/>
      <c r="F59" s="19"/>
      <c r="G59" s="19"/>
      <c r="H59" s="58"/>
      <c r="I59" s="19"/>
      <c r="J59" s="19"/>
      <c r="K59" s="19"/>
      <c r="L59" s="19"/>
      <c r="M59" s="19"/>
      <c r="N59" s="235"/>
      <c r="O59" s="19"/>
      <c r="P59" s="265"/>
      <c r="R59" s="410"/>
      <c r="S59" s="436"/>
    </row>
    <row r="60" spans="1:19" s="13" customFormat="1" x14ac:dyDescent="0.35">
      <c r="A60" s="13" t="s">
        <v>827</v>
      </c>
      <c r="B60" s="105"/>
      <c r="E60" s="111"/>
      <c r="H60" s="39"/>
      <c r="N60" s="41"/>
      <c r="R60" s="410"/>
      <c r="S60" s="436"/>
    </row>
    <row r="61" spans="1:19" s="13" customFormat="1" ht="17.5" x14ac:dyDescent="0.35">
      <c r="A61" s="7" t="s">
        <v>34</v>
      </c>
      <c r="B61" s="68">
        <f>B54+B58-B36/B41</f>
        <v>5.7805736714975838E+21</v>
      </c>
      <c r="C61" s="13" t="s">
        <v>14</v>
      </c>
      <c r="D61" s="945" t="s">
        <v>37</v>
      </c>
      <c r="E61" s="114">
        <f>B61*(1/2*1.38E-23*300)</f>
        <v>11.965787499999999</v>
      </c>
      <c r="F61" s="13" t="s">
        <v>9</v>
      </c>
      <c r="G61" s="945" t="s">
        <v>37</v>
      </c>
      <c r="H61" s="455">
        <f>B61*3/(6.02*10^23)</f>
        <v>2.880684553902451E-2</v>
      </c>
      <c r="I61" s="17" t="s">
        <v>7</v>
      </c>
      <c r="J61" s="94" t="s">
        <v>132</v>
      </c>
      <c r="K61" s="37" t="s">
        <v>139</v>
      </c>
      <c r="L61" s="32"/>
      <c r="N61" s="49"/>
      <c r="R61" s="410"/>
      <c r="S61" s="436"/>
    </row>
    <row r="62" spans="1:19" s="13" customFormat="1" x14ac:dyDescent="0.3">
      <c r="A62" s="7"/>
      <c r="B62" s="686">
        <f>B55+B58-B37/B41</f>
        <v>5.7805736714975838E+21</v>
      </c>
      <c r="C62" s="1"/>
      <c r="D62" s="10"/>
      <c r="E62" s="1297">
        <f>B62*(1/2*1.38E-23*300)</f>
        <v>11.965787499999999</v>
      </c>
      <c r="F62" s="112"/>
      <c r="G62" s="124"/>
      <c r="H62" s="1296">
        <f>B62*3/(6.02*10^23)</f>
        <v>2.880684553902451E-2</v>
      </c>
      <c r="I62" s="436"/>
      <c r="J62" s="12"/>
      <c r="K62" s="38"/>
      <c r="L62" s="32"/>
      <c r="N62" s="49"/>
      <c r="R62" s="410"/>
      <c r="S62" s="436"/>
    </row>
    <row r="63" spans="1:19" s="13" customFormat="1" x14ac:dyDescent="0.3">
      <c r="B63" s="637">
        <f>(B56+B58-B38/B41)-(-'[3]динамика трития в инжекторах'!F10/B41)</f>
        <v>3.5555555555555561E+19</v>
      </c>
      <c r="C63" s="112"/>
      <c r="D63" s="124"/>
      <c r="E63" s="979">
        <f>B63*(1/2*1.38E-23*300)</f>
        <v>7.3600000000000013E-2</v>
      </c>
      <c r="F63" s="112"/>
      <c r="G63" s="124"/>
      <c r="H63" s="980">
        <f>B63*3/(6.02*10^23)</f>
        <v>1.7718715393134004E-4</v>
      </c>
      <c r="I63" s="289"/>
      <c r="J63" s="12"/>
      <c r="K63" s="38"/>
      <c r="L63" s="32"/>
      <c r="N63" s="49"/>
      <c r="O63" s="63"/>
      <c r="R63" s="410"/>
      <c r="S63" s="436"/>
    </row>
    <row r="64" spans="1:19" s="13" customFormat="1" x14ac:dyDescent="0.35">
      <c r="B64" s="316">
        <f>B63*B41</f>
        <v>1.4222222222222225E+20</v>
      </c>
      <c r="C64" s="19"/>
      <c r="E64" s="63"/>
      <c r="G64" s="20"/>
      <c r="H64" s="62"/>
      <c r="I64" s="17"/>
      <c r="J64" s="104"/>
      <c r="N64" s="130"/>
      <c r="P64" s="12"/>
      <c r="R64" s="410"/>
      <c r="S64" s="436"/>
    </row>
    <row r="65" spans="1:23" x14ac:dyDescent="0.35">
      <c r="A65" s="120" t="s">
        <v>303</v>
      </c>
      <c r="B65" s="411">
        <f>B58/(B47+B50)</f>
        <v>1.5333333333333336E-3</v>
      </c>
      <c r="C65" s="19" t="s">
        <v>18</v>
      </c>
      <c r="D65" s="117"/>
      <c r="E65" s="1113">
        <f>(B56+B58-B38/B41)</f>
        <v>3.5555555555555561E+19</v>
      </c>
      <c r="H65" s="62"/>
      <c r="I65" s="17"/>
      <c r="J65" s="104"/>
      <c r="M65" s="48"/>
      <c r="N65" s="368"/>
      <c r="O65" s="112"/>
      <c r="P65" s="199"/>
      <c r="Q65" s="14"/>
      <c r="R65" s="410"/>
      <c r="S65" s="436"/>
      <c r="U65" s="13"/>
    </row>
    <row r="66" spans="1:23" x14ac:dyDescent="0.35">
      <c r="A66" s="120" t="s">
        <v>304</v>
      </c>
      <c r="B66" s="1229">
        <f>B58/(B48+B51)</f>
        <v>1.5333333333333336E-3</v>
      </c>
      <c r="C66" s="19"/>
      <c r="D66" s="628"/>
      <c r="E66" s="1113">
        <f>(-'[3]динамика трития в инжекторах'!F10/B41)</f>
        <v>0</v>
      </c>
      <c r="H66" s="62"/>
      <c r="I66" s="436"/>
      <c r="J66" s="104"/>
      <c r="M66" s="48"/>
      <c r="N66" s="368"/>
      <c r="O66" s="112"/>
      <c r="P66" s="199"/>
      <c r="Q66" s="14"/>
      <c r="R66" s="410"/>
      <c r="S66" s="436"/>
      <c r="U66" s="13"/>
    </row>
    <row r="67" spans="1:23" x14ac:dyDescent="0.35">
      <c r="A67" s="71"/>
      <c r="B67" s="215">
        <v>0</v>
      </c>
      <c r="C67" s="19"/>
      <c r="D67" s="246"/>
      <c r="E67" s="274"/>
      <c r="F67" s="136"/>
      <c r="G67" s="35"/>
      <c r="H67" s="140"/>
      <c r="I67" s="19"/>
      <c r="J67" s="94" t="s">
        <v>132</v>
      </c>
      <c r="K67" s="37" t="s">
        <v>677</v>
      </c>
      <c r="M67" s="492"/>
      <c r="N67" s="368"/>
      <c r="O67" s="112"/>
      <c r="P67" s="199"/>
      <c r="R67" s="410"/>
      <c r="S67" s="436"/>
      <c r="U67" s="13"/>
    </row>
    <row r="68" spans="1:23" x14ac:dyDescent="0.35">
      <c r="B68" s="19"/>
      <c r="C68" s="19"/>
      <c r="D68" s="19"/>
      <c r="E68" s="1119"/>
      <c r="F68" s="19"/>
      <c r="G68" s="19"/>
      <c r="H68" s="58"/>
      <c r="I68" s="19"/>
      <c r="J68" s="19"/>
      <c r="K68" s="19"/>
      <c r="L68" s="19"/>
      <c r="M68" s="19"/>
      <c r="N68" s="130"/>
      <c r="O68" s="19"/>
      <c r="P68" s="19"/>
      <c r="R68" s="410"/>
      <c r="S68" s="436"/>
      <c r="U68" s="13"/>
    </row>
    <row r="69" spans="1:23" x14ac:dyDescent="0.35">
      <c r="P69" s="252"/>
      <c r="R69" s="410"/>
      <c r="S69" s="436"/>
    </row>
    <row r="70" spans="1:23" x14ac:dyDescent="0.35">
      <c r="A70" s="38" t="s">
        <v>539</v>
      </c>
      <c r="B70" s="410"/>
      <c r="C70" s="435"/>
      <c r="D70" s="14"/>
      <c r="E70" s="673"/>
      <c r="F70" s="14"/>
    </row>
    <row r="71" spans="1:23" x14ac:dyDescent="0.35">
      <c r="A71" s="50" t="s">
        <v>99</v>
      </c>
      <c r="B71" s="33"/>
      <c r="C71" s="27"/>
      <c r="D71" s="14"/>
      <c r="E71" s="104"/>
      <c r="F71" s="1"/>
      <c r="P71" s="252" t="s">
        <v>105</v>
      </c>
    </row>
    <row r="72" spans="1:23" x14ac:dyDescent="0.35">
      <c r="A72" s="714" t="s">
        <v>764</v>
      </c>
      <c r="B72" s="107"/>
      <c r="C72" s="80"/>
      <c r="D72" s="20"/>
      <c r="E72" s="339"/>
      <c r="F72" s="112"/>
      <c r="G72" s="20"/>
      <c r="H72" s="107"/>
      <c r="I72" s="3"/>
      <c r="K72" s="14"/>
      <c r="N72" s="1369"/>
    </row>
    <row r="73" spans="1:23" x14ac:dyDescent="0.35">
      <c r="A73" s="48" t="s">
        <v>910</v>
      </c>
      <c r="B73" s="73">
        <f>(B4-'параметры для расчета'!C20%*(B5+'баланс дейтерий'!B5)-B32*'параметры для расчета'!K14-'параметры для расчета'!C20%*(B10+'баланс дейтерий'!B10)*'параметры для расчета'!K16-(B93*B90*B87)*'параметры для расчета'!C68%*'параметры для расчета'!C61%*'параметры для расчета'!K15+'параметры для расчета'!C13*'параметры для расчета'!K17+('[1]параметры для расчета'!$H$43*1000/(3*1.6)*('параметры для расчета'!C16/'[1]параметры для расчета'!$N$3)*10^19)*'параметры для расчета'!C20%*(1-'[1]параметры для расчета'!$F$44)*'параметры для расчета'!K15)/'параметры для расчета'!K15</f>
        <v>6.9872976180796824E+21</v>
      </c>
      <c r="C73" s="13" t="s">
        <v>29</v>
      </c>
      <c r="D73" s="736" t="s">
        <v>37</v>
      </c>
      <c r="E73" s="119">
        <f>B73*(1/2*1.38E-23*1000)</f>
        <v>48.212353564749812</v>
      </c>
      <c r="F73" s="13" t="s">
        <v>9</v>
      </c>
      <c r="G73" s="736" t="s">
        <v>37</v>
      </c>
      <c r="H73" s="77">
        <f>B73*3/(6.02*10^23)</f>
        <v>3.4820420023652904E-2</v>
      </c>
      <c r="I73" s="3" t="s">
        <v>2</v>
      </c>
      <c r="K73" s="14" t="s">
        <v>313</v>
      </c>
      <c r="N73" s="1370"/>
      <c r="O73" s="1212"/>
    </row>
    <row r="74" spans="1:23" x14ac:dyDescent="0.35">
      <c r="A74" s="48"/>
      <c r="B74" s="585">
        <f>(B4-'параметры для расчета'!C20%*(B5+'баланс дейтерий'!B5)-B33*'параметры для расчета'!K14-'параметры для расчета'!C20%*(B10+'баланс дейтерий'!B10)*'параметры для расчета'!K16-(E93*E90*E87)*'параметры для расчета'!C68%*'параметры для расчета'!C61%*'параметры для расчета'!K15+'параметры для расчета'!C13*'параметры для расчета'!K17+('[1]параметры для расчета'!$H$43*1000/(3*1.6)*('параметры для расчета'!C16/'[1]параметры для расчета'!$N$3)*10^19)*'параметры для расчета'!C20%*(1-'[1]параметры для расчета'!$F$44)*'параметры для расчета'!K15)/'параметры для расчета'!K15</f>
        <v>6.9872976180796824E+21</v>
      </c>
      <c r="D74" s="736"/>
      <c r="E74" s="581">
        <f>B74*(1/2*1.38E-23*1000)</f>
        <v>48.212353564749812</v>
      </c>
      <c r="G74" s="736"/>
      <c r="H74" s="582">
        <f>B74*3/(6.02*10^23)</f>
        <v>3.4820420023652904E-2</v>
      </c>
      <c r="I74" s="3"/>
      <c r="K74" s="14"/>
      <c r="N74" s="1072"/>
      <c r="O74" s="1212"/>
      <c r="V74" s="88"/>
      <c r="W74" s="17"/>
    </row>
    <row r="75" spans="1:23" x14ac:dyDescent="0.35">
      <c r="A75" s="48"/>
      <c r="B75" s="190">
        <f>(B4-'параметры для расчета'!C20%*(B5+'баланс дейтерий'!B5)-B34*'параметры для расчета'!K14-'параметры для расчета'!C20%*(B10+'баланс дейтерий'!B10)*'параметры для расчета'!K16-(H93*H90*H87)*'параметры для расчета'!C68%*'параметры для расчета'!C61%*'параметры для расчета'!K15+'параметры для расчета'!C13*'параметры для расчета'!K17+('[1]параметры для расчета'!$H$43*1000/(3*1.6)*('параметры для расчета'!C16/'[1]параметры для расчета'!$N$3)*10^19)*'параметры для расчета'!C20%*(1-'[1]параметры для расчета'!$F$44)*'параметры для расчета'!K15)/'параметры для расчета'!K15</f>
        <v>7.3167189230530729E+21</v>
      </c>
      <c r="D75" s="736"/>
      <c r="E75" s="211">
        <f>B75*(1/2*1.38E-23*1000)</f>
        <v>50.485360569066202</v>
      </c>
      <c r="G75" s="736"/>
      <c r="H75" s="184">
        <f>B75*3/(6.02*10^23)</f>
        <v>3.6462054433819308E-2</v>
      </c>
      <c r="I75" s="3"/>
      <c r="K75" s="14"/>
      <c r="O75" s="1212"/>
    </row>
    <row r="76" spans="1:23" x14ac:dyDescent="0.35">
      <c r="B76" s="105"/>
      <c r="O76" s="1371"/>
    </row>
    <row r="77" spans="1:23" x14ac:dyDescent="0.35">
      <c r="A77" s="174" t="s">
        <v>937</v>
      </c>
      <c r="E77" s="104"/>
    </row>
    <row r="78" spans="1:23" x14ac:dyDescent="0.35">
      <c r="A78" s="94" t="s">
        <v>394</v>
      </c>
      <c r="B78" s="77">
        <f>'параметры для расчета'!K5*'параметры для расчета'!C12*'[1]параметры для расчета'!$I$43*(100/'параметры для расчета'!C67)</f>
        <v>8.7028995739303032E+20</v>
      </c>
      <c r="C78" s="2" t="s">
        <v>29</v>
      </c>
      <c r="D78" s="18" t="s">
        <v>37</v>
      </c>
      <c r="E78" s="666">
        <f>B78*(1/2*1.38E-23*10)</f>
        <v>6.00500070601191E-2</v>
      </c>
      <c r="F78" s="1" t="s">
        <v>28</v>
      </c>
      <c r="G78" s="18" t="s">
        <v>37</v>
      </c>
      <c r="H78" s="77">
        <f>B78*3/(6.02*10^23)</f>
        <v>4.3369931431546365E-3</v>
      </c>
      <c r="I78" s="3" t="s">
        <v>2</v>
      </c>
      <c r="J78" s="94"/>
      <c r="K78" s="14" t="s">
        <v>314</v>
      </c>
      <c r="L78" s="972">
        <f>B78*(1/2*1.38E-23*1000)</f>
        <v>6.0050007060119093</v>
      </c>
      <c r="M78" s="25" t="s">
        <v>28</v>
      </c>
      <c r="N78" s="25" t="s">
        <v>331</v>
      </c>
      <c r="O78" s="531"/>
    </row>
    <row r="79" spans="1:23" x14ac:dyDescent="0.35">
      <c r="A79" s="168"/>
      <c r="B79" s="792"/>
      <c r="D79" s="48"/>
      <c r="E79" s="793"/>
      <c r="F79" s="1"/>
      <c r="G79" s="406"/>
      <c r="H79" s="107"/>
      <c r="I79" s="3"/>
      <c r="K79" s="25"/>
    </row>
    <row r="80" spans="1:23" x14ac:dyDescent="0.35">
      <c r="A80" s="94" t="s">
        <v>619</v>
      </c>
      <c r="B80" s="24">
        <f>'параметры для расчета'!C64</f>
        <v>0.24</v>
      </c>
      <c r="C80" s="36" t="s">
        <v>57</v>
      </c>
      <c r="D80" s="14"/>
      <c r="E80" s="294"/>
      <c r="I80" s="3"/>
      <c r="K80" s="25"/>
      <c r="L80" s="531"/>
      <c r="M80" s="1368"/>
      <c r="N80" s="1368"/>
      <c r="O80" s="1368"/>
    </row>
    <row r="81" spans="1:25" x14ac:dyDescent="0.35">
      <c r="A81" s="94" t="s">
        <v>68</v>
      </c>
      <c r="B81" s="114">
        <f>(H78)/B80</f>
        <v>1.8070804763144318E-2</v>
      </c>
      <c r="C81" s="17" t="s">
        <v>71</v>
      </c>
      <c r="D81" s="18" t="s">
        <v>37</v>
      </c>
      <c r="E81" s="55">
        <f>B81*10^3</f>
        <v>18.070804763144316</v>
      </c>
      <c r="F81" s="1" t="s">
        <v>103</v>
      </c>
      <c r="H81" s="525"/>
      <c r="I81" s="3"/>
      <c r="K81" s="25"/>
      <c r="L81" s="531"/>
      <c r="M81" s="1368"/>
      <c r="N81" s="1368"/>
      <c r="O81" s="1368"/>
    </row>
    <row r="82" spans="1:25" x14ac:dyDescent="0.35">
      <c r="A82" s="94" t="s">
        <v>787</v>
      </c>
      <c r="B82" s="496">
        <f>'параметры для расчета'!F51</f>
        <v>18.070804763144316</v>
      </c>
      <c r="C82" s="1" t="s">
        <v>103</v>
      </c>
      <c r="D82" s="406"/>
      <c r="E82" s="793"/>
      <c r="F82" s="1"/>
      <c r="H82" s="944">
        <f>B82/(3/(6.02*10^23)/'параметры для расчета'!C64*10^3)</f>
        <v>8.7028995739303018E+20</v>
      </c>
      <c r="I82" s="2" t="s">
        <v>29</v>
      </c>
      <c r="K82" s="25"/>
      <c r="L82" s="531"/>
      <c r="N82" s="1368"/>
    </row>
    <row r="83" spans="1:25" x14ac:dyDescent="0.3">
      <c r="A83" s="94" t="s">
        <v>392</v>
      </c>
      <c r="B83" s="470">
        <f>E81/B82</f>
        <v>1</v>
      </c>
      <c r="C83" s="13" t="s">
        <v>393</v>
      </c>
      <c r="E83" s="1231" t="str">
        <f>IF(B83&lt;1, "ПРЕВЫЩЕНИЕ", "НОРМ")</f>
        <v>НОРМ</v>
      </c>
      <c r="I83" s="1"/>
      <c r="L83" s="877"/>
      <c r="M83" s="868"/>
    </row>
    <row r="84" spans="1:25" x14ac:dyDescent="0.35">
      <c r="A84" s="25"/>
      <c r="B84" s="13"/>
      <c r="E84" s="792"/>
      <c r="L84" s="877"/>
      <c r="M84" s="402"/>
    </row>
    <row r="85" spans="1:25" x14ac:dyDescent="0.35">
      <c r="A85" s="12" t="s">
        <v>620</v>
      </c>
      <c r="B85" s="1092"/>
      <c r="E85" s="134"/>
      <c r="H85" s="82"/>
      <c r="L85" s="877"/>
      <c r="M85" s="525"/>
    </row>
    <row r="86" spans="1:25" x14ac:dyDescent="0.35">
      <c r="A86" s="15" t="s">
        <v>345</v>
      </c>
      <c r="B86" s="704">
        <f>'параметры для расчета'!C43</f>
        <v>1</v>
      </c>
      <c r="C86" s="116" t="s">
        <v>395</v>
      </c>
      <c r="D86" s="1016"/>
      <c r="E86" s="704">
        <f>'параметры для расчета'!C43</f>
        <v>1</v>
      </c>
      <c r="F86" s="116" t="s">
        <v>395</v>
      </c>
      <c r="G86" s="1016"/>
      <c r="H86" s="704">
        <f>'параметры для расчета'!C43</f>
        <v>1</v>
      </c>
      <c r="I86" s="116" t="s">
        <v>395</v>
      </c>
      <c r="K86" s="705">
        <f>'параметры для расчета'!C67%</f>
        <v>0.9</v>
      </c>
      <c r="L86" s="436" t="s">
        <v>555</v>
      </c>
      <c r="R86" s="410"/>
      <c r="S86" s="436"/>
    </row>
    <row r="87" spans="1:25" x14ac:dyDescent="0.35">
      <c r="A87" s="94" t="s">
        <v>346</v>
      </c>
      <c r="B87" s="704">
        <f>'параметры для расчета'!C54</f>
        <v>1</v>
      </c>
      <c r="C87" s="116" t="s">
        <v>395</v>
      </c>
      <c r="D87" s="1016"/>
      <c r="E87" s="704">
        <f>'параметры для расчета'!C54</f>
        <v>1</v>
      </c>
      <c r="F87" s="116" t="s">
        <v>395</v>
      </c>
      <c r="G87" s="1016"/>
      <c r="H87" s="704">
        <f>'параметры для расчета'!C54</f>
        <v>1</v>
      </c>
      <c r="I87" s="116" t="s">
        <v>395</v>
      </c>
      <c r="K87" s="705">
        <f>'параметры для расчета'!C68%</f>
        <v>0.5</v>
      </c>
      <c r="L87" s="436" t="s">
        <v>555</v>
      </c>
      <c r="R87" s="410"/>
      <c r="S87" s="436"/>
    </row>
    <row r="88" spans="1:25" x14ac:dyDescent="0.35">
      <c r="A88" s="12" t="s">
        <v>70</v>
      </c>
      <c r="B88" s="13"/>
      <c r="D88" s="26"/>
      <c r="E88" s="13"/>
      <c r="G88" s="26"/>
      <c r="H88" s="13"/>
      <c r="R88" s="410"/>
      <c r="S88" s="436"/>
    </row>
    <row r="89" spans="1:25" x14ac:dyDescent="0.35">
      <c r="A89" s="1063" t="s">
        <v>345</v>
      </c>
      <c r="B89" s="485">
        <f>'параметры для расчета'!C45</f>
        <v>8.8986461395615759</v>
      </c>
      <c r="C89" s="426" t="s">
        <v>67</v>
      </c>
      <c r="D89" s="1073"/>
      <c r="E89" s="485">
        <f>'параметры для расчета'!C46</f>
        <v>8.8986461395615759</v>
      </c>
      <c r="F89" s="426" t="s">
        <v>67</v>
      </c>
      <c r="G89" s="1073"/>
      <c r="H89" s="485">
        <f>'параметры для расчета'!C47</f>
        <v>9.3181793817417535</v>
      </c>
      <c r="I89" s="426" t="s">
        <v>67</v>
      </c>
      <c r="L89" s="877"/>
      <c r="M89" s="882"/>
    </row>
    <row r="90" spans="1:25" x14ac:dyDescent="0.35">
      <c r="A90" s="94" t="s">
        <v>346</v>
      </c>
      <c r="B90" s="485">
        <f>'параметры для расчета'!C56</f>
        <v>0</v>
      </c>
      <c r="C90" s="426" t="s">
        <v>67</v>
      </c>
      <c r="D90" s="1073"/>
      <c r="E90" s="485">
        <f>'параметры для расчета'!C56</f>
        <v>0</v>
      </c>
      <c r="F90" s="426" t="s">
        <v>67</v>
      </c>
      <c r="G90" s="1073"/>
      <c r="H90" s="485">
        <f>'параметры для расчета'!C56</f>
        <v>0</v>
      </c>
      <c r="I90" s="426" t="s">
        <v>67</v>
      </c>
      <c r="L90" s="877"/>
      <c r="M90" s="868"/>
      <c r="N90" s="294"/>
    </row>
    <row r="91" spans="1:25" x14ac:dyDescent="0.35">
      <c r="A91" s="12" t="s">
        <v>621</v>
      </c>
      <c r="B91" s="13"/>
      <c r="D91" s="26"/>
      <c r="E91" s="13"/>
      <c r="G91" s="26"/>
      <c r="H91" s="13"/>
      <c r="K91" s="1188">
        <f>('параметры для расчета'!C61%*'параметры для расчета'!C64*'параметры для расчета'!F51*10^-3*(6.02*10^23)/3*'параметры для расчета'!C45*'параметры для расчета'!C43+'параметры для расчета'!C54*'параметры для расчета'!C56*'параметры для расчета'!C54)*'параметры для расчета'!C61%</f>
        <v>7.7444023696546962E+21</v>
      </c>
      <c r="L91" s="1188">
        <f>('параметры для расчета'!C61%*'параметры для расчета'!C64*'параметры для расчета'!F51*10^-3*(6.02*10^23)/3*'параметры для расчета'!C45*'параметры для расчета'!C43)*'параметры для расчета'!C67%*'параметры для расчета'!C61%+('параметры для расчета'!C61%*'параметры для расчета'!C64*'параметры для расчета'!F58*10^-3*(6.02*10^23)/3*'параметры для расчета'!C56*'параметры для расчета'!C54)*'параметры для расчета'!C68%*'параметры для расчета'!C61%</f>
        <v>6.9699621326892271E+21</v>
      </c>
      <c r="M91" s="402"/>
    </row>
    <row r="92" spans="1:25" x14ac:dyDescent="0.35">
      <c r="A92" s="1063" t="s">
        <v>345</v>
      </c>
      <c r="B92" s="855">
        <f>'параметры для расчета'!C64*'параметры для расчета'!F51*10^-3*(6.02*10^23)/3</f>
        <v>8.7028995739303018E+20</v>
      </c>
      <c r="C92" s="116" t="s">
        <v>395</v>
      </c>
      <c r="D92" s="1016"/>
      <c r="E92" s="855">
        <f>'параметры для расчета'!C64*'параметры для расчета'!F51*10^-3*(6.02*10^23)/3</f>
        <v>8.7028995739303018E+20</v>
      </c>
      <c r="F92" s="116" t="s">
        <v>395</v>
      </c>
      <c r="G92" s="1016"/>
      <c r="H92" s="855">
        <f>'параметры для расчета'!C64*'параметры для расчета'!F51*10^-3*(6.02*10^23)/3</f>
        <v>8.7028995739303018E+20</v>
      </c>
      <c r="I92" s="116" t="s">
        <v>395</v>
      </c>
      <c r="K92" s="1188">
        <f>('параметры для расчета'!C61%*'параметры для расчета'!C64*'параметры для расчета'!F51*10^-3*(6.02*10^23)/3*'параметры для расчета'!C46*'параметры для расчета'!C43+'параметры для расчета'!C61%*'параметры для расчета'!C64*'параметры для расчета'!F58*10^-3*(6.02*10^23)/3*'параметры для расчета'!C56*'параметры для расчета'!C54)*'параметры для расчета'!C61%</f>
        <v>7.7444023696546962E+21</v>
      </c>
      <c r="L92" s="1188">
        <f>('параметры для расчета'!C61%*'параметры для расчета'!C64*'параметры для расчета'!F51*10^-3*(6.02*10^23)/3*'параметры для расчета'!C46*'параметры для расчета'!C43)*'параметры для расчета'!C67%*'параметры для расчета'!C61%+('параметры для расчета'!C61%*'параметры для расчета'!C64*'параметры для расчета'!F58*10^-3*(6.02*10^23)/3*'параметры для расчета'!C56*'параметры для расчета'!C54)*'параметры для расчета'!C68%*'параметры для расчета'!C61%</f>
        <v>6.9699621326892271E+21</v>
      </c>
      <c r="N92" s="13"/>
    </row>
    <row r="93" spans="1:25" x14ac:dyDescent="0.35">
      <c r="A93" s="94" t="s">
        <v>346</v>
      </c>
      <c r="B93" s="855">
        <f>'параметры для расчета'!C64*'параметры для расчета'!F58*10^-3*(6.02*10^23)/3</f>
        <v>9.6319999999999984E+19</v>
      </c>
      <c r="C93" s="116" t="s">
        <v>395</v>
      </c>
      <c r="D93" s="1016"/>
      <c r="E93" s="855">
        <f>'параметры для расчета'!C64*'параметры для расчета'!F58*10^-3*(6.02*10^23)/3</f>
        <v>9.6319999999999984E+19</v>
      </c>
      <c r="F93" s="116" t="s">
        <v>395</v>
      </c>
      <c r="G93" s="1016"/>
      <c r="H93" s="855">
        <f>'параметры для расчета'!C64*'параметры для расчета'!F58*10^-3*(6.02*10^23)/3</f>
        <v>9.6319999999999984E+19</v>
      </c>
      <c r="I93" s="116" t="s">
        <v>395</v>
      </c>
      <c r="K93" s="1188">
        <f>('параметры для расчета'!C61%*'параметры для расчета'!C64*'параметры для расчета'!F51*10^-3*(6.02*10^23)/3*'параметры для расчета'!C47*'параметры для расчета'!C43+'параметры для расчета'!C61%*'параметры для расчета'!C64*'параметры для расчета'!F58*10^-3*(6.02*10^23)/3*'параметры для расчета'!C56*'параметры для расчета'!C54)*'параметры для расчета'!C61%</f>
        <v>8.1095179371166428E+21</v>
      </c>
      <c r="L93" s="1188">
        <f>('параметры для расчета'!C61%*'параметры для расчета'!C64*'параметры для расчета'!F51*10^-3*(6.02*10^23)/3*'параметры для расчета'!C47*'параметры для расчета'!C43)*'параметры для расчета'!C67%*'параметры для расчета'!C61%+('параметры для расчета'!C61%*'параметры для расчета'!C64*'параметры для расчета'!F58*10^-3*(6.02*10^23)/3*'параметры для расчета'!C56*'параметры для расчета'!C54)*'параметры для расчета'!C68%*'параметры для расчета'!C61%</f>
        <v>7.2985661434049782E+21</v>
      </c>
      <c r="M93" s="26"/>
      <c r="N93" s="69"/>
      <c r="O93" s="44"/>
      <c r="P93" s="26"/>
    </row>
    <row r="94" spans="1:25" x14ac:dyDescent="0.35">
      <c r="B94" s="300">
        <f>(B92*'параметры для расчета'!C67%*'параметры для расчета'!C61%*B86)</f>
        <v>7.8326096165372717E+20</v>
      </c>
      <c r="D94" s="26"/>
      <c r="E94" s="1122"/>
      <c r="F94" s="1123"/>
      <c r="G94" s="1123"/>
      <c r="H94" s="1122"/>
      <c r="I94" s="26"/>
      <c r="M94" s="26"/>
      <c r="N94" s="69"/>
      <c r="O94" s="44"/>
      <c r="P94" s="26"/>
    </row>
    <row r="95" spans="1:25" x14ac:dyDescent="0.35">
      <c r="A95" s="1121" t="s">
        <v>694</v>
      </c>
      <c r="B95" s="694">
        <f>B73/(B92*B86*'параметры для расчета'!$C$61%*'параметры для расчета'!C67%)</f>
        <v>8.9207785912464583</v>
      </c>
      <c r="C95" s="799" t="s">
        <v>67</v>
      </c>
      <c r="D95" s="1124" t="s">
        <v>244</v>
      </c>
      <c r="E95" s="616">
        <f>B74/(E92*E86*'параметры для расчета'!$C$61%*'параметры для расчета'!C67%)</f>
        <v>8.9207785912464583</v>
      </c>
      <c r="F95" s="799" t="s">
        <v>67</v>
      </c>
      <c r="G95" s="1124" t="s">
        <v>244</v>
      </c>
      <c r="H95" s="307">
        <f>B75/(H92*H86*'параметры для расчета'!$C$61%*'параметры для расчета'!C67%)</f>
        <v>9.3413552842018586</v>
      </c>
      <c r="I95" s="116" t="s">
        <v>67</v>
      </c>
      <c r="J95" s="116" t="s">
        <v>697</v>
      </c>
      <c r="M95" s="1188">
        <f>B92*B86*B89</f>
        <v>7.7444023696546962E+21</v>
      </c>
      <c r="N95" s="1187" t="s">
        <v>746</v>
      </c>
      <c r="O95" s="44"/>
      <c r="P95" s="26"/>
      <c r="R95" s="410"/>
    </row>
    <row r="96" spans="1:25" ht="15.65" customHeight="1" x14ac:dyDescent="0.35">
      <c r="B96" s="799" t="s">
        <v>748</v>
      </c>
      <c r="C96" s="799"/>
      <c r="D96" s="1124"/>
      <c r="E96" s="461"/>
      <c r="F96" s="799"/>
      <c r="G96" s="1124"/>
      <c r="H96" s="461"/>
      <c r="I96" s="116"/>
      <c r="J96" s="85"/>
      <c r="M96" s="1188">
        <f>B87*B90*B93</f>
        <v>0</v>
      </c>
      <c r="N96" s="1191" t="s">
        <v>747</v>
      </c>
      <c r="O96" s="26"/>
      <c r="P96" s="26"/>
      <c r="U96" s="13"/>
      <c r="Y96" s="498"/>
    </row>
    <row r="97" spans="1:21" x14ac:dyDescent="0.35">
      <c r="A97" s="164" t="s">
        <v>426</v>
      </c>
      <c r="B97" s="311"/>
      <c r="E97" s="1074"/>
      <c r="F97" s="1075"/>
      <c r="G97" s="63"/>
      <c r="H97" s="63"/>
      <c r="I97" s="63"/>
      <c r="J97" s="63"/>
      <c r="K97" s="168"/>
      <c r="M97" s="362"/>
      <c r="N97" s="1133"/>
      <c r="O97" s="69"/>
      <c r="P97" s="1134"/>
      <c r="U97" s="13"/>
    </row>
    <row r="98" spans="1:21" x14ac:dyDescent="0.35">
      <c r="A98" s="1071" t="s">
        <v>693</v>
      </c>
      <c r="B98" s="68">
        <f>(B92*B89*B86+B93*B90*B87)*'параметры для расчета'!$C$61%</f>
        <v>7.7444023696546962E+21</v>
      </c>
      <c r="C98" s="13" t="s">
        <v>14</v>
      </c>
      <c r="D98" s="1183" t="s">
        <v>37</v>
      </c>
      <c r="E98" s="666">
        <f>B98*(1/2*1.38E-23*1000)</f>
        <v>53.436376350617408</v>
      </c>
      <c r="F98" s="1" t="s">
        <v>9</v>
      </c>
      <c r="G98" s="1183" t="s">
        <v>37</v>
      </c>
      <c r="H98" s="109">
        <f>B98*3/(6.02*10^23)</f>
        <v>3.8593367290638024E-2</v>
      </c>
      <c r="I98" s="436" t="s">
        <v>7</v>
      </c>
      <c r="J98" s="516"/>
      <c r="K98" s="14" t="s">
        <v>313</v>
      </c>
      <c r="M98" s="1211" t="s">
        <v>228</v>
      </c>
      <c r="N98" s="362">
        <f>B73-B102</f>
        <v>1.7335485390455308E+19</v>
      </c>
      <c r="O98" s="347"/>
      <c r="P98" s="471">
        <f>B93*B90*B87*'параметры для расчета'!$C$61%</f>
        <v>0</v>
      </c>
      <c r="R98" s="410"/>
      <c r="S98" s="436"/>
      <c r="U98" s="13"/>
    </row>
    <row r="99" spans="1:21" x14ac:dyDescent="0.35">
      <c r="A99" s="1071"/>
      <c r="B99" s="489">
        <f>(E92*E89*E86+E93*E90*E87)*'параметры для расчета'!$C$61%</f>
        <v>7.7444023696546962E+21</v>
      </c>
      <c r="D99" s="1183"/>
      <c r="E99" s="580">
        <f>B99*(1/2*1.38E-23*1000)</f>
        <v>53.436376350617408</v>
      </c>
      <c r="F99" s="1"/>
      <c r="G99" s="1183"/>
      <c r="H99" s="606">
        <f>B99*3/(6.02*10^23)</f>
        <v>3.8593367290638024E-2</v>
      </c>
      <c r="I99" s="436"/>
      <c r="J99" s="516"/>
      <c r="K99" s="14"/>
      <c r="M99" s="362"/>
      <c r="N99" s="362">
        <f>B74-B103</f>
        <v>1.7335485390455308E+19</v>
      </c>
      <c r="O99" s="347"/>
      <c r="P99" s="471">
        <f>E93*E90*E87*'параметры для расчета'!$C$61%</f>
        <v>0</v>
      </c>
      <c r="R99" s="410"/>
      <c r="S99" s="436"/>
      <c r="U99" s="13"/>
    </row>
    <row r="100" spans="1:21" x14ac:dyDescent="0.35">
      <c r="A100" s="1071"/>
      <c r="B100" s="182">
        <f>(H92*H89*H86+H93*H90*H87)*'параметры для расчета'!$C$61%</f>
        <v>8.1095179371166428E+21</v>
      </c>
      <c r="D100" s="1183"/>
      <c r="E100" s="431">
        <f>B100*(1/2*1.38E-23*1000)</f>
        <v>55.955673766104837</v>
      </c>
      <c r="F100" s="1"/>
      <c r="G100" s="1183"/>
      <c r="H100" s="209">
        <f>B100*3/(6.02*10^23)</f>
        <v>4.0412880085298891E-2</v>
      </c>
      <c r="I100" s="436"/>
      <c r="J100" s="516"/>
      <c r="K100" s="14"/>
      <c r="M100" s="362"/>
      <c r="N100" s="362">
        <f>B75-B104</f>
        <v>1.81527796480947E+19</v>
      </c>
      <c r="O100" s="347"/>
      <c r="P100" s="471">
        <f>H93*H90*H87*'параметры для расчета'!$C$61%</f>
        <v>0</v>
      </c>
      <c r="R100" s="410"/>
      <c r="S100" s="436"/>
      <c r="U100" s="13"/>
    </row>
    <row r="101" spans="1:21" x14ac:dyDescent="0.35">
      <c r="B101" s="311">
        <f>B99-B100</f>
        <v>-3.6511556746194662E+20</v>
      </c>
      <c r="C101" s="19"/>
      <c r="D101" s="406"/>
      <c r="E101" s="339"/>
      <c r="J101" s="74"/>
      <c r="K101" s="14"/>
      <c r="M101" s="803"/>
      <c r="N101" s="116"/>
      <c r="O101" s="1135"/>
      <c r="P101" s="26"/>
      <c r="U101" s="13"/>
    </row>
    <row r="102" spans="1:21" x14ac:dyDescent="0.35">
      <c r="A102" s="169" t="s">
        <v>553</v>
      </c>
      <c r="B102" s="68">
        <f>(B92*B89*B86)*'параметры для расчета'!$C$61%*'параметры для расчета'!C67%+(B93*B90*B87)*'параметры для расчета'!$C$61%*'параметры для расчета'!C68%</f>
        <v>6.9699621326892271E+21</v>
      </c>
      <c r="C102" s="13" t="s">
        <v>14</v>
      </c>
      <c r="D102" s="18" t="s">
        <v>37</v>
      </c>
      <c r="E102" s="666">
        <f>B102*(1/2*1.38E-23*1000)</f>
        <v>48.092738715555669</v>
      </c>
      <c r="F102" s="1" t="s">
        <v>9</v>
      </c>
      <c r="G102" s="1112" t="s">
        <v>37</v>
      </c>
      <c r="H102" s="109">
        <f>B102*3/(6.02*10^23)</f>
        <v>3.4734030561574224E-2</v>
      </c>
      <c r="I102" s="436" t="s">
        <v>7</v>
      </c>
      <c r="J102" s="563"/>
      <c r="K102" s="14" t="s">
        <v>313</v>
      </c>
      <c r="L102" s="25"/>
      <c r="M102" s="15" t="s">
        <v>64</v>
      </c>
      <c r="N102" s="119">
        <f>100*B102/B19</f>
        <v>97.14506950169168</v>
      </c>
      <c r="O102" s="13" t="s">
        <v>18</v>
      </c>
      <c r="P102" s="471">
        <f>(B93*B90*B87)*'параметры для расчета'!$C$61%*'параметры для расчета'!C68%</f>
        <v>0</v>
      </c>
      <c r="U102" s="13"/>
    </row>
    <row r="103" spans="1:21" x14ac:dyDescent="0.35">
      <c r="A103" s="169"/>
      <c r="B103" s="489">
        <f>(E92*E89*E86)*'параметры для расчета'!$C$61%*'параметры для расчета'!C67%+(E93*E90*E87)*'параметры для расчета'!$C$61%*'параметры для расчета'!C68%</f>
        <v>6.9699621326892271E+21</v>
      </c>
      <c r="D103" s="567"/>
      <c r="E103" s="580">
        <f>B103*(1/2*1.38E-23*1000)</f>
        <v>48.092738715555669</v>
      </c>
      <c r="F103" s="1"/>
      <c r="G103" s="1112"/>
      <c r="H103" s="606">
        <f>B103*3/(6.02*10^23)</f>
        <v>3.4734030561574224E-2</v>
      </c>
      <c r="I103" s="436"/>
      <c r="J103" s="25"/>
      <c r="K103" s="296"/>
      <c r="L103" s="25"/>
      <c r="M103" s="15"/>
      <c r="N103" s="581">
        <f>100*B103/B20</f>
        <v>97.14506950169168</v>
      </c>
      <c r="P103" s="471">
        <f>(E93*E90*E87)*'параметры для расчета'!$C$61%*'параметры для расчета'!C68%</f>
        <v>0</v>
      </c>
      <c r="U103" s="13"/>
    </row>
    <row r="104" spans="1:21" x14ac:dyDescent="0.35">
      <c r="B104" s="182">
        <f>(H92*H89*H86)*'параметры для расчета'!$C$61%*'параметры для расчета'!C67%+(H93*H90*H87)*'параметры для расчета'!$C$61%*'параметры для расчета'!C68%</f>
        <v>7.2985661434049782E+21</v>
      </c>
      <c r="D104" s="567"/>
      <c r="E104" s="431">
        <f>B104*(1/2*1.38E-23*1000)</f>
        <v>50.360106389494355</v>
      </c>
      <c r="F104" s="1"/>
      <c r="G104" s="1112"/>
      <c r="H104" s="209">
        <f>B104*3/(6.02*10^23)</f>
        <v>3.6371592076768995E-2</v>
      </c>
      <c r="I104" s="436"/>
      <c r="N104" s="210">
        <f>100*B104/B21</f>
        <v>99.751899999999992</v>
      </c>
      <c r="P104" s="471">
        <f>(H93*H90*H87)*'параметры для расчета'!$C$61%*'параметры для расчета'!C68%</f>
        <v>0</v>
      </c>
      <c r="Q104" s="88"/>
      <c r="U104" s="13"/>
    </row>
    <row r="105" spans="1:21" ht="15.75" customHeight="1" x14ac:dyDescent="0.35">
      <c r="B105" s="311"/>
      <c r="O105" s="105"/>
      <c r="U105" s="13"/>
    </row>
    <row r="106" spans="1:21" x14ac:dyDescent="0.35">
      <c r="K106" s="157"/>
      <c r="M106" s="876"/>
      <c r="N106" s="876"/>
      <c r="O106" s="94"/>
      <c r="P106" s="85"/>
      <c r="Q106" s="14"/>
      <c r="R106" s="410"/>
      <c r="S106" s="108"/>
      <c r="U106" s="13"/>
    </row>
    <row r="107" spans="1:21" x14ac:dyDescent="0.35">
      <c r="A107" s="14" t="s">
        <v>540</v>
      </c>
      <c r="B107" s="13"/>
      <c r="E107" s="13"/>
      <c r="H107" s="13"/>
      <c r="K107" s="870"/>
      <c r="M107" s="1210"/>
      <c r="N107" s="1072"/>
      <c r="O107" s="112"/>
      <c r="P107" s="85"/>
      <c r="Q107" s="115"/>
      <c r="R107" s="410"/>
      <c r="S107" s="108"/>
      <c r="U107" s="13"/>
    </row>
    <row r="108" spans="1:21" x14ac:dyDescent="0.35">
      <c r="A108" s="169" t="s">
        <v>759</v>
      </c>
      <c r="B108" s="66" t="s">
        <v>730</v>
      </c>
      <c r="C108" s="19"/>
      <c r="D108" s="66"/>
      <c r="E108" s="66"/>
      <c r="F108" s="19"/>
      <c r="G108" s="19"/>
      <c r="H108" s="19"/>
      <c r="I108" s="19"/>
      <c r="K108" s="395">
        <f>'параметры для расчета'!C20</f>
        <v>50</v>
      </c>
      <c r="M108" s="871"/>
      <c r="N108" s="1072"/>
      <c r="O108" s="28"/>
      <c r="P108" s="252" t="s">
        <v>107</v>
      </c>
      <c r="Q108" s="14"/>
      <c r="R108" s="410"/>
      <c r="S108" s="108"/>
      <c r="U108" s="13"/>
    </row>
    <row r="109" spans="1:21" x14ac:dyDescent="0.35">
      <c r="A109" s="76" t="s">
        <v>758</v>
      </c>
      <c r="B109" s="569">
        <v>0</v>
      </c>
      <c r="C109" s="112" t="s">
        <v>14</v>
      </c>
      <c r="D109" s="124" t="s">
        <v>37</v>
      </c>
      <c r="E109" s="114">
        <f>B109*(1/2*1.38E-23*300)</f>
        <v>0</v>
      </c>
      <c r="F109" s="1" t="s">
        <v>9</v>
      </c>
      <c r="G109" s="10" t="s">
        <v>37</v>
      </c>
      <c r="H109" s="77">
        <f>B109*2/(6.02*10^23)</f>
        <v>0</v>
      </c>
      <c r="I109" s="102" t="s">
        <v>7</v>
      </c>
      <c r="K109" s="734">
        <f>B117/(B117+'баланс дейтерий'!B117)</f>
        <v>0.5</v>
      </c>
      <c r="L109" s="873"/>
      <c r="M109" s="803"/>
      <c r="N109" s="1072"/>
      <c r="O109" s="28"/>
      <c r="P109" s="1338"/>
      <c r="Q109" s="115"/>
      <c r="R109" s="410"/>
      <c r="S109" s="108"/>
      <c r="U109" s="13"/>
    </row>
    <row r="110" spans="1:21" x14ac:dyDescent="0.35">
      <c r="A110" s="1214"/>
      <c r="B110" s="569">
        <v>0</v>
      </c>
      <c r="C110" s="1185"/>
      <c r="D110" s="1213"/>
      <c r="E110" s="580">
        <f>B110*(1/2*1.38E-23*300)</f>
        <v>0</v>
      </c>
      <c r="G110" s="1183"/>
      <c r="H110" s="582">
        <f>B110*2/(6.02*10^23)</f>
        <v>0</v>
      </c>
      <c r="I110" s="655"/>
      <c r="K110" s="734">
        <f>B118/(B118+'баланс дейтерий'!B118)</f>
        <v>0.5</v>
      </c>
      <c r="M110" s="471"/>
      <c r="N110" s="880"/>
      <c r="O110" s="531"/>
      <c r="P110" s="1338"/>
      <c r="R110" s="410"/>
      <c r="S110" s="436"/>
      <c r="U110" s="13"/>
    </row>
    <row r="111" spans="1:21" x14ac:dyDescent="0.35">
      <c r="A111" s="230"/>
      <c r="B111" s="569">
        <v>0</v>
      </c>
      <c r="C111" s="1185"/>
      <c r="D111" s="1213"/>
      <c r="E111" s="211">
        <f>B111*(1/2*1.38E-23*300)</f>
        <v>0</v>
      </c>
      <c r="F111" s="19"/>
      <c r="G111" s="406"/>
      <c r="H111" s="184">
        <f>B111*2/(6.02*10^23)</f>
        <v>0</v>
      </c>
      <c r="I111" s="655"/>
      <c r="J111" s="573"/>
      <c r="K111" s="734">
        <f>B119/(B119+'баланс дейтерий'!B119)</f>
        <v>0.48803518375559535</v>
      </c>
      <c r="L111" s="873"/>
      <c r="M111" s="803"/>
      <c r="N111" s="880"/>
      <c r="O111" s="881"/>
      <c r="P111" s="1338"/>
      <c r="Q111" s="878"/>
      <c r="R111" s="410"/>
      <c r="S111" s="436"/>
      <c r="U111" s="13"/>
    </row>
    <row r="112" spans="1:21" x14ac:dyDescent="0.35">
      <c r="B112" s="13"/>
      <c r="E112" s="104"/>
      <c r="H112" s="13"/>
      <c r="J112" s="85"/>
      <c r="K112" s="304"/>
      <c r="L112" s="63"/>
      <c r="U112" s="13"/>
    </row>
    <row r="113" spans="1:25" x14ac:dyDescent="0.35">
      <c r="B113" s="973">
        <v>0</v>
      </c>
      <c r="C113" s="19" t="s">
        <v>14</v>
      </c>
      <c r="D113" s="406" t="s">
        <v>37</v>
      </c>
      <c r="E113" s="973">
        <f>B113*(1/2*1.38E-23*300)</f>
        <v>0</v>
      </c>
      <c r="F113" s="112" t="s">
        <v>9</v>
      </c>
      <c r="G113" s="406" t="s">
        <v>37</v>
      </c>
      <c r="H113" s="973">
        <f>B113*3/(6.02*10^23)</f>
        <v>0</v>
      </c>
      <c r="I113" s="17" t="s">
        <v>7</v>
      </c>
      <c r="J113" s="1148"/>
      <c r="K113" s="1145"/>
      <c r="L113" s="1120"/>
      <c r="M113" s="1143">
        <f>N117+O117-P117</f>
        <v>8.2619719534046337E+21</v>
      </c>
      <c r="N113" s="1175" t="s">
        <v>734</v>
      </c>
      <c r="O113" s="1149"/>
      <c r="P113" s="1114"/>
      <c r="U113" s="13"/>
    </row>
    <row r="114" spans="1:25" x14ac:dyDescent="0.35">
      <c r="A114" s="970" t="s">
        <v>542</v>
      </c>
      <c r="B114" s="973">
        <v>0</v>
      </c>
      <c r="C114" s="19"/>
      <c r="D114" s="406"/>
      <c r="E114" s="973">
        <f>B114*(1/2*1.38E-23*300)</f>
        <v>0</v>
      </c>
      <c r="F114" s="112"/>
      <c r="G114" s="406"/>
      <c r="H114" s="973">
        <f>B114*3/(6.02*10^23)</f>
        <v>0</v>
      </c>
      <c r="I114" s="436"/>
      <c r="J114" s="1150">
        <f>J115*(1/2*1.38E-23*1000)</f>
        <v>34.557519189487721</v>
      </c>
      <c r="K114" s="1151">
        <f>K117/J117</f>
        <v>0.31757995155688029</v>
      </c>
      <c r="L114" s="1150">
        <f>L115*(1/2*1.38E-23*1000)</f>
        <v>-64.052826332081679</v>
      </c>
      <c r="M114" s="1143">
        <f>N118+O118-P118</f>
        <v>8.2619719534046337E+21</v>
      </c>
      <c r="N114" s="1175" t="s">
        <v>733</v>
      </c>
      <c r="O114" s="1149"/>
      <c r="P114" s="1114"/>
    </row>
    <row r="115" spans="1:25" x14ac:dyDescent="0.35">
      <c r="B115" s="973">
        <v>0</v>
      </c>
      <c r="C115" s="19" t="s">
        <v>14</v>
      </c>
      <c r="D115" s="406"/>
      <c r="E115" s="973">
        <f>B115*(1/2*1.38E-23*300)</f>
        <v>0</v>
      </c>
      <c r="F115" s="112"/>
      <c r="G115" s="406"/>
      <c r="H115" s="973">
        <f>B115*3/(6.02*10^23)</f>
        <v>0</v>
      </c>
      <c r="I115" s="436"/>
      <c r="J115" s="1143">
        <f>'параметры для расчета'!$C$9*'параметры для расчета'!$C$7/(1/2*1.38E-23*1000)</f>
        <v>5.0083361144185102E+21</v>
      </c>
      <c r="K115" s="1151">
        <f>K118/J118</f>
        <v>0.31757995155688029</v>
      </c>
      <c r="L115" s="1152">
        <f>J119-M119+N119</f>
        <v>-9.2830183089973452E+21</v>
      </c>
      <c r="M115" s="1143">
        <f>N119+O119-P119</f>
        <v>1.6523943906809267E+22</v>
      </c>
      <c r="N115" s="1114" t="s">
        <v>735</v>
      </c>
      <c r="O115" s="1149"/>
      <c r="P115" s="1153"/>
    </row>
    <row r="116" spans="1:25" ht="15" customHeight="1" x14ac:dyDescent="0.4">
      <c r="A116" s="71" t="s">
        <v>950</v>
      </c>
      <c r="B116" s="105"/>
      <c r="C116" s="19"/>
      <c r="D116" s="406"/>
      <c r="E116" s="339"/>
      <c r="F116" s="112"/>
      <c r="G116" s="406"/>
      <c r="H116" s="107"/>
      <c r="I116" s="22"/>
      <c r="J116" s="1154" t="s">
        <v>566</v>
      </c>
      <c r="K116" s="1155" t="s">
        <v>565</v>
      </c>
      <c r="L116" s="1114"/>
      <c r="M116" s="1156" t="s">
        <v>451</v>
      </c>
      <c r="N116" s="1157" t="s">
        <v>564</v>
      </c>
      <c r="O116" s="1156" t="s">
        <v>560</v>
      </c>
      <c r="P116" s="1158" t="s">
        <v>561</v>
      </c>
    </row>
    <row r="117" spans="1:25" x14ac:dyDescent="0.35">
      <c r="A117" s="71" t="s">
        <v>949</v>
      </c>
      <c r="B117" s="68">
        <f>IF('[1]параметры для расчета'!$K$35=0, IF('параметры для расчета'!K36*'параметры для расчета'!$C$9*'параметры для расчета'!$C$20%/(1/2*1.38E-23*300)-(B36-B32+B98-B102+B109)-$B$12+$B$10&lt;0, 0, 'параметры для расчета'!K36*'параметры для расчета'!$C$9*'параметры для расчета'!$C$20%/(1/2*1.38E-23*300)-(B36-B32+B98-B102+B109)-$B$12+$B$10), результаты!AM53)</f>
        <v>6.5518028411816756E+21</v>
      </c>
      <c r="C117" s="13" t="s">
        <v>14</v>
      </c>
      <c r="D117" s="18" t="s">
        <v>37</v>
      </c>
      <c r="E117" s="666">
        <f>B117*(1/2*1.38E-23*1000)</f>
        <v>45.207439604153564</v>
      </c>
      <c r="F117" s="13" t="s">
        <v>9</v>
      </c>
      <c r="G117" s="18" t="s">
        <v>37</v>
      </c>
      <c r="H117" s="77">
        <f>B117*3/(6.02*10^23)</f>
        <v>3.2650180271669486E-2</v>
      </c>
      <c r="I117" s="17" t="s">
        <v>7</v>
      </c>
      <c r="J117" s="1159">
        <f>'параметры для расчета'!$C$9*'параметры для расчета'!$C$21%*'параметры для расчета'!$C$7/(1/2*1.38E-23*1000)</f>
        <v>2.5041680572092551E+21</v>
      </c>
      <c r="K117" s="1159">
        <f>(B36-B32+$B$98-B102+B109)</f>
        <v>7.9527357029880221E+20</v>
      </c>
      <c r="L117" s="1159">
        <f>'параметры для расчета'!$C$9*'параметры для расчета'!$C$21%*'параметры для расчета'!$C$7/(1/2*1.38E-23*1000)-(B36-B32+$B$98-B102+B109)</f>
        <v>1.7088944869104529E+21</v>
      </c>
      <c r="M117" s="1159">
        <f>B12</f>
        <v>8.2619719534046337E+21</v>
      </c>
      <c r="N117" s="1159">
        <f>B10</f>
        <v>1.1162947416967056E+21</v>
      </c>
      <c r="O117" s="1159">
        <f>B141</f>
        <v>7.1574621326892272E+21</v>
      </c>
      <c r="P117" s="1160">
        <f>B9</f>
        <v>1.1784920981299063E+19</v>
      </c>
    </row>
    <row r="118" spans="1:25" x14ac:dyDescent="0.35">
      <c r="A118" s="970" t="s">
        <v>543</v>
      </c>
      <c r="B118" s="489">
        <f>IF('[1]параметры для расчета'!$K$35=0, IF('параметры для расчета'!K36*'параметры для расчета'!$C$9*'параметры для расчета'!$C$20%/(1/2*1.38E-23*300)-(B37-B33+B99-B103+B110)-$E$12+$B$10&lt;0, 0, 'параметры для расчета'!K36*'параметры для расчета'!$C$9*'параметры для расчета'!$C$20%/(1/2*1.38E-23*300)-(B37-B33+B99-B103+B110)-$E$12+$B$10), результаты!AM53)</f>
        <v>6.5518028411816756E+21</v>
      </c>
      <c r="D118" s="567"/>
      <c r="E118" s="580">
        <f>B118*(1/2*1.38E-23*1000)</f>
        <v>45.207439604153564</v>
      </c>
      <c r="G118" s="567"/>
      <c r="H118" s="582">
        <f>B118*3/(6.02*10^23)</f>
        <v>3.2650180271669486E-2</v>
      </c>
      <c r="I118" s="436"/>
      <c r="J118" s="1159">
        <f>'параметры для расчета'!$C$9*(1-'параметры для расчета'!$C$21%)*'параметры для расчета'!$C$7/(1/2*1.38E-23*1000)</f>
        <v>2.5041680572092551E+21</v>
      </c>
      <c r="K118" s="1159">
        <f>'баланс дейтерий'!M117</f>
        <v>7.9527357029880221E+20</v>
      </c>
      <c r="L118" s="1159"/>
      <c r="M118" s="1159">
        <f>'баланс дейтерий'!B12</f>
        <v>8.2619719534046337E+21</v>
      </c>
      <c r="N118" s="1159">
        <f>'баланс дейтерий'!B10</f>
        <v>1.1162947416967056E+21</v>
      </c>
      <c r="O118" s="1159">
        <f>'баланс дейтерий'!B141</f>
        <v>7.1574621326892272E+21</v>
      </c>
      <c r="P118" s="1161">
        <f>'баланс дейтерий'!B9</f>
        <v>1.1784920981299063E+19</v>
      </c>
    </row>
    <row r="119" spans="1:25" x14ac:dyDescent="0.35">
      <c r="B119" s="182">
        <f>IF('[1]параметры для расчета'!$K$35=0, IF('параметры для расчета'!K36*'параметры для расчета'!$C$9*'параметры для расчета'!$C$20%/(1/2*1.38E-23*300)-(B38-B34+B100-B104+B111)-$H$12+$B$10-'[3]динамика трития в инжекторах'!F10&lt;0, 0, 'параметры для расчета'!K36*'параметры для расчета'!$C$9*'параметры для расчета'!$C$20%/(1/2*1.38E-23*300)-(B38-B34+B100-B104+B111)-$H$12+$B$10-'[3]динамика трития в инжекторах'!F10+'[2]динамика изотопов в ТЦ'!$CV$1), результаты!AM53)</f>
        <v>6.3950206070530622E+21</v>
      </c>
      <c r="C119" s="19"/>
      <c r="D119" s="567"/>
      <c r="E119" s="431">
        <f>B119*(1/2*1.38E-23*1000)</f>
        <v>44.125642188666134</v>
      </c>
      <c r="G119" s="567"/>
      <c r="H119" s="184">
        <f>B119*3/(6.02*10^23)</f>
        <v>3.1868873457075064E-2</v>
      </c>
      <c r="I119" s="436"/>
      <c r="J119" s="1162">
        <f>J117+J118</f>
        <v>5.0083361144185102E+21</v>
      </c>
      <c r="K119" s="1145">
        <f>K117+K118</f>
        <v>1.5905471405976044E+21</v>
      </c>
      <c r="L119" s="1163">
        <f>(J119-K119)-M119+N119</f>
        <v>-1.087356544959495E+22</v>
      </c>
      <c r="M119" s="1162">
        <f>M117+M118</f>
        <v>1.6523943906809267E+22</v>
      </c>
      <c r="N119" s="1162">
        <f>N117+N118</f>
        <v>2.2325894833934112E+21</v>
      </c>
      <c r="O119" s="1162">
        <f>O117+O118</f>
        <v>1.4314924265378454E+22</v>
      </c>
      <c r="P119" s="1164">
        <f>P117+P118</f>
        <v>2.3569841962598126E+19</v>
      </c>
    </row>
    <row r="120" spans="1:25" x14ac:dyDescent="0.35">
      <c r="B120" s="436" t="s">
        <v>736</v>
      </c>
      <c r="E120" s="13"/>
      <c r="H120" s="13"/>
      <c r="J120" s="1114"/>
      <c r="K120" s="1060"/>
      <c r="L120" s="1060">
        <f>L119*(1/2*1.38E-23*1000)</f>
        <v>-75.027601602205152</v>
      </c>
      <c r="M120" s="1114"/>
      <c r="N120" s="1150"/>
      <c r="O120" s="1114"/>
      <c r="P120" s="1114"/>
      <c r="R120" s="26"/>
      <c r="S120" s="84"/>
      <c r="W120" s="26"/>
      <c r="X120" s="26"/>
      <c r="Y120" s="26"/>
    </row>
    <row r="121" spans="1:25" x14ac:dyDescent="0.35">
      <c r="B121" s="105"/>
      <c r="C121" s="10"/>
      <c r="E121" s="63">
        <f>'параметры для расчета'!K36*'параметры для расчета'!$C$9*'параметры для расчета'!$C$20%/(1/2*1.38E-23*300)</f>
        <v>1.4492753623188406E+22</v>
      </c>
      <c r="F121" s="63">
        <f>(B36-B32+B98-B102+B109)+$B$12-$B$10</f>
        <v>7.9409507820067304E+21</v>
      </c>
      <c r="H121" s="63">
        <f>E121-F121</f>
        <v>6.5518028411816756E+21</v>
      </c>
      <c r="R121" s="26"/>
      <c r="S121" s="84"/>
      <c r="U121" s="13"/>
    </row>
    <row r="122" spans="1:25" x14ac:dyDescent="0.35">
      <c r="A122" s="15" t="s">
        <v>32</v>
      </c>
      <c r="B122" s="945"/>
      <c r="C122" s="10"/>
      <c r="E122" s="63">
        <f>'параметры для расчета'!K36*'параметры для расчета'!$C$9*'параметры для расчета'!$C$20%/(1/2*1.38E-23*300)</f>
        <v>1.4492753623188406E+22</v>
      </c>
      <c r="F122" s="63">
        <f>(B37-B33+B99-B103+B110)+$E$12-$B$10</f>
        <v>7.9409507820067304E+21</v>
      </c>
      <c r="H122" s="63">
        <f>E122-F122</f>
        <v>6.5518028411816756E+21</v>
      </c>
      <c r="J122" s="63"/>
      <c r="N122" s="130"/>
      <c r="O122" s="19"/>
      <c r="R122" s="26"/>
      <c r="S122" s="435"/>
      <c r="U122" s="13"/>
    </row>
    <row r="123" spans="1:25" ht="15.65" customHeight="1" x14ac:dyDescent="0.35">
      <c r="A123" s="11" t="s">
        <v>15</v>
      </c>
      <c r="B123" s="459">
        <f>IF(N32&gt;100,100,100*B32/B19)</f>
        <v>2.6133141306665029</v>
      </c>
      <c r="C123" s="1" t="s">
        <v>18</v>
      </c>
      <c r="E123" s="63">
        <f>'параметры для расчета'!K36*'параметры для расчета'!$C$9*'параметры для расчета'!$C$20%/(1/2*1.38E-23*300)</f>
        <v>1.4492753623188406E+22</v>
      </c>
      <c r="F123" s="63">
        <f>(B38-B34+B100-B104+B111)+$H$12-$B$10+'[3]динамика трития в инжекторах'!F10</f>
        <v>8.0977330161353438E+21</v>
      </c>
      <c r="G123" s="41"/>
      <c r="H123" s="63">
        <f>E123-F123</f>
        <v>6.3950206070530622E+21</v>
      </c>
      <c r="K123" s="32"/>
      <c r="M123" s="54"/>
      <c r="N123" s="359"/>
      <c r="O123" s="885"/>
      <c r="U123" s="13"/>
    </row>
    <row r="124" spans="1:25" x14ac:dyDescent="0.35">
      <c r="A124" s="11"/>
      <c r="B124" s="592">
        <f>IF(N33&gt;100,100,100*B33/B20)</f>
        <v>2.6133141306665029</v>
      </c>
      <c r="C124" s="1"/>
      <c r="G124" s="41"/>
      <c r="H124" s="69"/>
      <c r="K124" s="32"/>
      <c r="M124" s="19"/>
      <c r="N124" s="359"/>
      <c r="U124" s="13"/>
    </row>
    <row r="125" spans="1:25" x14ac:dyDescent="0.35">
      <c r="A125" s="1"/>
      <c r="B125" s="460">
        <f>IF(N34&gt;100,100,100*B34/B21)</f>
        <v>0</v>
      </c>
      <c r="C125" s="1"/>
      <c r="E125" s="168" t="s">
        <v>327</v>
      </c>
      <c r="H125" s="69"/>
      <c r="M125" s="19"/>
      <c r="N125" s="359"/>
      <c r="O125" s="19"/>
      <c r="R125" s="13"/>
      <c r="S125" s="13"/>
      <c r="U125" s="13"/>
    </row>
    <row r="126" spans="1:25" x14ac:dyDescent="0.35">
      <c r="A126" s="11" t="s">
        <v>16</v>
      </c>
      <c r="B126" s="459">
        <f>100*B102/B19</f>
        <v>97.14506950169168</v>
      </c>
      <c r="C126" s="1" t="s">
        <v>18</v>
      </c>
      <c r="E126" s="201">
        <f>B126+B123</f>
        <v>99.758383632358189</v>
      </c>
      <c r="H126" s="69"/>
      <c r="K126" s="104"/>
      <c r="R126" s="13"/>
      <c r="S126" s="13"/>
      <c r="U126" s="13"/>
    </row>
    <row r="127" spans="1:25" x14ac:dyDescent="0.35">
      <c r="A127" s="11"/>
      <c r="B127" s="592">
        <f>100*B103/B20</f>
        <v>97.14506950169168</v>
      </c>
      <c r="C127" s="1"/>
      <c r="E127" s="583">
        <f>B127+B124</f>
        <v>99.758383632358189</v>
      </c>
      <c r="H127" s="69"/>
      <c r="K127" s="104"/>
      <c r="N127" s="199"/>
      <c r="R127" s="13"/>
      <c r="S127" s="13"/>
      <c r="U127" s="13"/>
    </row>
    <row r="128" spans="1:25" ht="15.75" customHeight="1" x14ac:dyDescent="0.35">
      <c r="A128" s="1"/>
      <c r="B128" s="460">
        <f>100*B104/B21</f>
        <v>99.751899999999992</v>
      </c>
      <c r="C128" s="1"/>
      <c r="E128" s="214">
        <f>B128+B125</f>
        <v>99.751899999999992</v>
      </c>
      <c r="H128" s="69"/>
      <c r="R128" s="13"/>
      <c r="S128" s="13"/>
      <c r="U128" s="13"/>
    </row>
    <row r="129" spans="1:25" x14ac:dyDescent="0.35">
      <c r="A129" s="11"/>
      <c r="B129" s="477"/>
      <c r="C129" s="1"/>
      <c r="D129" s="19"/>
      <c r="E129" s="42" t="s">
        <v>101</v>
      </c>
      <c r="F129" s="19"/>
      <c r="M129" s="11"/>
      <c r="N129" s="477"/>
      <c r="O129" s="971"/>
      <c r="P129" s="25"/>
      <c r="R129" s="13"/>
      <c r="S129" s="13"/>
      <c r="U129" s="13"/>
    </row>
    <row r="130" spans="1:25" x14ac:dyDescent="0.35">
      <c r="A130" s="15" t="s">
        <v>546</v>
      </c>
      <c r="N130" s="41" t="s">
        <v>547</v>
      </c>
      <c r="R130" s="13"/>
      <c r="S130" s="13"/>
      <c r="U130" s="13"/>
    </row>
    <row r="131" spans="1:25" ht="17.25" customHeight="1" x14ac:dyDescent="0.35">
      <c r="A131" s="15" t="s">
        <v>15</v>
      </c>
      <c r="B131" s="68">
        <f>B36</f>
        <v>2.0833333333333334E+20</v>
      </c>
      <c r="C131" s="13" t="s">
        <v>14</v>
      </c>
      <c r="D131" s="18" t="s">
        <v>37</v>
      </c>
      <c r="E131" s="666">
        <f t="shared" ref="E131:E139" si="0">B131*(1/2*1.38E-23*1000)</f>
        <v>1.4375000000000002</v>
      </c>
      <c r="F131" s="13" t="s">
        <v>9</v>
      </c>
      <c r="G131" s="18" t="s">
        <v>37</v>
      </c>
      <c r="H131" s="77">
        <f t="shared" ref="H131:H139" si="1">B131*3/(6.02*10^23)</f>
        <v>1.0382059800664453E-3</v>
      </c>
      <c r="I131" s="17" t="s">
        <v>7</v>
      </c>
      <c r="K131" s="14" t="s">
        <v>313</v>
      </c>
      <c r="M131" s="1071" t="s">
        <v>64</v>
      </c>
      <c r="N131" s="119">
        <f>100*B131/B19</f>
        <v>2.9036823674072254</v>
      </c>
      <c r="O131" s="13" t="s">
        <v>18</v>
      </c>
      <c r="P131" s="85"/>
      <c r="R131" s="13"/>
      <c r="S131" s="13"/>
      <c r="U131" s="13"/>
    </row>
    <row r="132" spans="1:25" ht="17.25" customHeight="1" x14ac:dyDescent="0.35">
      <c r="A132" s="15"/>
      <c r="B132" s="489">
        <f>B37</f>
        <v>2.0833333333333334E+20</v>
      </c>
      <c r="C132" s="302"/>
      <c r="D132" s="303"/>
      <c r="E132" s="580">
        <f t="shared" si="0"/>
        <v>1.4375000000000002</v>
      </c>
      <c r="G132" s="1241"/>
      <c r="H132" s="582">
        <f>B132*3/(6.02*10^23)</f>
        <v>1.0382059800664453E-3</v>
      </c>
      <c r="I132" s="319"/>
      <c r="J132" s="302"/>
      <c r="K132" s="302"/>
      <c r="L132" s="302"/>
      <c r="M132" s="302"/>
      <c r="N132" s="581">
        <f>100*B132/B19</f>
        <v>2.9036823674072254</v>
      </c>
      <c r="P132" s="85"/>
      <c r="R132" s="13"/>
      <c r="S132" s="13"/>
      <c r="U132" s="13"/>
    </row>
    <row r="133" spans="1:25" x14ac:dyDescent="0.35">
      <c r="B133" s="215">
        <f>B38</f>
        <v>0</v>
      </c>
      <c r="C133" s="216"/>
      <c r="D133" s="217"/>
      <c r="E133" s="215">
        <f t="shared" si="0"/>
        <v>0</v>
      </c>
      <c r="F133" s="216"/>
      <c r="G133" s="217"/>
      <c r="H133" s="215">
        <f t="shared" si="1"/>
        <v>0</v>
      </c>
      <c r="I133" s="319"/>
      <c r="J133" s="302"/>
      <c r="L133" s="302"/>
      <c r="M133" s="302"/>
      <c r="N133" s="552">
        <f>100*B133/B19</f>
        <v>0</v>
      </c>
      <c r="P133" s="85"/>
      <c r="Q133" s="38"/>
      <c r="R133" s="13"/>
      <c r="S133" s="13"/>
      <c r="U133" s="13"/>
    </row>
    <row r="134" spans="1:25" ht="16.5" customHeight="1" x14ac:dyDescent="0.35">
      <c r="A134" s="15" t="s">
        <v>16</v>
      </c>
      <c r="B134" s="68">
        <f>B98</f>
        <v>7.7444023696546962E+21</v>
      </c>
      <c r="C134" s="13" t="s">
        <v>14</v>
      </c>
      <c r="D134" s="18" t="s">
        <v>37</v>
      </c>
      <c r="E134" s="666">
        <f t="shared" si="0"/>
        <v>53.436376350617408</v>
      </c>
      <c r="F134" s="13" t="s">
        <v>9</v>
      </c>
      <c r="G134" s="18" t="s">
        <v>37</v>
      </c>
      <c r="H134" s="77">
        <f t="shared" si="1"/>
        <v>3.8593367290638024E-2</v>
      </c>
      <c r="I134" s="17" t="s">
        <v>7</v>
      </c>
      <c r="J134" s="25"/>
      <c r="K134" s="598" t="s">
        <v>65</v>
      </c>
      <c r="N134" s="119">
        <f>100*B134/B19</f>
        <v>107.93896611299076</v>
      </c>
      <c r="O134" s="13" t="s">
        <v>18</v>
      </c>
      <c r="P134" s="85"/>
      <c r="R134" s="13"/>
      <c r="S134" s="13"/>
      <c r="U134" s="13"/>
    </row>
    <row r="135" spans="1:25" x14ac:dyDescent="0.35">
      <c r="A135" s="94"/>
      <c r="B135" s="489">
        <f>B99</f>
        <v>7.7444023696546962E+21</v>
      </c>
      <c r="D135" s="567"/>
      <c r="E135" s="580">
        <f t="shared" si="0"/>
        <v>53.436376350617408</v>
      </c>
      <c r="G135" s="567"/>
      <c r="H135" s="582">
        <f>B135*3/(6.02*10^23)</f>
        <v>3.8593367290638024E-2</v>
      </c>
      <c r="I135" s="436"/>
      <c r="J135" s="25"/>
      <c r="K135" s="74" t="s">
        <v>41</v>
      </c>
      <c r="M135" s="15"/>
      <c r="N135" s="581">
        <f>100*B135/B19</f>
        <v>107.93896611299076</v>
      </c>
      <c r="P135" s="85"/>
      <c r="R135" s="13"/>
      <c r="S135" s="13"/>
      <c r="U135" s="13"/>
    </row>
    <row r="136" spans="1:25" x14ac:dyDescent="0.35">
      <c r="A136" s="94"/>
      <c r="B136" s="182">
        <f>B100</f>
        <v>8.1095179371166428E+21</v>
      </c>
      <c r="C136" s="216"/>
      <c r="D136" s="217"/>
      <c r="E136" s="211">
        <f t="shared" si="0"/>
        <v>55.955673766104837</v>
      </c>
      <c r="F136" s="216"/>
      <c r="G136" s="217"/>
      <c r="H136" s="184">
        <f t="shared" si="1"/>
        <v>4.0412880085298891E-2</v>
      </c>
      <c r="I136" s="289"/>
      <c r="N136" s="210">
        <f>100*B136/B19</f>
        <v>113.02782836245542</v>
      </c>
      <c r="P136" s="85"/>
      <c r="R136" s="13"/>
      <c r="S136" s="13"/>
      <c r="U136" s="13"/>
    </row>
    <row r="137" spans="1:25" x14ac:dyDescent="0.35">
      <c r="A137" s="15" t="s">
        <v>17</v>
      </c>
      <c r="B137" s="68">
        <f>B117</f>
        <v>6.5518028411816756E+21</v>
      </c>
      <c r="C137" s="13" t="s">
        <v>14</v>
      </c>
      <c r="D137" s="18" t="s">
        <v>37</v>
      </c>
      <c r="E137" s="666">
        <f t="shared" si="0"/>
        <v>45.207439604153564</v>
      </c>
      <c r="F137" s="13" t="s">
        <v>9</v>
      </c>
      <c r="G137" s="18" t="s">
        <v>37</v>
      </c>
      <c r="H137" s="77">
        <f t="shared" si="1"/>
        <v>3.2650180271669486E-2</v>
      </c>
      <c r="I137" s="17" t="s">
        <v>7</v>
      </c>
      <c r="K137" s="74"/>
      <c r="M137" s="15"/>
      <c r="N137" s="1115">
        <f>100*B137/B19</f>
        <v>91.316901046405405</v>
      </c>
      <c r="O137" s="13" t="s">
        <v>18</v>
      </c>
      <c r="P137" s="85"/>
      <c r="W137" s="26"/>
      <c r="X137" s="26"/>
      <c r="Y137" s="26"/>
    </row>
    <row r="138" spans="1:25" x14ac:dyDescent="0.35">
      <c r="A138" s="15"/>
      <c r="B138" s="489">
        <f>B118</f>
        <v>6.5518028411816756E+21</v>
      </c>
      <c r="D138" s="567"/>
      <c r="E138" s="580">
        <f t="shared" si="0"/>
        <v>45.207439604153564</v>
      </c>
      <c r="G138" s="567"/>
      <c r="H138" s="582">
        <f>B138*3/(6.02*10^23)</f>
        <v>3.2650180271669486E-2</v>
      </c>
      <c r="I138" s="436"/>
      <c r="K138" s="74"/>
      <c r="L138" s="63"/>
      <c r="M138" s="15"/>
      <c r="N138" s="1116">
        <f>100*B138/B19</f>
        <v>91.316901046405405</v>
      </c>
      <c r="P138" s="85"/>
      <c r="R138" s="52"/>
      <c r="S138" s="13"/>
      <c r="T138" s="26"/>
      <c r="U138" s="26"/>
      <c r="V138" s="46"/>
    </row>
    <row r="139" spans="1:25" x14ac:dyDescent="0.35">
      <c r="B139" s="182">
        <f>B119</f>
        <v>6.3950206070530622E+21</v>
      </c>
      <c r="C139" s="19"/>
      <c r="D139" s="20"/>
      <c r="E139" s="211">
        <f t="shared" si="0"/>
        <v>44.125642188666134</v>
      </c>
      <c r="F139" s="19"/>
      <c r="G139" s="20"/>
      <c r="H139" s="184">
        <f t="shared" si="1"/>
        <v>3.1868873457075064E-2</v>
      </c>
      <c r="I139" s="17"/>
      <c r="M139" s="436"/>
      <c r="N139" s="1117">
        <f>100*B139/B19</f>
        <v>89.131721164347979</v>
      </c>
      <c r="R139" s="52"/>
      <c r="S139" s="13"/>
      <c r="T139" s="26"/>
      <c r="U139" s="26"/>
      <c r="V139" s="46"/>
    </row>
    <row r="140" spans="1:25" x14ac:dyDescent="0.35">
      <c r="B140" s="749"/>
      <c r="C140" s="19" t="s">
        <v>381</v>
      </c>
      <c r="D140" s="20"/>
      <c r="E140" s="422"/>
      <c r="F140" s="19"/>
      <c r="G140" s="20"/>
      <c r="H140" s="107"/>
      <c r="I140" s="17"/>
      <c r="K140" s="10" t="s">
        <v>552</v>
      </c>
      <c r="L140" s="516" t="s">
        <v>557</v>
      </c>
      <c r="M140" s="295"/>
      <c r="N140" s="1209"/>
      <c r="O140" s="26"/>
      <c r="P140" s="85"/>
      <c r="R140" s="25"/>
      <c r="S140" s="13"/>
      <c r="T140" s="26"/>
      <c r="U140" s="26"/>
      <c r="V140" s="46"/>
    </row>
    <row r="141" spans="1:25" x14ac:dyDescent="0.35">
      <c r="A141" s="15" t="s">
        <v>551</v>
      </c>
      <c r="B141" s="68">
        <f>B102+B32</f>
        <v>7.1574621326892272E+21</v>
      </c>
      <c r="C141" s="13" t="s">
        <v>14</v>
      </c>
      <c r="D141" s="18" t="s">
        <v>37</v>
      </c>
      <c r="E141" s="666">
        <f>E131+E134+E137</f>
        <v>100.08131595477097</v>
      </c>
      <c r="F141" s="13" t="s">
        <v>9</v>
      </c>
      <c r="G141" s="18" t="s">
        <v>37</v>
      </c>
      <c r="H141" s="77">
        <f>B141*3/(6.02*10^23)</f>
        <v>3.5668415943634027E-2</v>
      </c>
      <c r="I141" s="17" t="s">
        <v>7</v>
      </c>
      <c r="J141" s="564">
        <f>K141+'баланс дейтерий'!K141</f>
        <v>1</v>
      </c>
      <c r="K141" s="734">
        <f>L141/(L141+'баланс дейтерий'!P141)</f>
        <v>0.5</v>
      </c>
      <c r="L141" s="748">
        <f>($B$4-$B$9-$B$13+$B$10+B141)/'параметры для расчета'!$K$5</f>
        <v>1.0062196779040956E+20</v>
      </c>
      <c r="M141" s="94" t="s">
        <v>104</v>
      </c>
      <c r="N141" s="207">
        <f>B141/B145</f>
        <v>0.99758383632358194</v>
      </c>
      <c r="O141" s="26"/>
      <c r="P141" s="748">
        <f>($B$4-$B$9-$B$13+$B$10+B141)/'параметры для расчета'!$K$5</f>
        <v>1.0062196779040956E+20</v>
      </c>
      <c r="R141" s="25"/>
      <c r="S141" s="13"/>
      <c r="T141" s="26"/>
      <c r="U141" s="26"/>
      <c r="V141" s="46"/>
    </row>
    <row r="142" spans="1:25" x14ac:dyDescent="0.35">
      <c r="A142" s="94"/>
      <c r="B142" s="489">
        <f>B103+B33</f>
        <v>7.1574621326892272E+21</v>
      </c>
      <c r="D142" s="567"/>
      <c r="E142" s="580">
        <f>E132+E135+E138</f>
        <v>100.08131595477097</v>
      </c>
      <c r="G142" s="567"/>
      <c r="H142" s="582">
        <f>B142*3/(6.02*10^23)</f>
        <v>3.5668415943634027E-2</v>
      </c>
      <c r="I142" s="436"/>
      <c r="J142" s="564">
        <f>K142+'баланс дейтерий'!K142</f>
        <v>1</v>
      </c>
      <c r="K142" s="734">
        <f>L142/(L142+'баланс дейтерий'!P142)</f>
        <v>0.5</v>
      </c>
      <c r="L142" s="748">
        <f>($B$4-$B$9-$B$13+$B$10+B142)/'параметры для расчета'!$K$5</f>
        <v>1.0062196779040956E+20</v>
      </c>
      <c r="M142" s="94"/>
      <c r="N142" s="594">
        <f>B142/B145</f>
        <v>0.99758383632358194</v>
      </c>
      <c r="O142" s="26"/>
      <c r="P142" s="748">
        <f>($B$4-$B$9-$B$13+$B$10+B142)/'параметры для расчета'!$K$5</f>
        <v>1.0062196779040956E+20</v>
      </c>
      <c r="R142" s="25"/>
      <c r="S142" s="13"/>
      <c r="T142" s="26"/>
      <c r="U142" s="26"/>
      <c r="V142" s="46"/>
    </row>
    <row r="143" spans="1:25" x14ac:dyDescent="0.35">
      <c r="A143" s="94"/>
      <c r="B143" s="182">
        <f>B104+B34</f>
        <v>7.2985661434049782E+21</v>
      </c>
      <c r="C143" s="19"/>
      <c r="D143" s="20"/>
      <c r="E143" s="211">
        <f>E133+E136+E139</f>
        <v>100.08131595477097</v>
      </c>
      <c r="F143" s="19"/>
      <c r="G143" s="20"/>
      <c r="H143" s="184">
        <f>B143*3/(6.02*10^23)</f>
        <v>3.6371592076768995E-2</v>
      </c>
      <c r="I143" s="17"/>
      <c r="J143" s="564">
        <f>K143+'баланс дейтерий'!K143</f>
        <v>1</v>
      </c>
      <c r="K143" s="734">
        <f>L143/(L143+'баланс дейтерий'!P143)</f>
        <v>0.5057932667107643</v>
      </c>
      <c r="L143" s="748">
        <f>($B$4-$B$9-$B$13+$B$10+B143)/'параметры для расчета'!$K$5</f>
        <v>1.0178782758315311E+20</v>
      </c>
      <c r="N143" s="621">
        <f>B143/B145</f>
        <v>1.0172504552620987</v>
      </c>
      <c r="P143" s="748">
        <f>($B$4-$B$9-$B$13+$B$10+B143)/'параметры для расчета'!$K$5</f>
        <v>1.0178782758315311E+20</v>
      </c>
      <c r="R143" s="85"/>
      <c r="S143" s="13"/>
      <c r="T143" s="26"/>
      <c r="U143" s="26"/>
      <c r="V143" s="46"/>
    </row>
    <row r="144" spans="1:25" x14ac:dyDescent="0.35">
      <c r="B144" s="63"/>
      <c r="E144" s="13"/>
      <c r="H144" s="13"/>
      <c r="J144" s="202"/>
      <c r="K144" s="296"/>
      <c r="L144" s="376"/>
      <c r="N144" s="13"/>
      <c r="O144" s="52"/>
      <c r="P144" s="74"/>
      <c r="Q144" s="144"/>
      <c r="R144" s="115"/>
      <c r="T144" s="26"/>
      <c r="U144" s="26"/>
      <c r="V144" s="46"/>
    </row>
    <row r="145" spans="1:25" x14ac:dyDescent="0.35">
      <c r="A145" s="94" t="s">
        <v>349</v>
      </c>
      <c r="B145" s="204">
        <f>B19</f>
        <v>7.1747976180796825E+21</v>
      </c>
      <c r="C145" s="74" t="s">
        <v>14</v>
      </c>
      <c r="D145" s="203" t="s">
        <v>37</v>
      </c>
      <c r="E145" s="670">
        <f>B145*(1/2*1.38E-23*1000)</f>
        <v>49.506103564749814</v>
      </c>
      <c r="F145" s="74" t="s">
        <v>9</v>
      </c>
      <c r="G145" s="203" t="s">
        <v>37</v>
      </c>
      <c r="H145" s="205">
        <f>B145*3/(6.02*10^23)</f>
        <v>3.5754805405712707E-2</v>
      </c>
      <c r="I145" s="85" t="s">
        <v>7</v>
      </c>
      <c r="J145" s="202"/>
      <c r="K145" s="14" t="s">
        <v>313</v>
      </c>
      <c r="L145" s="376"/>
      <c r="O145" s="52"/>
      <c r="Q145" s="144"/>
      <c r="R145" s="115"/>
      <c r="S145" s="289"/>
      <c r="T145" s="26"/>
      <c r="U145" s="26"/>
      <c r="V145" s="46"/>
    </row>
    <row r="146" spans="1:25" x14ac:dyDescent="0.35">
      <c r="Q146" s="144"/>
      <c r="R146" s="115"/>
      <c r="S146" s="436"/>
      <c r="T146" s="26"/>
      <c r="U146" s="26"/>
      <c r="V146" s="46"/>
    </row>
    <row r="147" spans="1:25" x14ac:dyDescent="0.35">
      <c r="A147" s="1363" t="s">
        <v>541</v>
      </c>
      <c r="B147" s="68">
        <f>B36-B32+B98-B102+B117</f>
        <v>7.3470764114804778E+21</v>
      </c>
      <c r="C147" s="13" t="s">
        <v>14</v>
      </c>
      <c r="D147" s="1241" t="s">
        <v>37</v>
      </c>
      <c r="E147" s="666">
        <f>E136+E139+E141</f>
        <v>200.16263190954194</v>
      </c>
      <c r="F147" s="13" t="s">
        <v>9</v>
      </c>
      <c r="G147" s="1241" t="s">
        <v>37</v>
      </c>
      <c r="H147" s="77">
        <f>B147*3/(6.02*10^23)</f>
        <v>3.6613337598739928E-2</v>
      </c>
      <c r="I147" s="436" t="s">
        <v>7</v>
      </c>
      <c r="Q147" s="144"/>
      <c r="R147" s="115"/>
      <c r="S147" s="289"/>
      <c r="T147" s="26"/>
      <c r="U147" s="26"/>
      <c r="V147" s="46"/>
    </row>
    <row r="148" spans="1:25" x14ac:dyDescent="0.35">
      <c r="B148" s="489">
        <f>B37-B33+B99-B103+B118</f>
        <v>7.3470764114804778E+21</v>
      </c>
      <c r="D148" s="1241"/>
      <c r="E148" s="580">
        <f>E138+E135+E142</f>
        <v>198.72513190954194</v>
      </c>
      <c r="G148" s="1241"/>
      <c r="H148" s="582">
        <f>B148*3/(6.02*10^23)</f>
        <v>3.6613337598739928E-2</v>
      </c>
      <c r="I148" s="436"/>
      <c r="Q148" s="144"/>
      <c r="R148" s="115"/>
      <c r="S148" s="289"/>
      <c r="T148" s="26"/>
      <c r="U148" s="26"/>
      <c r="V148" s="46"/>
    </row>
    <row r="149" spans="1:25" x14ac:dyDescent="0.35">
      <c r="B149" s="182">
        <f>B38-B34+B100-B104+B119</f>
        <v>7.2059724007647268E+21</v>
      </c>
      <c r="C149" s="19"/>
      <c r="D149" s="406"/>
      <c r="E149" s="211">
        <f>E139+E143+E136</f>
        <v>200.16263190954194</v>
      </c>
      <c r="F149" s="19"/>
      <c r="G149" s="406"/>
      <c r="H149" s="184">
        <f>B149*3/(6.02*10^23)</f>
        <v>3.591016146560496E-2</v>
      </c>
      <c r="I149" s="436"/>
      <c r="J149" s="296"/>
      <c r="L149" s="1331"/>
      <c r="M149" s="63"/>
      <c r="P149" s="25"/>
      <c r="Q149" s="144"/>
      <c r="R149" s="115"/>
      <c r="S149" s="436"/>
      <c r="T149" s="26"/>
      <c r="U149" s="26"/>
      <c r="V149" s="46"/>
    </row>
    <row r="150" spans="1:25" x14ac:dyDescent="0.35">
      <c r="B150" s="63"/>
      <c r="E150" s="13"/>
      <c r="H150" s="13"/>
      <c r="Q150" s="144"/>
      <c r="R150" s="115"/>
      <c r="S150" s="289"/>
      <c r="T150" s="26"/>
      <c r="U150" s="26"/>
      <c r="V150" s="46"/>
    </row>
    <row r="151" spans="1:25" x14ac:dyDescent="0.35">
      <c r="E151" s="104"/>
      <c r="J151" s="296"/>
      <c r="L151" s="186"/>
      <c r="Q151" s="144"/>
      <c r="R151" s="115"/>
      <c r="T151" s="26"/>
      <c r="U151" s="26"/>
      <c r="V151" s="46"/>
    </row>
    <row r="152" spans="1:25" ht="18.75" customHeight="1" x14ac:dyDescent="0.35">
      <c r="E152" s="111"/>
      <c r="J152" s="296"/>
      <c r="L152" s="186"/>
      <c r="Q152" s="144"/>
      <c r="R152" s="115"/>
      <c r="T152" s="26"/>
      <c r="U152" s="26"/>
      <c r="V152" s="46"/>
    </row>
    <row r="153" spans="1:25" x14ac:dyDescent="0.35">
      <c r="A153" s="1" t="s">
        <v>548</v>
      </c>
      <c r="E153" s="104"/>
      <c r="J153" s="296"/>
      <c r="K153" s="974" t="s">
        <v>549</v>
      </c>
      <c r="L153" s="503"/>
      <c r="N153" s="166"/>
      <c r="P153" s="251" t="s">
        <v>142</v>
      </c>
      <c r="U153" s="45"/>
      <c r="V153" s="26"/>
      <c r="W153" s="26"/>
      <c r="X153" s="26"/>
      <c r="Y153" s="26"/>
    </row>
    <row r="154" spans="1:25" x14ac:dyDescent="0.35">
      <c r="A154" s="71" t="s">
        <v>905</v>
      </c>
      <c r="B154" s="68">
        <f>(B131+B134+B137)-B141+B12-B10+B13</f>
        <v>1.4492753623188406E+22</v>
      </c>
      <c r="C154" s="13" t="s">
        <v>14</v>
      </c>
      <c r="D154" s="18" t="s">
        <v>37</v>
      </c>
      <c r="E154" s="114">
        <f>B154*(1/2*1.38E-23*300)</f>
        <v>30.000000000000004</v>
      </c>
      <c r="F154" s="13" t="s">
        <v>9</v>
      </c>
      <c r="G154" s="18" t="s">
        <v>37</v>
      </c>
      <c r="H154" s="77">
        <f>B154*3/(6.02*10^23)</f>
        <v>7.222302470027446E-2</v>
      </c>
      <c r="I154" s="17" t="s">
        <v>7</v>
      </c>
      <c r="J154" s="564">
        <f>K154+'баланс дейтерий'!K154</f>
        <v>1</v>
      </c>
      <c r="K154" s="734">
        <f>B154/(B154+'баланс дейтерий'!B154)</f>
        <v>0.5</v>
      </c>
      <c r="M154" s="14" t="s">
        <v>313</v>
      </c>
      <c r="N154" s="173">
        <f>E154/('параметры для расчета'!$C$9*K154)</f>
        <v>30.000000000000004</v>
      </c>
      <c r="O154" s="102" t="s">
        <v>253</v>
      </c>
      <c r="U154" s="45"/>
      <c r="V154" s="26"/>
      <c r="W154" s="26"/>
      <c r="X154" s="26"/>
      <c r="Y154" s="26"/>
    </row>
    <row r="155" spans="1:25" x14ac:dyDescent="0.35">
      <c r="B155" s="489">
        <f>(B132+B135+B138)-B142+E12-B10+E13</f>
        <v>1.4492753623188406E+22</v>
      </c>
      <c r="D155" s="567"/>
      <c r="E155" s="580">
        <f>B155*(1/2*1.38E-23*300)</f>
        <v>30.000000000000004</v>
      </c>
      <c r="G155" s="567"/>
      <c r="H155" s="582">
        <f>B155*3/(6.02*10^23)</f>
        <v>7.222302470027446E-2</v>
      </c>
      <c r="I155" s="436"/>
      <c r="J155" s="564">
        <f>K155+'баланс дейтерий'!K155</f>
        <v>1</v>
      </c>
      <c r="K155" s="734">
        <f>B155/(B155+'баланс дейтерий'!B155)</f>
        <v>0.5</v>
      </c>
      <c r="L155" s="1337">
        <f>'параметры для расчета'!C20%</f>
        <v>0.5</v>
      </c>
      <c r="M155" s="63"/>
      <c r="N155" s="173">
        <f>E155/('параметры для расчета'!$C$9*K155)</f>
        <v>30.000000000000004</v>
      </c>
      <c r="R155" s="410"/>
      <c r="S155" s="436"/>
      <c r="U155" s="45"/>
      <c r="V155" s="26"/>
      <c r="W155" s="26"/>
      <c r="X155" s="26"/>
      <c r="Y155" s="26"/>
    </row>
    <row r="156" spans="1:25" x14ac:dyDescent="0.35">
      <c r="B156" s="182">
        <f>(B133+B136+B139)-B143+H12-B10+H13</f>
        <v>1.4492753623188406E+22</v>
      </c>
      <c r="C156" s="19"/>
      <c r="D156" s="20"/>
      <c r="E156" s="211">
        <f>B156*(1/2*1.38E-23*300)</f>
        <v>30.000000000000004</v>
      </c>
      <c r="F156" s="19"/>
      <c r="G156" s="20"/>
      <c r="H156" s="184">
        <f>B156*3/(6.02*10^23)</f>
        <v>7.222302470027446E-2</v>
      </c>
      <c r="I156" s="17"/>
      <c r="J156" s="564">
        <f>K156+'баланс дейтерий'!K156</f>
        <v>1</v>
      </c>
      <c r="K156" s="734">
        <f>B156/(B156+'баланс дейтерий'!B156)</f>
        <v>0.5</v>
      </c>
      <c r="L156" s="1265"/>
      <c r="N156" s="173">
        <f>E156/('параметры для расчета'!$C$9*K156)</f>
        <v>30.000000000000004</v>
      </c>
      <c r="O156" s="13" t="s">
        <v>550</v>
      </c>
      <c r="U156" s="45"/>
      <c r="V156" s="26"/>
      <c r="W156" s="26"/>
      <c r="X156" s="26"/>
      <c r="Y156" s="26"/>
    </row>
    <row r="157" spans="1:25" x14ac:dyDescent="0.35">
      <c r="A157" s="1"/>
      <c r="B157" s="14" t="s">
        <v>623</v>
      </c>
      <c r="C157" s="26"/>
      <c r="D157" s="35"/>
      <c r="E157" s="44"/>
      <c r="F157" s="26"/>
      <c r="G157" s="35"/>
      <c r="H157" s="107"/>
      <c r="I157" s="136"/>
      <c r="N157" s="661"/>
      <c r="O157" s="25"/>
      <c r="R157" s="290"/>
      <c r="S157" s="289"/>
      <c r="U157" s="45"/>
      <c r="V157" s="26"/>
      <c r="W157" s="26"/>
      <c r="X157" s="26"/>
      <c r="Y157" s="26"/>
    </row>
    <row r="158" spans="1:25" x14ac:dyDescent="0.35">
      <c r="A158" s="1"/>
      <c r="B158" s="69"/>
      <c r="C158" s="26"/>
      <c r="D158" s="35"/>
      <c r="E158" s="44"/>
      <c r="F158" s="26"/>
      <c r="G158" s="35"/>
      <c r="H158" s="107"/>
      <c r="I158" s="136"/>
      <c r="K158" s="74"/>
      <c r="R158" s="290"/>
      <c r="S158" s="289"/>
      <c r="U158" s="45"/>
      <c r="V158" s="26"/>
      <c r="W158" s="26"/>
      <c r="X158" s="26"/>
      <c r="Y158" s="26"/>
    </row>
    <row r="159" spans="1:25" ht="16.5" customHeight="1" x14ac:dyDescent="0.35">
      <c r="B159" s="105"/>
      <c r="N159" s="1334"/>
      <c r="U159" s="45"/>
      <c r="V159" s="26"/>
      <c r="W159" s="26"/>
      <c r="X159" s="26"/>
      <c r="Y159" s="26"/>
    </row>
    <row r="160" spans="1:25" x14ac:dyDescent="0.35">
      <c r="A160" s="15" t="s">
        <v>114</v>
      </c>
      <c r="C160" s="19"/>
      <c r="D160" s="20"/>
      <c r="E160" s="1017"/>
      <c r="F160" s="19"/>
      <c r="G160" s="20"/>
      <c r="H160" s="58"/>
      <c r="I160" s="22"/>
      <c r="J160" s="19"/>
      <c r="L160" s="14"/>
      <c r="M160" s="14"/>
      <c r="N160" s="72"/>
      <c r="O160" s="14"/>
      <c r="V160" s="26"/>
      <c r="W160" s="26"/>
      <c r="X160" s="26"/>
      <c r="Y160" s="26"/>
    </row>
    <row r="161" spans="1:25" x14ac:dyDescent="0.35">
      <c r="A161" s="48" t="s">
        <v>427</v>
      </c>
      <c r="B161" s="68">
        <f>B154-(B167+B170)-B58*B41</f>
        <v>1.1451913478931967E+22</v>
      </c>
      <c r="C161" s="13" t="s">
        <v>14</v>
      </c>
      <c r="D161" s="18" t="s">
        <v>37</v>
      </c>
      <c r="E161" s="55">
        <f t="shared" ref="E161:E166" si="2">B161*(1/2*1.38E-23*300)</f>
        <v>23.705460901389174</v>
      </c>
      <c r="F161" s="13" t="s">
        <v>9</v>
      </c>
      <c r="G161" s="18" t="s">
        <v>37</v>
      </c>
      <c r="H161" s="93">
        <f t="shared" ref="H161:H166" si="3">B161*3/(6.02*10^23)</f>
        <v>5.7069336273747349E-2</v>
      </c>
      <c r="I161" s="17" t="s">
        <v>7</v>
      </c>
      <c r="K161" s="25" t="s">
        <v>200</v>
      </c>
      <c r="P161" s="256" t="s">
        <v>113</v>
      </c>
      <c r="R161" s="13"/>
      <c r="S161" s="13"/>
      <c r="V161" s="435"/>
      <c r="W161" s="27"/>
      <c r="X161" s="46"/>
      <c r="Y161" s="44"/>
    </row>
    <row r="162" spans="1:25" x14ac:dyDescent="0.35">
      <c r="A162" s="48"/>
      <c r="B162" s="606">
        <f>B155-(B168+B171)-B58*B41</f>
        <v>1.1451913478931967E+22</v>
      </c>
      <c r="C162" s="112"/>
      <c r="D162" s="124"/>
      <c r="E162" s="580">
        <f t="shared" si="2"/>
        <v>23.705460901389174</v>
      </c>
      <c r="F162" s="112"/>
      <c r="G162" s="124"/>
      <c r="H162" s="584">
        <f t="shared" si="3"/>
        <v>5.7069336273747349E-2</v>
      </c>
      <c r="I162" s="436"/>
      <c r="J162" s="665"/>
      <c r="N162" s="501"/>
      <c r="P162" s="36"/>
      <c r="R162" s="13"/>
      <c r="S162" s="13"/>
      <c r="V162" s="435"/>
      <c r="W162" s="27"/>
      <c r="X162" s="46"/>
      <c r="Y162" s="44"/>
    </row>
    <row r="163" spans="1:25" x14ac:dyDescent="0.35">
      <c r="A163" s="1"/>
      <c r="B163" s="209">
        <f>B156-(B169+B172)-B58*B41</f>
        <v>1.1451913478931967E+22</v>
      </c>
      <c r="C163" s="112"/>
      <c r="D163" s="124"/>
      <c r="E163" s="431">
        <f t="shared" si="2"/>
        <v>23.705460901389174</v>
      </c>
      <c r="F163" s="112"/>
      <c r="G163" s="124"/>
      <c r="H163" s="183">
        <f t="shared" si="3"/>
        <v>5.7069336273747349E-2</v>
      </c>
      <c r="I163" s="17"/>
      <c r="N163" s="629"/>
      <c r="P163" s="436"/>
      <c r="R163" s="13"/>
      <c r="S163" s="13"/>
      <c r="V163" s="435"/>
      <c r="W163" s="27"/>
      <c r="X163" s="46"/>
      <c r="Y163" s="44"/>
    </row>
    <row r="164" spans="1:25" x14ac:dyDescent="0.35">
      <c r="A164" s="48" t="s">
        <v>428</v>
      </c>
      <c r="B164" s="68">
        <f>B61*B41</f>
        <v>2.3122294685990335E+22</v>
      </c>
      <c r="C164" s="1" t="s">
        <v>14</v>
      </c>
      <c r="D164" s="10" t="s">
        <v>37</v>
      </c>
      <c r="E164" s="114">
        <f t="shared" si="2"/>
        <v>47.863149999999997</v>
      </c>
      <c r="F164" s="1" t="s">
        <v>9</v>
      </c>
      <c r="G164" s="10" t="s">
        <v>37</v>
      </c>
      <c r="H164" s="93">
        <f t="shared" si="3"/>
        <v>0.11522738215609804</v>
      </c>
      <c r="I164" s="17" t="s">
        <v>7</v>
      </c>
      <c r="K164" s="25" t="s">
        <v>203</v>
      </c>
      <c r="P164" s="630"/>
      <c r="R164" s="13"/>
      <c r="S164" s="13"/>
      <c r="V164" s="435"/>
      <c r="W164" s="27"/>
      <c r="X164" s="46"/>
      <c r="Y164" s="44"/>
    </row>
    <row r="165" spans="1:25" x14ac:dyDescent="0.35">
      <c r="A165" s="48"/>
      <c r="B165" s="606">
        <f>B62*B41</f>
        <v>2.3122294685990335E+22</v>
      </c>
      <c r="C165" s="112"/>
      <c r="D165" s="124"/>
      <c r="E165" s="580">
        <f t="shared" si="2"/>
        <v>47.863149999999997</v>
      </c>
      <c r="F165" s="112"/>
      <c r="G165" s="124"/>
      <c r="H165" s="584">
        <f t="shared" si="3"/>
        <v>0.11522738215609804</v>
      </c>
      <c r="I165" s="436"/>
      <c r="J165" s="117"/>
      <c r="K165" s="25"/>
      <c r="N165" s="117"/>
      <c r="P165" s="630"/>
      <c r="R165" s="13"/>
      <c r="S165" s="13"/>
      <c r="V165" s="435"/>
      <c r="W165" s="27"/>
      <c r="X165" s="46"/>
      <c r="Y165" s="44"/>
    </row>
    <row r="166" spans="1:25" x14ac:dyDescent="0.35">
      <c r="A166" s="1"/>
      <c r="B166" s="209">
        <f>B63*B41</f>
        <v>1.4222222222222225E+20</v>
      </c>
      <c r="C166" s="643" t="s">
        <v>14</v>
      </c>
      <c r="D166" s="644" t="s">
        <v>37</v>
      </c>
      <c r="E166" s="431">
        <f t="shared" si="2"/>
        <v>0.29440000000000005</v>
      </c>
      <c r="F166" s="112"/>
      <c r="G166" s="124" t="s">
        <v>37</v>
      </c>
      <c r="H166" s="1300">
        <f t="shared" si="3"/>
        <v>7.0874861572536017E-4</v>
      </c>
      <c r="I166" s="17"/>
      <c r="K166" s="25" t="s">
        <v>212</v>
      </c>
      <c r="L166" s="90"/>
      <c r="M166" s="325"/>
      <c r="P166" s="19"/>
      <c r="R166" s="13"/>
      <c r="S166" s="13"/>
      <c r="V166" s="435"/>
      <c r="W166" s="27"/>
      <c r="X166" s="46"/>
      <c r="Y166" s="44"/>
    </row>
    <row r="167" spans="1:25" x14ac:dyDescent="0.35">
      <c r="A167" s="169" t="s">
        <v>429</v>
      </c>
      <c r="B167" s="671">
        <f t="shared" ref="B167:B172" si="4">E167/(1/2*1.38E-23*600)</f>
        <v>2.8985507246376815E+21</v>
      </c>
      <c r="C167" s="1" t="s">
        <v>14</v>
      </c>
      <c r="D167" s="10" t="s">
        <v>37</v>
      </c>
      <c r="E167" s="689">
        <f>'[4]поэлементый расчет систем'!M203</f>
        <v>12.000000000000002</v>
      </c>
      <c r="F167" s="1" t="s">
        <v>9</v>
      </c>
      <c r="G167" s="10" t="s">
        <v>37</v>
      </c>
      <c r="H167" s="407">
        <f t="shared" ref="H167:H172" si="5">B167*3/(6.02*10^23)</f>
        <v>1.4444604940054891E-2</v>
      </c>
      <c r="I167" s="17" t="s">
        <v>7</v>
      </c>
      <c r="K167" s="14" t="s">
        <v>328</v>
      </c>
      <c r="R167" s="13"/>
      <c r="S167" s="13"/>
      <c r="V167" s="435"/>
      <c r="W167" s="27"/>
      <c r="X167" s="46"/>
      <c r="Y167" s="44"/>
    </row>
    <row r="168" spans="1:25" x14ac:dyDescent="0.35">
      <c r="A168" s="169"/>
      <c r="B168" s="606">
        <f t="shared" si="4"/>
        <v>2.8985507246376815E+21</v>
      </c>
      <c r="C168" s="1"/>
      <c r="D168" s="10"/>
      <c r="E168" s="580">
        <f>'[4]поэлементый расчет систем'!Q203</f>
        <v>12.000000000000002</v>
      </c>
      <c r="F168" s="112"/>
      <c r="G168" s="124"/>
      <c r="H168" s="584">
        <f t="shared" si="5"/>
        <v>1.4444604940054891E-2</v>
      </c>
      <c r="I168" s="436"/>
      <c r="J168" s="665"/>
      <c r="K168" s="91"/>
      <c r="R168" s="13"/>
      <c r="S168" s="13"/>
      <c r="V168" s="435"/>
      <c r="W168" s="27"/>
      <c r="X168" s="46"/>
      <c r="Y168" s="44"/>
    </row>
    <row r="169" spans="1:25" x14ac:dyDescent="0.35">
      <c r="A169" s="1"/>
      <c r="B169" s="209">
        <f t="shared" si="4"/>
        <v>2.8985507246376815E+21</v>
      </c>
      <c r="C169" s="112"/>
      <c r="D169" s="124"/>
      <c r="E169" s="431">
        <f>'[4]поэлементый расчет систем'!Q203</f>
        <v>12.000000000000002</v>
      </c>
      <c r="F169" s="112"/>
      <c r="G169" s="124"/>
      <c r="H169" s="183">
        <f t="shared" si="5"/>
        <v>1.4444604940054891E-2</v>
      </c>
      <c r="I169" s="17"/>
      <c r="R169" s="13"/>
      <c r="S169" s="13"/>
      <c r="V169" s="435"/>
      <c r="W169" s="27"/>
      <c r="X169" s="46"/>
      <c r="Y169" s="44"/>
    </row>
    <row r="170" spans="1:25" x14ac:dyDescent="0.35">
      <c r="A170" s="169" t="s">
        <v>430</v>
      </c>
      <c r="B170" s="671">
        <f t="shared" si="4"/>
        <v>6.7197396534077688E+16</v>
      </c>
      <c r="C170" s="1" t="s">
        <v>14</v>
      </c>
      <c r="D170" s="10" t="s">
        <v>37</v>
      </c>
      <c r="E170" s="690">
        <f>'[4]поэлементый расчет систем'!K233</f>
        <v>2.7819722165108165E-4</v>
      </c>
      <c r="F170" s="1" t="s">
        <v>9</v>
      </c>
      <c r="G170" s="10" t="s">
        <v>37</v>
      </c>
      <c r="H170" s="596">
        <f t="shared" si="5"/>
        <v>3.3487074684756323E-7</v>
      </c>
      <c r="I170" s="17" t="s">
        <v>7</v>
      </c>
      <c r="K170" s="14" t="s">
        <v>328</v>
      </c>
      <c r="R170" s="13"/>
      <c r="S170" s="13"/>
      <c r="V170" s="435"/>
      <c r="W170" s="27"/>
      <c r="X170" s="46"/>
      <c r="Y170" s="44"/>
    </row>
    <row r="171" spans="1:25" x14ac:dyDescent="0.35">
      <c r="A171" s="208"/>
      <c r="B171" s="606">
        <f t="shared" si="4"/>
        <v>6.7197396534077688E+16</v>
      </c>
      <c r="C171" s="1"/>
      <c r="D171" s="10"/>
      <c r="E171" s="604">
        <f>'[4]поэлементый расчет систем'!K233</f>
        <v>2.7819722165108165E-4</v>
      </c>
      <c r="F171" s="112"/>
      <c r="G171" s="124"/>
      <c r="H171" s="582">
        <f t="shared" si="5"/>
        <v>3.3487074684756323E-7</v>
      </c>
      <c r="I171" s="436"/>
      <c r="J171" s="665"/>
      <c r="L171" s="19"/>
      <c r="M171" s="19"/>
      <c r="P171" s="19"/>
      <c r="R171" s="13"/>
      <c r="S171" s="13"/>
      <c r="V171" s="435"/>
      <c r="W171" s="27"/>
      <c r="X171" s="46"/>
      <c r="Y171" s="44"/>
    </row>
    <row r="172" spans="1:25" x14ac:dyDescent="0.35">
      <c r="B172" s="209">
        <f t="shared" si="4"/>
        <v>6.7197396534077688E+16</v>
      </c>
      <c r="C172" s="112"/>
      <c r="D172" s="124"/>
      <c r="E172" s="605">
        <f>'[4]поэлементый расчет систем'!K233</f>
        <v>2.7819722165108165E-4</v>
      </c>
      <c r="F172" s="112"/>
      <c r="G172" s="124"/>
      <c r="H172" s="184">
        <f t="shared" si="5"/>
        <v>3.3487074684756323E-7</v>
      </c>
      <c r="I172" s="17"/>
      <c r="L172" s="19"/>
      <c r="M172" s="19"/>
      <c r="P172" s="19"/>
      <c r="R172" s="13"/>
      <c r="S172" s="13"/>
      <c r="V172" s="435"/>
      <c r="W172" s="27"/>
      <c r="X172" s="46"/>
      <c r="Y172" s="44"/>
    </row>
    <row r="173" spans="1:25" x14ac:dyDescent="0.35">
      <c r="B173" s="368"/>
      <c r="C173" s="1"/>
      <c r="D173" s="1"/>
      <c r="E173" s="401"/>
      <c r="F173" s="1"/>
      <c r="G173" s="1"/>
      <c r="H173" s="537"/>
      <c r="K173" s="10" t="s">
        <v>552</v>
      </c>
      <c r="S173" s="13"/>
      <c r="U173" s="13"/>
      <c r="V173" s="435"/>
      <c r="W173" s="27"/>
      <c r="X173" s="46"/>
      <c r="Y173" s="44"/>
    </row>
    <row r="174" spans="1:25" x14ac:dyDescent="0.35">
      <c r="A174" s="120" t="s">
        <v>116</v>
      </c>
      <c r="B174" s="109">
        <f>B170+B167+B161+B164</f>
        <v>3.7472826086956521E+22</v>
      </c>
      <c r="C174" s="1" t="s">
        <v>14</v>
      </c>
      <c r="D174" s="10" t="s">
        <v>37</v>
      </c>
      <c r="E174" s="114">
        <f>B174*(1/2*1.38E-23*300)</f>
        <v>77.568750000000009</v>
      </c>
      <c r="F174" s="1" t="s">
        <v>9</v>
      </c>
      <c r="G174" s="10" t="s">
        <v>37</v>
      </c>
      <c r="H174" s="93">
        <f>B174*3/(6.02*10^23)</f>
        <v>0.18674165824064715</v>
      </c>
      <c r="I174" s="17" t="s">
        <v>7</v>
      </c>
      <c r="J174" s="312"/>
      <c r="K174" s="734">
        <f>B174/(B174+'баланс дейтерий'!B174)</f>
        <v>0.5</v>
      </c>
      <c r="M174" s="403">
        <f>'баланс тритий'!B161+'баланс тритий'!B167+'баланс тритий'!B170+$B$58*$B$41</f>
        <v>1.4492753623188406E+22</v>
      </c>
      <c r="N174" s="304">
        <f>B174-B164</f>
        <v>1.4350531400966185E+22</v>
      </c>
      <c r="O174" s="1208"/>
      <c r="R174" s="69"/>
      <c r="S174" s="13"/>
      <c r="U174" s="13"/>
      <c r="V174" s="435"/>
      <c r="W174" s="27"/>
      <c r="X174" s="46"/>
      <c r="Y174" s="44"/>
    </row>
    <row r="175" spans="1:25" x14ac:dyDescent="0.35">
      <c r="A175" s="120"/>
      <c r="B175" s="606">
        <f>B171+B168+B162</f>
        <v>1.4350531400966183E+22</v>
      </c>
      <c r="C175" s="1"/>
      <c r="D175" s="10"/>
      <c r="E175" s="580">
        <f>B175*(1/2*1.38E-23*300)</f>
        <v>29.7056</v>
      </c>
      <c r="F175" s="1"/>
      <c r="G175" s="10"/>
      <c r="H175" s="584">
        <f>B175*3/(6.02*10^23)</f>
        <v>7.1514276084549092E-2</v>
      </c>
      <c r="I175" s="436"/>
      <c r="J175" s="312"/>
      <c r="K175" s="734">
        <f>B175/(B175+'баланс дейтерий'!B175)</f>
        <v>0.5</v>
      </c>
      <c r="M175" s="403">
        <f>'баланс тритий'!B162+'баланс тритий'!B168+'баланс тритий'!B171+$B$58*$B$41</f>
        <v>1.4492753623188406E+22</v>
      </c>
      <c r="N175" s="304">
        <f>B175-B165</f>
        <v>-8.771763285024152E+21</v>
      </c>
      <c r="O175" s="1208"/>
      <c r="R175" s="69"/>
      <c r="S175" s="13"/>
      <c r="U175" s="13"/>
      <c r="V175" s="435"/>
      <c r="W175" s="27"/>
      <c r="X175" s="46"/>
      <c r="Y175" s="44"/>
    </row>
    <row r="176" spans="1:25" x14ac:dyDescent="0.35">
      <c r="A176" s="230" t="s">
        <v>165</v>
      </c>
      <c r="B176" s="209">
        <f>B172+B169+B163</f>
        <v>1.4350531400966183E+22</v>
      </c>
      <c r="C176" s="1"/>
      <c r="D176" s="10"/>
      <c r="E176" s="431">
        <f>B176*(1/2*1.38E-23*300)</f>
        <v>29.7056</v>
      </c>
      <c r="F176" s="1"/>
      <c r="G176" s="10"/>
      <c r="H176" s="183">
        <f>B176*3/(6.02*10^23)</f>
        <v>7.1514276084549092E-2</v>
      </c>
      <c r="I176" s="17"/>
      <c r="J176" s="172"/>
      <c r="K176" s="734">
        <f>B176/(B176+'баланс дейтерий'!B176)</f>
        <v>0.5</v>
      </c>
      <c r="M176" s="403">
        <f>'баланс тритий'!B163+'баланс тритий'!B169+'баланс тритий'!B172+$B$58*$B$41</f>
        <v>1.4492753623188406E+22</v>
      </c>
      <c r="N176" s="304">
        <f>B176-B166</f>
        <v>1.4208309178743961E+22</v>
      </c>
      <c r="O176" s="1208"/>
      <c r="R176" s="69"/>
      <c r="S176" s="13"/>
      <c r="U176" s="13"/>
      <c r="V176" s="435"/>
      <c r="W176" s="27"/>
      <c r="X176" s="46"/>
      <c r="Y176" s="44"/>
    </row>
    <row r="177" spans="1:25" x14ac:dyDescent="0.35">
      <c r="B177" s="311"/>
      <c r="C177" s="1"/>
      <c r="D177" s="1"/>
      <c r="E177" s="339"/>
      <c r="F177" s="1"/>
      <c r="G177" s="1"/>
      <c r="H177" s="537"/>
      <c r="J177" s="172"/>
      <c r="N177" s="130"/>
      <c r="R177" s="811"/>
      <c r="S177" s="13"/>
      <c r="U177" s="13"/>
      <c r="V177" s="435"/>
      <c r="W177" s="27"/>
      <c r="X177" s="46"/>
      <c r="Y177" s="44"/>
    </row>
    <row r="178" spans="1:25" x14ac:dyDescent="0.35">
      <c r="B178" s="284"/>
      <c r="C178" s="1"/>
      <c r="D178" s="1"/>
      <c r="E178" s="339"/>
      <c r="F178" s="1"/>
      <c r="G178" s="1"/>
      <c r="H178" s="537"/>
      <c r="J178" s="172"/>
      <c r="R178" s="811"/>
      <c r="S178" s="13"/>
      <c r="U178" s="13"/>
      <c r="V178" s="435"/>
      <c r="W178" s="27"/>
      <c r="X178" s="46"/>
      <c r="Y178" s="44"/>
    </row>
    <row r="179" spans="1:25" x14ac:dyDescent="0.35">
      <c r="B179" s="284"/>
      <c r="C179" s="1"/>
      <c r="D179" s="1"/>
      <c r="E179" s="339"/>
      <c r="F179" s="1"/>
      <c r="G179" s="1"/>
      <c r="H179" s="537"/>
      <c r="J179" s="172"/>
      <c r="R179" s="811"/>
      <c r="S179" s="13"/>
      <c r="U179" s="13"/>
      <c r="V179" s="435"/>
      <c r="W179" s="27"/>
      <c r="X179" s="46"/>
      <c r="Y179" s="44"/>
    </row>
    <row r="180" spans="1:25" x14ac:dyDescent="0.35">
      <c r="B180" s="76" t="s">
        <v>164</v>
      </c>
      <c r="C180" s="729">
        <f>'параметры для расчета'!C71</f>
        <v>2</v>
      </c>
      <c r="D180" s="1" t="s">
        <v>86</v>
      </c>
      <c r="E180" s="691" t="s">
        <v>87</v>
      </c>
      <c r="F180" s="1"/>
      <c r="G180" s="1"/>
      <c r="H180" s="537"/>
      <c r="P180" s="257" t="s">
        <v>117</v>
      </c>
      <c r="R180" s="811"/>
      <c r="V180" s="26"/>
      <c r="W180" s="26"/>
      <c r="X180" s="26"/>
      <c r="Y180" s="26"/>
    </row>
    <row r="181" spans="1:25" x14ac:dyDescent="0.35">
      <c r="A181" s="120" t="s">
        <v>90</v>
      </c>
      <c r="B181" s="417">
        <f>B174*('параметры для расчета'!C71)%</f>
        <v>7.4945652173913037E+20</v>
      </c>
      <c r="C181" s="1" t="s">
        <v>14</v>
      </c>
      <c r="D181" s="10" t="s">
        <v>37</v>
      </c>
      <c r="E181" s="486">
        <f>B181*(1/2*1.38E-23*300)</f>
        <v>1.5513749999999999</v>
      </c>
      <c r="F181" s="1" t="s">
        <v>9</v>
      </c>
      <c r="G181" s="10" t="s">
        <v>37</v>
      </c>
      <c r="H181" s="77">
        <f>B181*3/(6.02*10^23)</f>
        <v>3.7348331648129427E-3</v>
      </c>
      <c r="I181" s="17" t="s">
        <v>7</v>
      </c>
      <c r="J181" s="94" t="s">
        <v>132</v>
      </c>
      <c r="K181" s="25" t="s">
        <v>20</v>
      </c>
      <c r="R181" s="69"/>
      <c r="V181" s="26"/>
      <c r="W181" s="35"/>
      <c r="X181" s="26"/>
      <c r="Y181" s="26"/>
    </row>
    <row r="182" spans="1:25" x14ac:dyDescent="0.35">
      <c r="A182" s="120"/>
      <c r="B182" s="587">
        <f>B175*('параметры для расчета'!C71)%</f>
        <v>2.8701062801932367E+20</v>
      </c>
      <c r="C182" s="1"/>
      <c r="D182" s="10"/>
      <c r="E182" s="626">
        <f>B182*(1/2*1.38E-23*300)</f>
        <v>0.59411199999999997</v>
      </c>
      <c r="F182" s="1"/>
      <c r="G182" s="10"/>
      <c r="H182" s="582">
        <f>B182*3/(6.02*10^23)</f>
        <v>1.430285521690982E-3</v>
      </c>
      <c r="I182" s="436"/>
      <c r="J182" s="94"/>
      <c r="K182" s="25"/>
      <c r="R182" s="69"/>
      <c r="S182" s="436"/>
      <c r="V182" s="26"/>
      <c r="W182" s="35"/>
      <c r="X182" s="26"/>
      <c r="Y182" s="26"/>
    </row>
    <row r="183" spans="1:25" x14ac:dyDescent="0.35">
      <c r="B183" s="382">
        <f>B176*('параметры для расчета'!C71)%</f>
        <v>2.8701062801932367E+20</v>
      </c>
      <c r="C183" s="1"/>
      <c r="D183" s="10"/>
      <c r="E183" s="487">
        <f>B183*(1/2*1.38E-23*300)</f>
        <v>0.59411199999999997</v>
      </c>
      <c r="F183" s="1"/>
      <c r="G183" s="10"/>
      <c r="H183" s="184">
        <f>B183*3/(6.02*10^23)</f>
        <v>1.430285521690982E-3</v>
      </c>
      <c r="I183" s="17"/>
      <c r="J183" s="94" t="s">
        <v>132</v>
      </c>
      <c r="K183" s="37" t="s">
        <v>213</v>
      </c>
      <c r="R183" s="69"/>
      <c r="V183" s="26"/>
      <c r="W183" s="435"/>
      <c r="X183" s="27"/>
      <c r="Y183" s="46"/>
    </row>
    <row r="184" spans="1:25" x14ac:dyDescent="0.35">
      <c r="A184" s="834" t="s">
        <v>656</v>
      </c>
      <c r="R184" s="435"/>
      <c r="V184" s="26"/>
      <c r="W184" s="435"/>
      <c r="X184" s="27"/>
      <c r="Y184" s="46"/>
    </row>
    <row r="185" spans="1:25" x14ac:dyDescent="0.35">
      <c r="A185" s="246" t="s">
        <v>655</v>
      </c>
      <c r="B185" s="727"/>
      <c r="R185" s="435"/>
      <c r="S185" s="436"/>
      <c r="V185" s="26"/>
      <c r="W185" s="435"/>
      <c r="X185" s="27"/>
      <c r="Y185" s="46"/>
    </row>
    <row r="186" spans="1:25" x14ac:dyDescent="0.35">
      <c r="A186" s="358" t="s">
        <v>88</v>
      </c>
      <c r="B186" s="10"/>
      <c r="C186" s="1"/>
      <c r="D186" s="1"/>
      <c r="E186" s="401"/>
      <c r="F186" s="1"/>
      <c r="G186" s="1"/>
      <c r="H186" s="537"/>
      <c r="J186" s="172"/>
      <c r="K186" s="91"/>
      <c r="O186" s="132"/>
      <c r="R186" s="811"/>
      <c r="V186" s="26"/>
      <c r="W186" s="435"/>
      <c r="X186" s="27"/>
      <c r="Y186" s="46"/>
    </row>
    <row r="187" spans="1:25" x14ac:dyDescent="0.35">
      <c r="A187" s="120" t="s">
        <v>658</v>
      </c>
      <c r="B187" s="109">
        <f>B202</f>
        <v>7.7444023696546962E+21</v>
      </c>
      <c r="C187" s="1" t="s">
        <v>14</v>
      </c>
      <c r="D187" s="10" t="s">
        <v>37</v>
      </c>
      <c r="E187" s="114">
        <f t="shared" ref="E187:E192" si="6">B187*(1/2*1.38E-23*300)</f>
        <v>16.030912905185222</v>
      </c>
      <c r="F187" s="1" t="s">
        <v>9</v>
      </c>
      <c r="G187" s="10" t="s">
        <v>37</v>
      </c>
      <c r="H187" s="77">
        <f t="shared" ref="H187:H192" si="7">B187*3/(6.02*10^23)</f>
        <v>3.8593367290638024E-2</v>
      </c>
      <c r="I187" s="17" t="s">
        <v>7</v>
      </c>
      <c r="J187" s="94"/>
      <c r="K187" s="1206">
        <f>B187/B174</f>
        <v>0.20666715533233707</v>
      </c>
      <c r="M187" s="1207">
        <f>K187+K190</f>
        <v>1</v>
      </c>
      <c r="N187" s="88"/>
      <c r="R187" s="69"/>
      <c r="S187" s="436"/>
      <c r="V187" s="26"/>
      <c r="W187" s="435"/>
      <c r="X187" s="27"/>
      <c r="Y187" s="46"/>
    </row>
    <row r="188" spans="1:25" x14ac:dyDescent="0.35">
      <c r="A188" s="120"/>
      <c r="B188" s="606">
        <f>B203</f>
        <v>7.9527357029880294E+21</v>
      </c>
      <c r="C188" s="1"/>
      <c r="D188" s="10"/>
      <c r="E188" s="580">
        <f t="shared" si="6"/>
        <v>16.46216290518522</v>
      </c>
      <c r="F188" s="1"/>
      <c r="G188" s="10"/>
      <c r="H188" s="582">
        <f t="shared" si="7"/>
        <v>3.9631573270704469E-2</v>
      </c>
      <c r="I188" s="436"/>
      <c r="J188" s="94"/>
      <c r="K188" s="1207">
        <f>B188/B175</f>
        <v>0.55417708799637855</v>
      </c>
      <c r="M188" s="1207">
        <f>K188+K191</f>
        <v>1</v>
      </c>
      <c r="N188" s="88"/>
      <c r="R188" s="69"/>
      <c r="V188" s="26"/>
      <c r="W188" s="435"/>
      <c r="X188" s="27"/>
      <c r="Y188" s="46"/>
    </row>
    <row r="189" spans="1:25" x14ac:dyDescent="0.35">
      <c r="B189" s="209">
        <f>B204</f>
        <v>8.1095179371166428E+21</v>
      </c>
      <c r="C189" s="1"/>
      <c r="D189" s="10"/>
      <c r="E189" s="431">
        <f t="shared" si="6"/>
        <v>16.78670212983145</v>
      </c>
      <c r="F189" s="1"/>
      <c r="G189" s="10"/>
      <c r="H189" s="184">
        <f t="shared" si="7"/>
        <v>4.0412880085298891E-2</v>
      </c>
      <c r="I189" s="17"/>
      <c r="J189" s="312"/>
      <c r="K189" s="1207">
        <f>B189/B176</f>
        <v>0.56510227464960983</v>
      </c>
      <c r="M189" s="1207">
        <f>K189+K192</f>
        <v>1</v>
      </c>
      <c r="N189" s="189"/>
      <c r="O189" s="26"/>
      <c r="P189" s="26"/>
      <c r="R189" s="69"/>
      <c r="V189" s="26"/>
      <c r="W189" s="35"/>
      <c r="X189" s="26"/>
      <c r="Y189" s="26"/>
    </row>
    <row r="190" spans="1:25" x14ac:dyDescent="0.35">
      <c r="A190" s="835" t="s">
        <v>657</v>
      </c>
      <c r="B190" s="109">
        <f>B174-B187</f>
        <v>2.9728423717301826E+22</v>
      </c>
      <c r="C190" s="1" t="s">
        <v>14</v>
      </c>
      <c r="D190" s="10" t="s">
        <v>37</v>
      </c>
      <c r="E190" s="114">
        <f t="shared" si="6"/>
        <v>61.537837094814783</v>
      </c>
      <c r="F190" s="1" t="s">
        <v>9</v>
      </c>
      <c r="G190" s="10" t="s">
        <v>37</v>
      </c>
      <c r="H190" s="77">
        <f t="shared" si="7"/>
        <v>0.14814829095000911</v>
      </c>
      <c r="I190" s="17" t="s">
        <v>7</v>
      </c>
      <c r="J190" s="172"/>
      <c r="K190" s="1206">
        <f>B190/B174</f>
        <v>0.79333284466766296</v>
      </c>
      <c r="L190" s="355"/>
      <c r="M190" s="26"/>
      <c r="N190" s="148"/>
      <c r="O190" s="26"/>
      <c r="P190" s="26"/>
      <c r="R190" s="285"/>
      <c r="S190" s="436"/>
      <c r="V190" s="26"/>
      <c r="W190" s="35"/>
      <c r="X190" s="26"/>
      <c r="Y190" s="26"/>
    </row>
    <row r="191" spans="1:25" x14ac:dyDescent="0.35">
      <c r="A191" s="226"/>
      <c r="B191" s="606">
        <f>B175-B188</f>
        <v>6.3977956979781539E+21</v>
      </c>
      <c r="C191" s="1"/>
      <c r="D191" s="10"/>
      <c r="E191" s="580">
        <f t="shared" si="6"/>
        <v>13.243437094814778</v>
      </c>
      <c r="F191" s="1"/>
      <c r="G191" s="10"/>
      <c r="H191" s="582">
        <f t="shared" si="7"/>
        <v>3.1882702813844623E-2</v>
      </c>
      <c r="I191" s="436"/>
      <c r="J191" s="172"/>
      <c r="K191" s="1207">
        <f>B191/B175</f>
        <v>0.44582291200362151</v>
      </c>
      <c r="L191" s="355"/>
      <c r="M191" s="26"/>
      <c r="N191" s="148"/>
      <c r="O191" s="26"/>
      <c r="P191" s="26"/>
      <c r="R191" s="285"/>
      <c r="V191" s="26"/>
      <c r="W191" s="35"/>
      <c r="X191" s="35"/>
      <c r="Y191" s="46"/>
    </row>
    <row r="192" spans="1:25" x14ac:dyDescent="0.35">
      <c r="B192" s="209">
        <f>B176-B189</f>
        <v>6.2410134638495405E+21</v>
      </c>
      <c r="C192" s="1"/>
      <c r="D192" s="10"/>
      <c r="E192" s="431">
        <f t="shared" si="6"/>
        <v>12.91889787016855</v>
      </c>
      <c r="F192" s="1"/>
      <c r="G192" s="10"/>
      <c r="H192" s="184">
        <f t="shared" si="7"/>
        <v>3.1101395999250207E-2</v>
      </c>
      <c r="I192" s="17"/>
      <c r="J192" s="312"/>
      <c r="K192" s="1207">
        <f>B192/B176</f>
        <v>0.43489772535039012</v>
      </c>
      <c r="L192" s="26"/>
      <c r="M192" s="26"/>
      <c r="N192" s="148"/>
      <c r="O192" s="26"/>
      <c r="P192" s="26"/>
      <c r="R192" s="285"/>
      <c r="V192" s="26"/>
      <c r="W192" s="35"/>
      <c r="X192" s="26"/>
      <c r="Y192" s="35"/>
    </row>
    <row r="193" spans="1:46" x14ac:dyDescent="0.35">
      <c r="B193" s="284"/>
      <c r="C193" s="1"/>
      <c r="D193" s="1"/>
      <c r="E193" s="401"/>
      <c r="F193" s="1"/>
      <c r="G193" s="1"/>
      <c r="H193" s="537"/>
      <c r="J193" s="90"/>
      <c r="R193" s="27"/>
      <c r="V193" s="26"/>
      <c r="W193" s="35"/>
      <c r="X193" s="26"/>
      <c r="Y193" s="26"/>
    </row>
    <row r="194" spans="1:46" x14ac:dyDescent="0.35">
      <c r="B194" s="10"/>
      <c r="C194" s="10"/>
      <c r="D194" s="1"/>
      <c r="E194" s="401"/>
      <c r="F194" s="1"/>
      <c r="G194" s="1"/>
      <c r="H194" s="537"/>
      <c r="J194" s="32"/>
      <c r="R194" s="27"/>
      <c r="V194" s="26"/>
      <c r="W194" s="35"/>
      <c r="X194" s="26"/>
      <c r="Y194" s="35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</row>
    <row r="195" spans="1:46" x14ac:dyDescent="0.35">
      <c r="J195" s="32"/>
      <c r="N195" s="264"/>
      <c r="O195" s="110"/>
      <c r="P195" s="74"/>
      <c r="R195" s="435"/>
      <c r="V195" s="26"/>
      <c r="W195" s="35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</row>
    <row r="196" spans="1:46" x14ac:dyDescent="0.35">
      <c r="A196" s="11" t="s">
        <v>359</v>
      </c>
      <c r="B196" s="10"/>
      <c r="C196" s="1"/>
      <c r="D196" s="1"/>
      <c r="E196" s="401"/>
      <c r="F196" s="1"/>
      <c r="G196" s="1"/>
      <c r="H196" s="537"/>
      <c r="J196" s="32"/>
      <c r="P196" s="258" t="s">
        <v>375</v>
      </c>
      <c r="R196" s="10"/>
      <c r="S196" s="136"/>
      <c r="T196" s="26"/>
      <c r="U196" s="45"/>
      <c r="V196" s="26"/>
      <c r="W196" s="35"/>
      <c r="X196" s="26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26"/>
    </row>
    <row r="197" spans="1:46" x14ac:dyDescent="0.35">
      <c r="A197" s="11" t="s">
        <v>659</v>
      </c>
      <c r="B197" s="699">
        <f>'параметры для расчета'!C61</f>
        <v>100</v>
      </c>
      <c r="C197" s="1" t="s">
        <v>420</v>
      </c>
      <c r="D197" s="1"/>
      <c r="E197" s="401"/>
      <c r="F197" s="1"/>
      <c r="G197" s="1"/>
      <c r="H197" s="537"/>
      <c r="J197" s="32"/>
      <c r="K197" s="308"/>
      <c r="L197" s="26"/>
      <c r="M197" s="26"/>
      <c r="N197" s="148"/>
      <c r="P197" s="258"/>
      <c r="R197" s="10"/>
      <c r="S197" s="136"/>
      <c r="T197" s="26"/>
      <c r="U197" s="45"/>
      <c r="V197" s="26"/>
      <c r="W197" s="840"/>
      <c r="X197" s="26"/>
      <c r="Y197" s="840"/>
      <c r="Z197" s="840"/>
      <c r="AA197" s="840"/>
      <c r="AB197" s="840"/>
      <c r="AC197" s="840"/>
      <c r="AD197" s="840"/>
      <c r="AE197" s="840"/>
      <c r="AF197" s="840"/>
      <c r="AG197" s="840"/>
      <c r="AH197" s="840"/>
      <c r="AI197" s="840"/>
      <c r="AJ197" s="840"/>
      <c r="AK197" s="840"/>
      <c r="AL197" s="840"/>
      <c r="AM197" s="840"/>
      <c r="AN197" s="840"/>
      <c r="AO197" s="840"/>
      <c r="AP197" s="840"/>
      <c r="AQ197" s="840"/>
      <c r="AR197" s="840"/>
      <c r="AS197" s="840"/>
      <c r="AT197" s="26"/>
    </row>
    <row r="198" spans="1:46" x14ac:dyDescent="0.35">
      <c r="A198" s="94" t="s">
        <v>421</v>
      </c>
      <c r="B198" s="854">
        <f>100-'параметры для расчета'!C61</f>
        <v>0</v>
      </c>
      <c r="C198" s="25" t="s">
        <v>422</v>
      </c>
      <c r="D198" s="1"/>
      <c r="E198" s="401"/>
      <c r="F198" s="1"/>
      <c r="G198" s="1"/>
      <c r="H198" s="537"/>
      <c r="J198" s="32"/>
      <c r="K198" s="326"/>
      <c r="L198" s="26"/>
      <c r="M198" s="26"/>
      <c r="N198" s="148"/>
      <c r="P198" s="258"/>
      <c r="R198" s="10"/>
      <c r="S198" s="136"/>
      <c r="T198" s="26"/>
      <c r="U198" s="45"/>
      <c r="V198" s="26"/>
      <c r="W198" s="840"/>
      <c r="X198" s="26"/>
      <c r="Y198" s="840"/>
      <c r="Z198" s="840"/>
      <c r="AA198" s="840"/>
      <c r="AB198" s="840"/>
      <c r="AC198" s="840"/>
      <c r="AD198" s="840"/>
      <c r="AE198" s="840"/>
      <c r="AF198" s="840"/>
      <c r="AG198" s="840"/>
      <c r="AH198" s="840"/>
      <c r="AI198" s="840"/>
      <c r="AJ198" s="840"/>
      <c r="AK198" s="840"/>
      <c r="AL198" s="840"/>
      <c r="AM198" s="840"/>
      <c r="AN198" s="840"/>
      <c r="AO198" s="840"/>
      <c r="AP198" s="840"/>
      <c r="AQ198" s="840"/>
      <c r="AR198" s="840"/>
      <c r="AS198" s="840"/>
      <c r="AT198" s="26"/>
    </row>
    <row r="199" spans="1:46" x14ac:dyDescent="0.35">
      <c r="A199" s="79"/>
      <c r="B199" s="343"/>
      <c r="C199" s="28"/>
      <c r="D199" s="28"/>
      <c r="E199" s="393"/>
      <c r="F199" s="1"/>
      <c r="G199" s="1"/>
      <c r="H199" s="537"/>
      <c r="J199" s="32"/>
      <c r="K199" s="326"/>
      <c r="L199" s="26"/>
      <c r="M199" s="26"/>
      <c r="N199" s="148"/>
      <c r="P199" s="258"/>
      <c r="R199" s="10"/>
      <c r="S199" s="136"/>
      <c r="T199" s="26"/>
      <c r="U199" s="45"/>
      <c r="V199" s="26"/>
      <c r="W199" s="840"/>
      <c r="X199" s="26"/>
      <c r="Y199" s="840"/>
      <c r="Z199" s="840"/>
      <c r="AA199" s="840"/>
      <c r="AB199" s="840"/>
      <c r="AC199" s="840"/>
      <c r="AD199" s="840"/>
      <c r="AE199" s="840"/>
      <c r="AF199" s="840"/>
      <c r="AG199" s="840"/>
      <c r="AH199" s="840"/>
      <c r="AI199" s="840"/>
      <c r="AJ199" s="840"/>
      <c r="AK199" s="840"/>
      <c r="AL199" s="840"/>
      <c r="AM199" s="840"/>
      <c r="AN199" s="840"/>
      <c r="AO199" s="840"/>
      <c r="AP199" s="840"/>
      <c r="AQ199" s="840"/>
      <c r="AR199" s="840"/>
      <c r="AS199" s="840"/>
      <c r="AT199" s="26"/>
    </row>
    <row r="200" spans="1:46" x14ac:dyDescent="0.35">
      <c r="A200" s="51" t="s">
        <v>755</v>
      </c>
      <c r="B200" s="10"/>
      <c r="C200" s="1"/>
      <c r="D200" s="1"/>
      <c r="E200" s="401"/>
      <c r="F200" s="1"/>
      <c r="G200" s="1"/>
      <c r="H200" s="537"/>
      <c r="J200" s="32"/>
      <c r="K200" s="26"/>
      <c r="L200" s="26"/>
      <c r="M200" s="26"/>
      <c r="N200" s="148"/>
      <c r="P200" s="258"/>
      <c r="R200" s="10"/>
      <c r="S200" s="136"/>
      <c r="T200" s="26"/>
      <c r="U200" s="45"/>
      <c r="V200" s="26"/>
      <c r="W200" s="840"/>
      <c r="X200" s="26"/>
      <c r="Y200" s="840"/>
      <c r="Z200" s="840"/>
      <c r="AA200" s="840"/>
      <c r="AB200" s="840"/>
      <c r="AC200" s="840"/>
      <c r="AD200" s="840"/>
      <c r="AE200" s="840"/>
      <c r="AF200" s="840"/>
      <c r="AG200" s="840"/>
      <c r="AH200" s="840"/>
      <c r="AI200" s="840"/>
      <c r="AJ200" s="840"/>
      <c r="AK200" s="840"/>
      <c r="AL200" s="840"/>
      <c r="AM200" s="840"/>
      <c r="AN200" s="840"/>
      <c r="AO200" s="840"/>
      <c r="AP200" s="840"/>
      <c r="AQ200" s="840"/>
      <c r="AR200" s="840"/>
      <c r="AS200" s="840"/>
      <c r="AT200" s="26"/>
    </row>
    <row r="201" spans="1:46" ht="15.75" customHeight="1" x14ac:dyDescent="0.35">
      <c r="B201" s="311"/>
      <c r="C201" s="548"/>
      <c r="D201" s="1"/>
      <c r="E201" s="401"/>
      <c r="F201" s="1"/>
      <c r="G201" s="1"/>
      <c r="H201" s="537"/>
      <c r="J201" s="32"/>
      <c r="K201" s="26"/>
      <c r="L201" s="26"/>
      <c r="M201" s="26"/>
      <c r="N201" s="148"/>
      <c r="P201" s="258"/>
      <c r="R201" s="10"/>
      <c r="S201" s="136"/>
      <c r="T201" s="26"/>
      <c r="U201" s="45"/>
      <c r="V201" s="26"/>
      <c r="W201" s="840"/>
      <c r="X201" s="26"/>
      <c r="Y201" s="840"/>
      <c r="Z201" s="840"/>
      <c r="AA201" s="840"/>
      <c r="AB201" s="840"/>
      <c r="AC201" s="840"/>
      <c r="AD201" s="840"/>
      <c r="AE201" s="840"/>
      <c r="AF201" s="840"/>
      <c r="AG201" s="840"/>
      <c r="AH201" s="840"/>
      <c r="AI201" s="840"/>
      <c r="AJ201" s="840"/>
      <c r="AK201" s="840"/>
      <c r="AL201" s="840"/>
      <c r="AM201" s="840"/>
      <c r="AN201" s="840"/>
      <c r="AO201" s="840"/>
      <c r="AP201" s="840"/>
      <c r="AQ201" s="840"/>
      <c r="AR201" s="840"/>
      <c r="AS201" s="840"/>
      <c r="AT201" s="26"/>
    </row>
    <row r="202" spans="1:46" x14ac:dyDescent="0.35">
      <c r="A202" s="1071" t="s">
        <v>800</v>
      </c>
      <c r="B202" s="109">
        <f>IF(B98*(1/'параметры для расчета'!C21%-1)&lt;'баланс дейтерий'!B98, 'баланс дейтерий'!B98*'параметры для расчета'!C21%/(1-'параметры для расчета'!C21%), B98)</f>
        <v>7.7444023696546962E+21</v>
      </c>
      <c r="C202" s="1" t="s">
        <v>14</v>
      </c>
      <c r="D202" s="10" t="s">
        <v>37</v>
      </c>
      <c r="E202" s="114">
        <f>B202*(1/2*1.38E-23*300)</f>
        <v>16.030912905185222</v>
      </c>
      <c r="F202" s="1" t="s">
        <v>9</v>
      </c>
      <c r="G202" s="10" t="s">
        <v>37</v>
      </c>
      <c r="H202" s="77">
        <f>B202*3/(6.02*10^23)</f>
        <v>3.8593367290638024E-2</v>
      </c>
      <c r="I202" s="36" t="s">
        <v>7</v>
      </c>
      <c r="J202" s="32"/>
      <c r="K202" s="44"/>
      <c r="L202" s="1242" t="s">
        <v>756</v>
      </c>
      <c r="M202" s="137"/>
      <c r="N202" s="148"/>
      <c r="R202" s="10"/>
      <c r="S202" s="136"/>
      <c r="T202" s="26"/>
      <c r="U202" s="45"/>
      <c r="V202" s="26"/>
      <c r="W202" s="35"/>
      <c r="X202" s="26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26"/>
    </row>
    <row r="203" spans="1:46" x14ac:dyDescent="0.35">
      <c r="A203" s="94" t="s">
        <v>801</v>
      </c>
      <c r="B203" s="606">
        <f>IF(B99*(1/'параметры для расчета'!C21%-1)&lt;'баланс дейтерий'!B99, 'баланс дейтерий'!B99*'параметры для расчета'!C21%/(1-'параметры для расчета'!C21%), B99)+B37</f>
        <v>7.9527357029880294E+21</v>
      </c>
      <c r="C203" s="1"/>
      <c r="D203" s="10"/>
      <c r="E203" s="580">
        <f>B203*(1/2*1.38E-23*300)</f>
        <v>16.46216290518522</v>
      </c>
      <c r="F203" s="1"/>
      <c r="G203" s="10"/>
      <c r="H203" s="582">
        <f>B203*3/(6.02*10^23)</f>
        <v>3.9631573270704469E-2</v>
      </c>
      <c r="I203" s="36"/>
      <c r="J203" s="853" t="s">
        <v>424</v>
      </c>
      <c r="K203" s="26"/>
      <c r="L203" s="1242" t="s">
        <v>797</v>
      </c>
      <c r="M203" s="26"/>
      <c r="N203" s="148"/>
      <c r="R203" s="10"/>
      <c r="S203" s="136"/>
      <c r="T203" s="26"/>
      <c r="U203" s="45"/>
      <c r="V203" s="26"/>
      <c r="W203" s="35"/>
      <c r="X203" s="26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26"/>
    </row>
    <row r="204" spans="1:46" x14ac:dyDescent="0.35">
      <c r="A204" s="12" t="s">
        <v>802</v>
      </c>
      <c r="B204" s="209">
        <f>IF(B100*(1/'параметры для расчета'!C21%-1)&lt;'баланс дейтерий'!B100, 'баланс дейтерий'!B100*'параметры для расчета'!C21%/(1-'параметры для расчета'!C21%), B100)</f>
        <v>8.1095179371166428E+21</v>
      </c>
      <c r="C204" s="1"/>
      <c r="D204" s="10"/>
      <c r="E204" s="431">
        <f>B204*(1/2*1.38E-23*300)</f>
        <v>16.78670212983145</v>
      </c>
      <c r="F204" s="1"/>
      <c r="G204" s="10"/>
      <c r="H204" s="184">
        <f>B204*3/(6.02*10^23)</f>
        <v>4.0412880085298891E-2</v>
      </c>
      <c r="I204" s="36"/>
      <c r="J204" s="32"/>
      <c r="K204" s="26"/>
      <c r="L204" s="1242" t="s">
        <v>798</v>
      </c>
      <c r="M204" s="26"/>
      <c r="N204" s="148"/>
      <c r="R204" s="10"/>
      <c r="S204" s="136"/>
      <c r="T204" s="26"/>
      <c r="U204" s="45"/>
      <c r="V204" s="26"/>
      <c r="W204" s="840"/>
      <c r="X204" s="26"/>
      <c r="Y204" s="840"/>
      <c r="Z204" s="840"/>
      <c r="AA204" s="840"/>
      <c r="AB204" s="840"/>
      <c r="AC204" s="840"/>
      <c r="AD204" s="840"/>
      <c r="AE204" s="840"/>
      <c r="AF204" s="840"/>
      <c r="AG204" s="840"/>
      <c r="AH204" s="840"/>
      <c r="AI204" s="840"/>
      <c r="AJ204" s="840"/>
      <c r="AK204" s="840"/>
      <c r="AL204" s="840"/>
      <c r="AM204" s="840"/>
      <c r="AN204" s="840"/>
      <c r="AO204" s="840"/>
      <c r="AP204" s="840"/>
      <c r="AQ204" s="840"/>
      <c r="AR204" s="840"/>
      <c r="AS204" s="840"/>
      <c r="AT204" s="26"/>
    </row>
    <row r="205" spans="1:46" x14ac:dyDescent="0.35">
      <c r="A205" s="52"/>
      <c r="B205" s="1180">
        <f>B99+B37</f>
        <v>7.9527357029880294E+21</v>
      </c>
      <c r="C205" s="1"/>
      <c r="D205" s="1"/>
      <c r="E205" s="401"/>
      <c r="F205" s="1"/>
      <c r="G205" s="1"/>
      <c r="H205" s="537"/>
      <c r="J205" s="32"/>
      <c r="K205" s="1128"/>
      <c r="L205" s="324" t="s">
        <v>822</v>
      </c>
      <c r="M205" s="26"/>
      <c r="N205" s="249"/>
      <c r="R205" s="10"/>
      <c r="S205" s="136"/>
      <c r="T205" s="26"/>
      <c r="U205" s="45"/>
      <c r="V205" s="26"/>
      <c r="W205" s="840"/>
      <c r="X205" s="26"/>
      <c r="Y205" s="840"/>
      <c r="Z205" s="840"/>
      <c r="AA205" s="840"/>
      <c r="AB205" s="840"/>
      <c r="AC205" s="840"/>
      <c r="AD205" s="840"/>
      <c r="AE205" s="840"/>
      <c r="AF205" s="840"/>
      <c r="AG205" s="840"/>
      <c r="AH205" s="840"/>
      <c r="AI205" s="840"/>
      <c r="AJ205" s="840"/>
      <c r="AK205" s="840"/>
      <c r="AL205" s="840"/>
      <c r="AM205" s="840"/>
      <c r="AN205" s="840"/>
      <c r="AO205" s="840"/>
      <c r="AP205" s="840"/>
      <c r="AQ205" s="840"/>
      <c r="AR205" s="840"/>
      <c r="AS205" s="840"/>
      <c r="AT205" s="26"/>
    </row>
    <row r="206" spans="1:46" x14ac:dyDescent="0.35">
      <c r="A206" s="379" t="s">
        <v>799</v>
      </c>
      <c r="B206" s="13"/>
      <c r="E206" s="13"/>
      <c r="H206" s="13"/>
      <c r="J206" s="32"/>
      <c r="K206" s="44"/>
      <c r="L206" s="44"/>
      <c r="M206" s="26"/>
      <c r="N206" s="148"/>
      <c r="R206" s="10"/>
      <c r="S206" s="136"/>
      <c r="T206" s="26"/>
      <c r="U206" s="45"/>
      <c r="V206" s="26"/>
      <c r="W206" s="35"/>
      <c r="X206" s="26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26"/>
    </row>
    <row r="207" spans="1:46" x14ac:dyDescent="0.35">
      <c r="A207" s="164" t="s">
        <v>804</v>
      </c>
      <c r="B207" s="109">
        <f>B202</f>
        <v>7.7444023696546962E+21</v>
      </c>
      <c r="C207" s="1" t="s">
        <v>14</v>
      </c>
      <c r="D207" s="10" t="s">
        <v>37</v>
      </c>
      <c r="E207" s="617">
        <f>B207*(1/2*1.38E-23*300)</f>
        <v>16.030912905185222</v>
      </c>
      <c r="F207" s="1" t="s">
        <v>9</v>
      </c>
      <c r="G207" s="10" t="s">
        <v>37</v>
      </c>
      <c r="H207" s="188">
        <f>B207*3/(6.02*10^23)</f>
        <v>3.8593367290638024E-2</v>
      </c>
      <c r="I207" s="436" t="s">
        <v>7</v>
      </c>
      <c r="J207" s="32"/>
      <c r="K207" s="69"/>
      <c r="L207" s="44"/>
      <c r="M207" s="1129"/>
      <c r="N207" s="69"/>
      <c r="R207" s="10"/>
      <c r="S207" s="136"/>
      <c r="T207" s="26"/>
      <c r="U207" s="45"/>
      <c r="V207" s="26"/>
      <c r="W207" s="35"/>
      <c r="X207" s="26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26"/>
    </row>
    <row r="208" spans="1:46" x14ac:dyDescent="0.35">
      <c r="B208" s="606">
        <f>B203-'[3]динамика трития в инжекторах'!$AJ$97</f>
        <v>7.8105134807658067E+21</v>
      </c>
      <c r="C208" s="1"/>
      <c r="D208" s="10"/>
      <c r="E208" s="580">
        <f>B208*(1/2*1.38E-23*300)</f>
        <v>16.167762905185221</v>
      </c>
      <c r="F208" s="1"/>
      <c r="G208" s="10"/>
      <c r="H208" s="582">
        <f>B208*3/(6.02*10^23)</f>
        <v>3.8922824654979107E-2</v>
      </c>
      <c r="I208" s="436"/>
      <c r="J208" s="32"/>
      <c r="K208" s="69"/>
      <c r="L208" s="1242" t="s">
        <v>823</v>
      </c>
      <c r="M208" s="1130"/>
      <c r="N208" s="148"/>
      <c r="R208" s="10"/>
      <c r="S208" s="136"/>
      <c r="T208" s="26"/>
      <c r="U208" s="45"/>
      <c r="V208" s="26"/>
      <c r="W208" s="35"/>
      <c r="X208" s="26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26"/>
    </row>
    <row r="209" spans="1:46" x14ac:dyDescent="0.35">
      <c r="A209" s="94" t="s">
        <v>805</v>
      </c>
      <c r="B209" s="209">
        <f>B204-(-'[3]динамика трития в инжекторах'!F12)</f>
        <v>7.9672957148944201E+21</v>
      </c>
      <c r="C209" s="1"/>
      <c r="D209" s="10"/>
      <c r="E209" s="431">
        <f>B209*(1/2*1.38E-23*300)</f>
        <v>16.492302129831451</v>
      </c>
      <c r="F209" s="1"/>
      <c r="G209" s="10"/>
      <c r="H209" s="184">
        <f>B209*3/(6.02*10^23)</f>
        <v>3.970413146957353E-2</v>
      </c>
      <c r="I209" s="436"/>
      <c r="J209" s="883"/>
      <c r="K209" s="69"/>
      <c r="L209" s="44"/>
      <c r="M209" s="1130"/>
      <c r="N209" s="148"/>
      <c r="R209" s="10"/>
      <c r="S209" s="136"/>
      <c r="T209" s="26"/>
      <c r="U209" s="45"/>
      <c r="V209" s="26"/>
      <c r="W209" s="35"/>
      <c r="X209" s="26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26"/>
    </row>
    <row r="210" spans="1:46" x14ac:dyDescent="0.35">
      <c r="A210" s="884"/>
      <c r="B210" s="1201"/>
      <c r="E210" s="13"/>
      <c r="H210" s="13"/>
      <c r="J210" s="883"/>
      <c r="K210" s="26"/>
      <c r="L210" s="44"/>
      <c r="M210" s="26"/>
      <c r="N210" s="148"/>
      <c r="R210" s="10"/>
      <c r="S210" s="136"/>
      <c r="T210" s="26"/>
      <c r="U210" s="45"/>
      <c r="V210" s="26"/>
      <c r="W210" s="35"/>
      <c r="X210" s="26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26"/>
    </row>
    <row r="211" spans="1:46" x14ac:dyDescent="0.35">
      <c r="A211" s="169" t="s">
        <v>806</v>
      </c>
      <c r="B211" s="109">
        <f>B98</f>
        <v>7.7444023696546962E+21</v>
      </c>
      <c r="C211" s="1" t="s">
        <v>14</v>
      </c>
      <c r="D211" s="10" t="s">
        <v>37</v>
      </c>
      <c r="E211" s="617">
        <f>B211*(1/2*1.38E-23*300)</f>
        <v>16.030912905185222</v>
      </c>
      <c r="F211" s="1" t="s">
        <v>9</v>
      </c>
      <c r="G211" s="10" t="s">
        <v>37</v>
      </c>
      <c r="H211" s="188">
        <f>B211*3/(6.02*10^23)</f>
        <v>3.8593367290638024E-2</v>
      </c>
      <c r="I211" s="116" t="s">
        <v>7</v>
      </c>
      <c r="J211" s="38"/>
      <c r="K211" s="26"/>
      <c r="L211" s="26"/>
      <c r="M211" s="137"/>
      <c r="N211" s="26"/>
      <c r="R211" s="10"/>
      <c r="S211" s="136"/>
      <c r="T211" s="26"/>
      <c r="U211" s="45"/>
      <c r="V211" s="26"/>
      <c r="W211" s="864"/>
      <c r="X211" s="26"/>
      <c r="Y211" s="864"/>
      <c r="Z211" s="864"/>
      <c r="AA211" s="864"/>
      <c r="AB211" s="864"/>
      <c r="AC211" s="864"/>
      <c r="AD211" s="864"/>
      <c r="AE211" s="864"/>
      <c r="AF211" s="864"/>
      <c r="AG211" s="864"/>
      <c r="AH211" s="864"/>
      <c r="AI211" s="864"/>
      <c r="AJ211" s="864"/>
      <c r="AK211" s="864"/>
      <c r="AL211" s="864"/>
      <c r="AM211" s="864"/>
      <c r="AN211" s="864"/>
      <c r="AO211" s="864"/>
      <c r="AP211" s="864"/>
      <c r="AQ211" s="864"/>
      <c r="AR211" s="864"/>
      <c r="AS211" s="864"/>
      <c r="AT211" s="26"/>
    </row>
    <row r="212" spans="1:46" x14ac:dyDescent="0.35">
      <c r="A212" s="230" t="s">
        <v>701</v>
      </c>
      <c r="B212" s="606">
        <f>B99</f>
        <v>7.7444023696546962E+21</v>
      </c>
      <c r="C212" s="1"/>
      <c r="D212" s="10"/>
      <c r="E212" s="580">
        <f>B212*(1/2*1.38E-23*300)</f>
        <v>16.030912905185222</v>
      </c>
      <c r="F212" s="1"/>
      <c r="G212" s="10"/>
      <c r="H212" s="582">
        <f>B212*3/(6.02*10^23)</f>
        <v>3.8593367290638024E-2</v>
      </c>
      <c r="I212" s="47"/>
      <c r="J212" s="38" t="s">
        <v>835</v>
      </c>
      <c r="K212" s="26"/>
      <c r="L212" s="26"/>
      <c r="M212" s="137"/>
      <c r="N212" s="26"/>
      <c r="R212" s="10"/>
      <c r="S212" s="136"/>
      <c r="T212" s="26"/>
      <c r="U212" s="45"/>
      <c r="V212" s="26"/>
      <c r="W212" s="864"/>
      <c r="X212" s="26"/>
      <c r="Y212" s="864"/>
      <c r="Z212" s="864"/>
      <c r="AA212" s="864"/>
      <c r="AB212" s="864"/>
      <c r="AC212" s="864"/>
      <c r="AD212" s="864"/>
      <c r="AE212" s="864"/>
      <c r="AF212" s="864"/>
      <c r="AG212" s="864"/>
      <c r="AH212" s="864"/>
      <c r="AI212" s="864"/>
      <c r="AJ212" s="864"/>
      <c r="AK212" s="864"/>
      <c r="AL212" s="864"/>
      <c r="AM212" s="864"/>
      <c r="AN212" s="864"/>
      <c r="AO212" s="864"/>
      <c r="AP212" s="864"/>
      <c r="AQ212" s="864"/>
      <c r="AR212" s="864"/>
      <c r="AS212" s="864"/>
      <c r="AT212" s="26"/>
    </row>
    <row r="213" spans="1:46" x14ac:dyDescent="0.35">
      <c r="A213" s="230" t="s">
        <v>702</v>
      </c>
      <c r="B213" s="209">
        <f>B100</f>
        <v>8.1095179371166428E+21</v>
      </c>
      <c r="C213" s="1"/>
      <c r="D213" s="10"/>
      <c r="E213" s="431">
        <f>B213*(1/2*1.38E-23*300)</f>
        <v>16.78670212983145</v>
      </c>
      <c r="F213" s="1"/>
      <c r="G213" s="10"/>
      <c r="H213" s="184">
        <f>B213*3/(6.02*10^23)</f>
        <v>4.0412880085298891E-2</v>
      </c>
      <c r="I213" s="47"/>
      <c r="J213" s="38" t="s">
        <v>837</v>
      </c>
      <c r="K213" s="26"/>
      <c r="L213" s="26"/>
      <c r="M213" s="137"/>
      <c r="N213" s="26"/>
      <c r="R213" s="10"/>
      <c r="S213" s="136"/>
      <c r="T213" s="26"/>
      <c r="U213" s="45"/>
      <c r="V213" s="26"/>
      <c r="W213" s="864"/>
      <c r="X213" s="26"/>
      <c r="Y213" s="864"/>
      <c r="Z213" s="864"/>
      <c r="AA213" s="864"/>
      <c r="AB213" s="864"/>
      <c r="AC213" s="864"/>
      <c r="AD213" s="864"/>
      <c r="AE213" s="864"/>
      <c r="AF213" s="864"/>
      <c r="AG213" s="864"/>
      <c r="AH213" s="864"/>
      <c r="AI213" s="864"/>
      <c r="AJ213" s="864"/>
      <c r="AK213" s="864"/>
      <c r="AL213" s="864"/>
      <c r="AM213" s="864"/>
      <c r="AN213" s="864"/>
      <c r="AO213" s="864"/>
      <c r="AP213" s="864"/>
      <c r="AQ213" s="864"/>
      <c r="AR213" s="864"/>
      <c r="AS213" s="864"/>
      <c r="AT213" s="26"/>
    </row>
    <row r="214" spans="1:46" x14ac:dyDescent="0.35">
      <c r="A214" s="230"/>
      <c r="B214" s="284"/>
      <c r="E214" s="13"/>
      <c r="H214" s="13"/>
      <c r="J214" s="38" t="s">
        <v>836</v>
      </c>
      <c r="K214" s="26"/>
      <c r="L214" s="26"/>
      <c r="M214" s="137"/>
      <c r="N214" s="26"/>
      <c r="R214" s="10"/>
      <c r="S214" s="136"/>
      <c r="T214" s="26"/>
      <c r="U214" s="45"/>
      <c r="V214" s="26"/>
      <c r="W214" s="1016"/>
      <c r="X214" s="26"/>
      <c r="Y214" s="1016"/>
      <c r="Z214" s="1016"/>
      <c r="AA214" s="1016"/>
      <c r="AB214" s="1016"/>
      <c r="AC214" s="1016"/>
      <c r="AD214" s="1016"/>
      <c r="AE214" s="1016"/>
      <c r="AF214" s="1016"/>
      <c r="AG214" s="1016"/>
      <c r="AH214" s="1016"/>
      <c r="AI214" s="1016"/>
      <c r="AJ214" s="1016"/>
      <c r="AK214" s="1016"/>
      <c r="AL214" s="1016"/>
      <c r="AM214" s="1016"/>
      <c r="AN214" s="1016"/>
      <c r="AO214" s="1016"/>
      <c r="AP214" s="1016"/>
      <c r="AQ214" s="1016"/>
      <c r="AR214" s="1016"/>
      <c r="AS214" s="1016"/>
      <c r="AT214" s="26"/>
    </row>
    <row r="215" spans="1:46" x14ac:dyDescent="0.35">
      <c r="A215" s="246" t="s">
        <v>761</v>
      </c>
      <c r="B215" s="109"/>
      <c r="C215" s="1" t="s">
        <v>14</v>
      </c>
      <c r="D215" s="10" t="s">
        <v>37</v>
      </c>
      <c r="E215" s="617">
        <f>B215*(1/2*1.38E-23*300)</f>
        <v>0</v>
      </c>
      <c r="F215" s="1" t="s">
        <v>9</v>
      </c>
      <c r="G215" s="10" t="s">
        <v>37</v>
      </c>
      <c r="H215" s="188">
        <f>B215*3/(6.02*10^23)</f>
        <v>0</v>
      </c>
      <c r="I215" s="116" t="s">
        <v>7</v>
      </c>
      <c r="J215" s="38"/>
      <c r="K215" s="26"/>
      <c r="L215" s="26"/>
      <c r="M215" s="137"/>
      <c r="N215" s="26"/>
      <c r="R215" s="10"/>
      <c r="S215" s="136"/>
      <c r="T215" s="26"/>
      <c r="U215" s="45"/>
      <c r="V215" s="26"/>
      <c r="W215" s="1016"/>
      <c r="X215" s="26"/>
      <c r="Y215" s="1016"/>
      <c r="Z215" s="1016"/>
      <c r="AA215" s="1016"/>
      <c r="AB215" s="1016"/>
      <c r="AC215" s="1016"/>
      <c r="AD215" s="1016"/>
      <c r="AE215" s="1016"/>
      <c r="AF215" s="1016"/>
      <c r="AG215" s="1016"/>
      <c r="AH215" s="1016"/>
      <c r="AI215" s="1016"/>
      <c r="AJ215" s="1016"/>
      <c r="AK215" s="1016"/>
      <c r="AL215" s="1016"/>
      <c r="AM215" s="1016"/>
      <c r="AN215" s="1016"/>
      <c r="AO215" s="1016"/>
      <c r="AP215" s="1016"/>
      <c r="AQ215" s="1016"/>
      <c r="AR215" s="1016"/>
      <c r="AS215" s="1016"/>
      <c r="AT215" s="26"/>
    </row>
    <row r="216" spans="1:46" x14ac:dyDescent="0.35">
      <c r="A216" s="246" t="s">
        <v>762</v>
      </c>
      <c r="B216" s="606"/>
      <c r="C216" s="1"/>
      <c r="D216" s="10"/>
      <c r="E216" s="580">
        <f>B216*(1/2*1.38E-23*300)</f>
        <v>0</v>
      </c>
      <c r="F216" s="1"/>
      <c r="G216" s="10"/>
      <c r="H216" s="582">
        <f>B216*3/(6.02*10^23)</f>
        <v>0</v>
      </c>
      <c r="I216" s="47"/>
      <c r="J216" s="38"/>
      <c r="K216" s="26"/>
      <c r="L216" s="26"/>
      <c r="M216" s="137"/>
      <c r="N216" s="26"/>
      <c r="R216" s="10"/>
      <c r="S216" s="136"/>
      <c r="T216" s="26"/>
      <c r="U216" s="45"/>
      <c r="V216" s="26"/>
      <c r="W216" s="1016"/>
      <c r="X216" s="26"/>
      <c r="Y216" s="1016"/>
      <c r="Z216" s="1016"/>
      <c r="AA216" s="1016"/>
      <c r="AB216" s="1016"/>
      <c r="AC216" s="1016"/>
      <c r="AD216" s="1016"/>
      <c r="AE216" s="1016"/>
      <c r="AF216" s="1016"/>
      <c r="AG216" s="1016"/>
      <c r="AH216" s="1016"/>
      <c r="AI216" s="1016"/>
      <c r="AJ216" s="1016"/>
      <c r="AK216" s="1016"/>
      <c r="AL216" s="1016"/>
      <c r="AM216" s="1016"/>
      <c r="AN216" s="1016"/>
      <c r="AO216" s="1016"/>
      <c r="AP216" s="1016"/>
      <c r="AQ216" s="1016"/>
      <c r="AR216" s="1016"/>
      <c r="AS216" s="1016"/>
      <c r="AT216" s="26"/>
    </row>
    <row r="217" spans="1:46" x14ac:dyDescent="0.35">
      <c r="A217" s="246" t="s">
        <v>763</v>
      </c>
      <c r="B217" s="209"/>
      <c r="C217" s="1"/>
      <c r="D217" s="10"/>
      <c r="E217" s="431">
        <f>B217*(1/2*1.38E-23*300)</f>
        <v>0</v>
      </c>
      <c r="F217" s="1"/>
      <c r="G217" s="10"/>
      <c r="H217" s="184">
        <f>B217*3/(6.02*10^23)</f>
        <v>0</v>
      </c>
      <c r="I217" s="47"/>
      <c r="J217" s="38"/>
      <c r="K217" s="26"/>
      <c r="L217" s="26"/>
      <c r="M217" s="137"/>
      <c r="N217" s="26"/>
      <c r="R217" s="10"/>
      <c r="S217" s="136"/>
      <c r="T217" s="26"/>
      <c r="U217" s="45"/>
      <c r="V217" s="26"/>
      <c r="W217" s="1016"/>
      <c r="X217" s="26"/>
      <c r="Y217" s="1016"/>
      <c r="Z217" s="1016"/>
      <c r="AA217" s="1016"/>
      <c r="AB217" s="1016"/>
      <c r="AC217" s="1016"/>
      <c r="AD217" s="1016"/>
      <c r="AE217" s="1016"/>
      <c r="AF217" s="1016"/>
      <c r="AG217" s="1016"/>
      <c r="AH217" s="1016"/>
      <c r="AI217" s="1016"/>
      <c r="AJ217" s="1016"/>
      <c r="AK217" s="1016"/>
      <c r="AL217" s="1016"/>
      <c r="AM217" s="1016"/>
      <c r="AN217" s="1016"/>
      <c r="AO217" s="1016"/>
      <c r="AP217" s="1016"/>
      <c r="AQ217" s="1016"/>
      <c r="AR217" s="1016"/>
      <c r="AS217" s="1016"/>
      <c r="AT217" s="26"/>
    </row>
    <row r="218" spans="1:46" x14ac:dyDescent="0.35">
      <c r="A218" s="19"/>
      <c r="B218" s="63"/>
      <c r="E218" s="13"/>
      <c r="H218" s="13"/>
      <c r="J218" s="38"/>
      <c r="K218" s="26"/>
      <c r="L218" s="26"/>
      <c r="M218" s="26"/>
      <c r="N218" s="148"/>
      <c r="R218" s="10"/>
      <c r="S218" s="136"/>
      <c r="T218" s="26"/>
      <c r="U218" s="45"/>
      <c r="V218" s="26"/>
      <c r="W218" s="864"/>
      <c r="X218" s="26"/>
      <c r="Y218" s="864"/>
      <c r="Z218" s="864"/>
      <c r="AA218" s="864"/>
      <c r="AB218" s="864"/>
      <c r="AC218" s="864"/>
      <c r="AD218" s="864"/>
      <c r="AE218" s="864"/>
      <c r="AF218" s="864"/>
      <c r="AG218" s="864"/>
      <c r="AH218" s="864"/>
      <c r="AI218" s="864"/>
      <c r="AJ218" s="864"/>
      <c r="AK218" s="864"/>
      <c r="AL218" s="864"/>
      <c r="AM218" s="864"/>
      <c r="AN218" s="864"/>
      <c r="AO218" s="864"/>
      <c r="AP218" s="864"/>
      <c r="AQ218" s="864"/>
      <c r="AR218" s="864"/>
      <c r="AS218" s="864"/>
      <c r="AT218" s="26"/>
    </row>
    <row r="219" spans="1:46" x14ac:dyDescent="0.35">
      <c r="A219" s="169" t="s">
        <v>833</v>
      </c>
      <c r="B219" s="569">
        <f>IF((B207-B211)&gt;0, (B207-B211), 0)</f>
        <v>0</v>
      </c>
      <c r="C219" s="1" t="s">
        <v>14</v>
      </c>
      <c r="D219" s="10" t="s">
        <v>37</v>
      </c>
      <c r="E219" s="617">
        <f>B219*(1/2*1.38E-23*300)</f>
        <v>0</v>
      </c>
      <c r="F219" s="1" t="s">
        <v>9</v>
      </c>
      <c r="G219" s="10" t="s">
        <v>37</v>
      </c>
      <c r="H219" s="188">
        <f>B219*2/(6.02*10^23)</f>
        <v>0</v>
      </c>
      <c r="I219" s="116" t="s">
        <v>7</v>
      </c>
      <c r="J219" s="199"/>
      <c r="K219" s="575" t="s">
        <v>766</v>
      </c>
      <c r="L219" s="19"/>
      <c r="M219" s="316"/>
      <c r="N219" s="235"/>
      <c r="R219" s="10"/>
      <c r="S219" s="136"/>
      <c r="T219" s="26"/>
      <c r="U219" s="45"/>
      <c r="V219" s="26"/>
      <c r="W219" s="840"/>
      <c r="X219" s="26"/>
      <c r="Y219" s="840"/>
      <c r="Z219" s="840"/>
      <c r="AA219" s="840"/>
      <c r="AB219" s="840"/>
      <c r="AC219" s="840"/>
      <c r="AD219" s="840"/>
      <c r="AE219" s="840"/>
      <c r="AF219" s="840"/>
      <c r="AG219" s="840"/>
      <c r="AH219" s="840"/>
      <c r="AI219" s="840"/>
      <c r="AJ219" s="840"/>
      <c r="AK219" s="840"/>
      <c r="AL219" s="840"/>
      <c r="AM219" s="840"/>
      <c r="AN219" s="840"/>
      <c r="AO219" s="840"/>
      <c r="AP219" s="840"/>
      <c r="AQ219" s="840"/>
      <c r="AR219" s="840"/>
      <c r="AS219" s="840"/>
      <c r="AT219" s="26"/>
    </row>
    <row r="220" spans="1:46" x14ac:dyDescent="0.35">
      <c r="A220" s="1217" t="s">
        <v>824</v>
      </c>
      <c r="B220" s="569">
        <f>B208-B212+'[3]динамика трития в инжекторах'!$AJ$97</f>
        <v>2.0833333333333279E+20</v>
      </c>
      <c r="C220" s="1"/>
      <c r="D220" s="10"/>
      <c r="E220" s="580">
        <f>B220*(1/2*1.38E-23*300)</f>
        <v>0.43124999999999891</v>
      </c>
      <c r="F220" s="1"/>
      <c r="G220" s="10"/>
      <c r="H220" s="582">
        <f>B220*2/(6.02*10^23)</f>
        <v>6.9213732004429511E-4</v>
      </c>
      <c r="I220" s="47"/>
      <c r="J220" s="199"/>
      <c r="K220" s="575" t="s">
        <v>767</v>
      </c>
      <c r="L220" s="19"/>
      <c r="M220" s="66"/>
      <c r="N220" s="235"/>
      <c r="R220" s="10"/>
      <c r="S220" s="136"/>
      <c r="T220" s="26"/>
      <c r="U220" s="45"/>
      <c r="V220" s="26"/>
      <c r="W220" s="840"/>
      <c r="X220" s="26"/>
      <c r="Y220" s="840"/>
      <c r="Z220" s="840"/>
      <c r="AA220" s="840"/>
      <c r="AB220" s="840"/>
      <c r="AC220" s="840"/>
      <c r="AD220" s="840"/>
      <c r="AE220" s="840"/>
      <c r="AF220" s="840"/>
      <c r="AG220" s="840"/>
      <c r="AH220" s="840"/>
      <c r="AI220" s="840"/>
      <c r="AJ220" s="840"/>
      <c r="AK220" s="840"/>
      <c r="AL220" s="840"/>
      <c r="AM220" s="840"/>
      <c r="AN220" s="840"/>
      <c r="AO220" s="840"/>
      <c r="AP220" s="840"/>
      <c r="AQ220" s="840"/>
      <c r="AR220" s="840"/>
      <c r="AS220" s="840"/>
      <c r="AT220" s="26"/>
    </row>
    <row r="221" spans="1:46" ht="15.75" customHeight="1" x14ac:dyDescent="0.35">
      <c r="A221" s="317"/>
      <c r="B221" s="569">
        <f>IF((B209-B213)+(-'[3]динамика трития в инжекторах'!F12)&gt;0, (B209-B213)+(-'[3]динамика трития в инжекторах'!F12), 0)</f>
        <v>0</v>
      </c>
      <c r="C221" s="1"/>
      <c r="D221" s="10"/>
      <c r="E221" s="431">
        <f>B221*(1/2*1.38E-23*300)</f>
        <v>0</v>
      </c>
      <c r="F221" s="1"/>
      <c r="G221" s="10"/>
      <c r="H221" s="184">
        <f>B221*2/(6.02*10^23)</f>
        <v>0</v>
      </c>
      <c r="I221" s="47"/>
      <c r="J221" s="199"/>
      <c r="K221" s="724" t="s">
        <v>768</v>
      </c>
      <c r="L221" s="19"/>
      <c r="M221" s="19"/>
      <c r="N221" s="235"/>
      <c r="R221" s="10"/>
      <c r="S221" s="136"/>
      <c r="T221" s="26"/>
      <c r="U221" s="45"/>
      <c r="V221" s="26"/>
      <c r="W221" s="840"/>
      <c r="X221" s="26"/>
      <c r="Y221" s="840"/>
      <c r="Z221" s="840"/>
      <c r="AA221" s="840"/>
      <c r="AB221" s="840"/>
      <c r="AC221" s="840"/>
      <c r="AD221" s="840"/>
      <c r="AE221" s="840"/>
      <c r="AF221" s="840"/>
      <c r="AG221" s="840"/>
      <c r="AH221" s="840"/>
      <c r="AI221" s="840"/>
      <c r="AJ221" s="840"/>
      <c r="AK221" s="840"/>
      <c r="AL221" s="840"/>
      <c r="AM221" s="840"/>
      <c r="AN221" s="840"/>
      <c r="AO221" s="840"/>
      <c r="AP221" s="840"/>
      <c r="AQ221" s="840"/>
      <c r="AR221" s="840"/>
      <c r="AS221" s="840"/>
      <c r="AT221" s="26"/>
    </row>
    <row r="222" spans="1:46" x14ac:dyDescent="0.3">
      <c r="A222" s="869"/>
      <c r="B222" s="1180">
        <f>B209-B213</f>
        <v>-1.4222222222222269E+20</v>
      </c>
      <c r="C222" s="357"/>
      <c r="D222" s="711"/>
      <c r="E222" s="712"/>
      <c r="F222" s="357"/>
      <c r="G222" s="711"/>
      <c r="H222" s="713"/>
      <c r="I222" s="436"/>
      <c r="J222" s="199"/>
      <c r="K222" s="19"/>
      <c r="L222" s="19"/>
      <c r="M222" s="19"/>
      <c r="N222" s="235"/>
      <c r="R222" s="10"/>
      <c r="S222" s="136"/>
      <c r="T222" s="26"/>
      <c r="U222" s="45"/>
      <c r="V222" s="26"/>
      <c r="W222" s="35"/>
      <c r="X222" s="26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26"/>
    </row>
    <row r="223" spans="1:46" x14ac:dyDescent="0.3">
      <c r="A223" s="90"/>
      <c r="B223" s="105"/>
      <c r="C223" s="357"/>
      <c r="D223" s="711"/>
      <c r="E223" s="712"/>
      <c r="F223" s="357"/>
      <c r="G223" s="711"/>
      <c r="H223" s="713"/>
      <c r="I223" s="436"/>
      <c r="J223" s="199"/>
      <c r="N223" s="199"/>
      <c r="R223" s="10"/>
      <c r="S223" s="136"/>
      <c r="T223" s="26"/>
      <c r="U223" s="45"/>
      <c r="V223" s="26"/>
      <c r="W223" s="35"/>
      <c r="X223" s="26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26"/>
    </row>
    <row r="224" spans="1:46" x14ac:dyDescent="0.35">
      <c r="A224" s="168" t="s">
        <v>813</v>
      </c>
      <c r="B224" s="1201"/>
      <c r="C224" s="1"/>
      <c r="D224" s="1"/>
      <c r="E224" s="395"/>
      <c r="F224" s="1"/>
      <c r="G224" s="1"/>
      <c r="H224" s="537"/>
      <c r="J224" s="1243" t="s">
        <v>662</v>
      </c>
      <c r="K224" s="10" t="s">
        <v>373</v>
      </c>
      <c r="M224" s="1180" t="s">
        <v>810</v>
      </c>
      <c r="N224" s="403" t="s">
        <v>825</v>
      </c>
      <c r="R224" s="27"/>
      <c r="S224" s="136"/>
      <c r="T224" s="26"/>
      <c r="U224" s="45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</row>
    <row r="225" spans="1:46" x14ac:dyDescent="0.35">
      <c r="A225" s="11" t="s">
        <v>815</v>
      </c>
      <c r="B225" s="109">
        <f>B174-B207+B219+B9</f>
        <v>2.9740208638283127E+22</v>
      </c>
      <c r="C225" s="1" t="s">
        <v>14</v>
      </c>
      <c r="D225" s="10" t="s">
        <v>37</v>
      </c>
      <c r="E225" s="114">
        <f>B225*(1/2*1.38E-23*300)</f>
        <v>61.562231881246078</v>
      </c>
      <c r="F225" s="1" t="s">
        <v>9</v>
      </c>
      <c r="G225" s="10" t="s">
        <v>37</v>
      </c>
      <c r="H225" s="57">
        <f>B225*3/(6.02*10^23)</f>
        <v>0.1482070197921086</v>
      </c>
      <c r="I225" s="17" t="s">
        <v>7</v>
      </c>
      <c r="J225" s="1201">
        <f>B117</f>
        <v>6.5518028411816756E+21</v>
      </c>
      <c r="K225" s="734">
        <f>B225/(B225+'баланс дейтерий'!B225)</f>
        <v>0.5</v>
      </c>
      <c r="L225" s="67"/>
      <c r="M225" s="1180">
        <f>B225-B235</f>
        <v>6.5518028411816787E+21</v>
      </c>
      <c r="N225" s="403">
        <f>B225-B229</f>
        <v>2.3188405797101452E+22</v>
      </c>
      <c r="P225" s="259" t="s">
        <v>119</v>
      </c>
      <c r="R225" s="285"/>
      <c r="S225" s="136"/>
      <c r="T225" s="26"/>
      <c r="U225" s="45"/>
      <c r="V225" s="26"/>
      <c r="W225" s="26"/>
      <c r="X225" s="26"/>
      <c r="Y225" s="44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</row>
    <row r="226" spans="1:46" x14ac:dyDescent="0.35">
      <c r="A226" s="12" t="s">
        <v>828</v>
      </c>
      <c r="B226" s="606">
        <f>B175-B208+B220+B9</f>
        <v>6.7601361745150088E+21</v>
      </c>
      <c r="C226" s="1"/>
      <c r="D226" s="10"/>
      <c r="E226" s="580">
        <f>B226*(1/2*1.38E-23*300)</f>
        <v>13.993481881246069</v>
      </c>
      <c r="F226" s="1"/>
      <c r="G226" s="10"/>
      <c r="H226" s="586">
        <f>B226*3/(6.02*10^23)</f>
        <v>3.3688386251735924E-2</v>
      </c>
      <c r="I226" s="436"/>
      <c r="J226" s="1201">
        <f>B118</f>
        <v>6.5518028411816756E+21</v>
      </c>
      <c r="K226" s="734">
        <f>B226/(B226+'баланс дейтерий'!B226)</f>
        <v>0.51330915315237657</v>
      </c>
      <c r="L226" s="67"/>
      <c r="M226" s="1180">
        <f>B226-B236</f>
        <v>6.5518028411816756E+21</v>
      </c>
      <c r="N226" s="1136">
        <f>B226-B230</f>
        <v>2.0833333333333325E+20</v>
      </c>
      <c r="R226" s="285"/>
      <c r="S226" s="136"/>
      <c r="T226" s="26"/>
      <c r="U226" s="45"/>
      <c r="V226" s="26"/>
      <c r="W226" s="26"/>
      <c r="X226" s="26"/>
      <c r="Y226" s="44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</row>
    <row r="227" spans="1:46" x14ac:dyDescent="0.35">
      <c r="A227" s="94" t="s">
        <v>829</v>
      </c>
      <c r="B227" s="209">
        <f>B176-B209+B221+B9</f>
        <v>6.3950206070530622E+21</v>
      </c>
      <c r="C227" s="1180"/>
      <c r="D227" s="10"/>
      <c r="E227" s="431">
        <f>B227*(1/2*1.38E-23*300)</f>
        <v>13.23769265659984</v>
      </c>
      <c r="F227" s="1"/>
      <c r="G227" s="10"/>
      <c r="H227" s="185">
        <f>B227*3/(6.02*10^23)</f>
        <v>3.1868873457075064E-2</v>
      </c>
      <c r="I227" s="17"/>
      <c r="J227" s="1201">
        <f>B119</f>
        <v>6.3950206070530622E+21</v>
      </c>
      <c r="K227" s="734">
        <f>B227/(B227+'баланс дейтерий'!B227)</f>
        <v>0.5056224010761653</v>
      </c>
      <c r="L227" s="67"/>
      <c r="M227" s="1180">
        <f>B227-B237</f>
        <v>6.3950206070530622E+21</v>
      </c>
      <c r="N227" s="1307">
        <f>B227-B231</f>
        <v>0</v>
      </c>
      <c r="R227" s="285"/>
      <c r="S227" s="136"/>
      <c r="T227" s="26"/>
      <c r="U227" s="45"/>
      <c r="V227" s="27"/>
      <c r="W227" s="27"/>
      <c r="X227" s="28"/>
      <c r="Y227" s="239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</row>
    <row r="228" spans="1:46" x14ac:dyDescent="0.35">
      <c r="A228" s="233" t="s">
        <v>699</v>
      </c>
      <c r="B228" s="284"/>
      <c r="C228" s="1"/>
      <c r="D228" s="1"/>
      <c r="E228" s="395">
        <f>E235+E229+E232</f>
        <v>77.593144786431296</v>
      </c>
      <c r="F228" s="1"/>
      <c r="G228" s="1"/>
      <c r="H228" s="537"/>
      <c r="L228" s="67"/>
      <c r="M228" s="1246">
        <f>M225-B229</f>
        <v>0</v>
      </c>
      <c r="N228" s="420">
        <f>N225-B235</f>
        <v>0</v>
      </c>
      <c r="R228" s="27"/>
      <c r="S228" s="136"/>
      <c r="T228" s="26"/>
      <c r="U228" s="45"/>
      <c r="V228" s="27"/>
      <c r="W228" s="27"/>
      <c r="X228" s="28"/>
      <c r="Y228" s="239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</row>
    <row r="229" spans="1:46" x14ac:dyDescent="0.35">
      <c r="A229" s="15" t="s">
        <v>282</v>
      </c>
      <c r="B229" s="68">
        <f>B117</f>
        <v>6.5518028411816756E+21</v>
      </c>
      <c r="C229" s="13" t="s">
        <v>14</v>
      </c>
      <c r="D229" s="18" t="s">
        <v>37</v>
      </c>
      <c r="E229" s="55">
        <f t="shared" ref="E229:E235" si="8">B229*(1/2*1.38E-23*300)</f>
        <v>13.562231881246069</v>
      </c>
      <c r="F229" s="13" t="s">
        <v>9</v>
      </c>
      <c r="G229" s="18" t="s">
        <v>37</v>
      </c>
      <c r="H229" s="57">
        <f t="shared" ref="H229:H235" si="9">B229*3/(6.02*10^23)</f>
        <v>3.2650180271669486E-2</v>
      </c>
      <c r="I229" s="17" t="s">
        <v>7</v>
      </c>
      <c r="L229" s="311"/>
      <c r="M229" s="1246">
        <f>M226-B230</f>
        <v>0</v>
      </c>
      <c r="N229" s="421">
        <f>N226-B236</f>
        <v>0</v>
      </c>
      <c r="P229" s="74"/>
      <c r="R229" s="285"/>
      <c r="S229" s="136"/>
      <c r="T229" s="26"/>
      <c r="U229" s="248"/>
      <c r="V229" s="26"/>
      <c r="W229" s="811"/>
      <c r="X229" s="26"/>
      <c r="Y229" s="811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</row>
    <row r="230" spans="1:46" x14ac:dyDescent="0.35">
      <c r="A230" s="15"/>
      <c r="B230" s="489">
        <f>B118</f>
        <v>6.5518028411816756E+21</v>
      </c>
      <c r="D230" s="567"/>
      <c r="E230" s="133">
        <f t="shared" si="8"/>
        <v>13.562231881246069</v>
      </c>
      <c r="G230" s="567"/>
      <c r="H230" s="586">
        <f t="shared" si="9"/>
        <v>3.2650180271669486E-2</v>
      </c>
      <c r="I230" s="436"/>
      <c r="L230" s="674"/>
      <c r="M230" s="1305">
        <f>M227-B231</f>
        <v>0</v>
      </c>
      <c r="N230" s="1306">
        <f>N227-B237</f>
        <v>0</v>
      </c>
      <c r="O230" s="302"/>
      <c r="P230" s="598"/>
      <c r="Q230" s="302"/>
      <c r="R230" s="477"/>
      <c r="S230" s="136"/>
      <c r="T230" s="26"/>
      <c r="U230" s="248"/>
      <c r="V230" s="26"/>
      <c r="W230" s="811"/>
      <c r="X230" s="26"/>
      <c r="Y230" s="811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</row>
    <row r="231" spans="1:46" x14ac:dyDescent="0.35">
      <c r="B231" s="182">
        <f>B119</f>
        <v>6.3950206070530622E+21</v>
      </c>
      <c r="C231" s="1180"/>
      <c r="D231" s="18"/>
      <c r="E231" s="211">
        <f t="shared" si="8"/>
        <v>13.23769265659984</v>
      </c>
      <c r="G231" s="18"/>
      <c r="H231" s="185">
        <f t="shared" si="9"/>
        <v>3.1868873457075064E-2</v>
      </c>
      <c r="I231" s="17"/>
      <c r="L231" s="296"/>
      <c r="M231" s="1247" t="s">
        <v>811</v>
      </c>
      <c r="O231" s="42"/>
      <c r="P231" s="74"/>
      <c r="R231" s="828"/>
      <c r="S231" s="136"/>
      <c r="T231" s="26"/>
      <c r="U231" s="248"/>
      <c r="V231" s="26"/>
      <c r="W231" s="811"/>
      <c r="X231" s="26"/>
      <c r="Y231" s="811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</row>
    <row r="232" spans="1:46" x14ac:dyDescent="0.35">
      <c r="A232" s="1071" t="s">
        <v>700</v>
      </c>
      <c r="B232" s="68">
        <f>B211</f>
        <v>7.7444023696546962E+21</v>
      </c>
      <c r="C232" s="1" t="s">
        <v>14</v>
      </c>
      <c r="D232" s="10" t="s">
        <v>37</v>
      </c>
      <c r="E232" s="114">
        <f t="shared" si="8"/>
        <v>16.030912905185222</v>
      </c>
      <c r="F232" s="1" t="s">
        <v>9</v>
      </c>
      <c r="G232" s="10" t="s">
        <v>37</v>
      </c>
      <c r="H232" s="509">
        <f t="shared" si="9"/>
        <v>3.8593367290638024E-2</v>
      </c>
      <c r="I232" s="17" t="s">
        <v>7</v>
      </c>
      <c r="J232" s="25"/>
      <c r="L232" s="362"/>
      <c r="M232" s="1181"/>
      <c r="N232" s="148"/>
      <c r="O232" s="110"/>
      <c r="P232" s="186"/>
      <c r="R232" s="285"/>
      <c r="S232" s="136"/>
      <c r="T232" s="26"/>
      <c r="U232" s="45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</row>
    <row r="233" spans="1:46" x14ac:dyDescent="0.35">
      <c r="A233" s="15"/>
      <c r="B233" s="489">
        <f>B212</f>
        <v>7.7444023696546962E+21</v>
      </c>
      <c r="D233" s="567"/>
      <c r="E233" s="133">
        <f t="shared" si="8"/>
        <v>16.030912905185222</v>
      </c>
      <c r="G233" s="567"/>
      <c r="H233" s="1295">
        <f t="shared" si="9"/>
        <v>3.8593367290638024E-2</v>
      </c>
      <c r="I233" s="436"/>
      <c r="J233" s="25"/>
      <c r="L233" s="26"/>
      <c r="M233" s="1203"/>
      <c r="N233" s="148"/>
      <c r="O233" s="110"/>
      <c r="R233" s="285"/>
      <c r="S233" s="136"/>
      <c r="T233" s="26"/>
      <c r="U233" s="45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</row>
    <row r="234" spans="1:46" x14ac:dyDescent="0.35">
      <c r="B234" s="182">
        <f>B213</f>
        <v>8.1095179371166428E+21</v>
      </c>
      <c r="C234" s="216"/>
      <c r="D234" s="217"/>
      <c r="E234" s="211">
        <f t="shared" si="8"/>
        <v>16.78670212983145</v>
      </c>
      <c r="F234" s="216"/>
      <c r="G234" s="217"/>
      <c r="H234" s="1301">
        <f t="shared" si="9"/>
        <v>4.0412880085298891E-2</v>
      </c>
      <c r="I234" s="289"/>
      <c r="L234" s="26"/>
      <c r="M234" s="1204"/>
      <c r="O234" s="15"/>
      <c r="P234" s="186"/>
      <c r="R234" s="285"/>
      <c r="S234" s="136"/>
      <c r="T234" s="26"/>
      <c r="U234" s="45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</row>
    <row r="235" spans="1:46" x14ac:dyDescent="0.35">
      <c r="A235" s="15" t="s">
        <v>360</v>
      </c>
      <c r="B235" s="109">
        <f>B54*B41</f>
        <v>2.3188405797101448E+22</v>
      </c>
      <c r="C235" s="1" t="s">
        <v>14</v>
      </c>
      <c r="D235" s="10" t="s">
        <v>37</v>
      </c>
      <c r="E235" s="114">
        <f t="shared" si="8"/>
        <v>48</v>
      </c>
      <c r="F235" s="1" t="s">
        <v>9</v>
      </c>
      <c r="G235" s="10" t="s">
        <v>37</v>
      </c>
      <c r="H235" s="57">
        <f t="shared" si="9"/>
        <v>0.11555683952043912</v>
      </c>
      <c r="I235" s="17" t="s">
        <v>7</v>
      </c>
      <c r="J235" s="25"/>
      <c r="K235" s="1002"/>
      <c r="M235" s="1181"/>
      <c r="R235" s="435"/>
      <c r="S235" s="136"/>
      <c r="T235" s="26"/>
      <c r="U235" s="26"/>
      <c r="V235" s="26"/>
      <c r="W235" s="26"/>
      <c r="X235" s="26"/>
      <c r="Y235" s="811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</row>
    <row r="236" spans="1:46" x14ac:dyDescent="0.35">
      <c r="B236" s="489">
        <f>B37</f>
        <v>2.0833333333333334E+20</v>
      </c>
      <c r="D236" s="1241"/>
      <c r="E236" s="133">
        <f>B236*(1/2*1.38E-23*300)</f>
        <v>0.43125000000000002</v>
      </c>
      <c r="G236" s="1241"/>
      <c r="H236" s="1295">
        <f>B236*3/(6.02*10^23)</f>
        <v>1.0382059800664453E-3</v>
      </c>
      <c r="I236" s="319"/>
      <c r="J236" s="597"/>
      <c r="K236" s="1010"/>
      <c r="M236" s="125" t="s">
        <v>838</v>
      </c>
      <c r="R236" s="435"/>
      <c r="S236" s="136"/>
      <c r="T236" s="26"/>
      <c r="U236" s="26"/>
      <c r="V236" s="26"/>
      <c r="W236" s="26"/>
      <c r="X236" s="26"/>
      <c r="Y236" s="811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</row>
    <row r="237" spans="1:46" x14ac:dyDescent="0.35">
      <c r="A237" s="12"/>
      <c r="B237" s="460">
        <v>0</v>
      </c>
      <c r="C237" s="645"/>
      <c r="D237" s="646"/>
      <c r="E237" s="460">
        <f>B237*(1/2*1.38E-23*300)</f>
        <v>0</v>
      </c>
      <c r="F237" s="645"/>
      <c r="G237" s="646"/>
      <c r="H237" s="595">
        <f>B237*3/(6.02*10^23)</f>
        <v>0</v>
      </c>
      <c r="I237" s="17"/>
      <c r="J237" s="25"/>
      <c r="M237" s="125" t="s">
        <v>839</v>
      </c>
      <c r="R237" s="435"/>
      <c r="S237" s="136"/>
      <c r="T237" s="26"/>
      <c r="U237" s="26"/>
      <c r="V237" s="26"/>
      <c r="W237" s="26"/>
      <c r="X237" s="26"/>
      <c r="Y237" s="811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</row>
    <row r="238" spans="1:46" x14ac:dyDescent="0.35">
      <c r="M238" s="1180"/>
      <c r="R238" s="435"/>
      <c r="S238" s="136"/>
      <c r="T238" s="26"/>
      <c r="U238" s="26"/>
      <c r="V238" s="26"/>
      <c r="W238" s="26"/>
      <c r="X238" s="26"/>
      <c r="Y238" s="811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</row>
    <row r="239" spans="1:46" x14ac:dyDescent="0.35">
      <c r="A239" s="11" t="s">
        <v>435</v>
      </c>
      <c r="B239" s="68">
        <f>'[5]tritium breeding'!D25</f>
        <v>1.4141905177558874E+19</v>
      </c>
      <c r="C239" s="13" t="s">
        <v>14</v>
      </c>
      <c r="D239" s="745" t="s">
        <v>37</v>
      </c>
      <c r="E239" s="55">
        <f>B239*(1/2*1.38E-23*300)</f>
        <v>2.9273743717546871E-2</v>
      </c>
      <c r="F239" s="13" t="s">
        <v>9</v>
      </c>
      <c r="G239" s="745" t="s">
        <v>37</v>
      </c>
      <c r="H239" s="77">
        <f>B239*3/(6.02*10^23)</f>
        <v>7.0474610519396394E-5</v>
      </c>
      <c r="I239" s="436" t="s">
        <v>7</v>
      </c>
      <c r="J239" s="41" t="s">
        <v>37</v>
      </c>
      <c r="K239" s="267">
        <f>H239/1000*365*24*60*60</f>
        <v>2.2224873173396849</v>
      </c>
      <c r="L239" s="379" t="s">
        <v>131</v>
      </c>
      <c r="M239" s="1203"/>
      <c r="N239" s="1181"/>
      <c r="R239" s="435"/>
      <c r="S239" s="136"/>
      <c r="T239" s="26"/>
      <c r="U239" s="26"/>
      <c r="V239" s="26"/>
      <c r="W239" s="811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</row>
    <row r="240" spans="1:46" x14ac:dyDescent="0.35">
      <c r="A240" s="94" t="s">
        <v>660</v>
      </c>
      <c r="B240" s="489">
        <f>'[5]tritium breeding'!D25</f>
        <v>1.4141905177558874E+19</v>
      </c>
      <c r="D240" s="745"/>
      <c r="E240" s="133">
        <f>B240*(1/2*1.38E-23*300)</f>
        <v>2.9273743717546871E-2</v>
      </c>
      <c r="G240" s="745"/>
      <c r="H240" s="582">
        <f>B240*3/(6.02*10^23)</f>
        <v>7.0474610519396394E-5</v>
      </c>
      <c r="I240" s="436"/>
      <c r="M240" s="1205"/>
      <c r="N240" s="1181"/>
      <c r="R240" s="285"/>
      <c r="S240" s="136"/>
      <c r="T240" s="26"/>
      <c r="U240" s="45"/>
      <c r="V240" s="26"/>
      <c r="W240" s="26"/>
      <c r="X240" s="149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</row>
    <row r="241" spans="1:46" x14ac:dyDescent="0.35">
      <c r="A241" s="94" t="s">
        <v>661</v>
      </c>
      <c r="B241" s="182">
        <f>'[5]tritium breeding'!D25</f>
        <v>1.4141905177558874E+19</v>
      </c>
      <c r="D241" s="745"/>
      <c r="E241" s="211">
        <f>B241*(1/2*1.38E-23*300)</f>
        <v>2.9273743717546871E-2</v>
      </c>
      <c r="G241" s="745"/>
      <c r="H241" s="184">
        <f>B241*3/(6.02*10^23)</f>
        <v>7.0474610519396394E-5</v>
      </c>
      <c r="I241" s="436"/>
      <c r="M241" s="420"/>
      <c r="N241" s="148"/>
      <c r="R241" s="285"/>
      <c r="S241" s="136"/>
      <c r="T241" s="26"/>
      <c r="U241" s="45"/>
      <c r="V241" s="26"/>
      <c r="W241" s="26"/>
      <c r="X241" s="149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</row>
    <row r="242" spans="1:46" x14ac:dyDescent="0.35">
      <c r="M242" s="54" t="s">
        <v>668</v>
      </c>
      <c r="R242" s="435"/>
      <c r="S242" s="136"/>
      <c r="T242" s="26"/>
      <c r="U242" s="45"/>
      <c r="V242" s="26"/>
      <c r="W242" s="26"/>
      <c r="X242" s="26"/>
      <c r="Y242" s="26"/>
    </row>
    <row r="243" spans="1:46" ht="16.5" customHeight="1" x14ac:dyDescent="0.35">
      <c r="A243" s="80" t="s">
        <v>675</v>
      </c>
      <c r="E243" s="104"/>
      <c r="L243" s="246" t="s">
        <v>132</v>
      </c>
      <c r="M243" s="186" t="s">
        <v>664</v>
      </c>
      <c r="P243" s="369"/>
      <c r="Q243" s="91"/>
      <c r="R243" s="435"/>
      <c r="S243" s="136"/>
      <c r="T243" s="26"/>
      <c r="U243" s="45"/>
      <c r="V243" s="26"/>
      <c r="W243" s="26"/>
      <c r="X243" s="9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</row>
    <row r="244" spans="1:46" x14ac:dyDescent="0.35">
      <c r="A244" s="94" t="s">
        <v>674</v>
      </c>
      <c r="B244" s="85" t="s">
        <v>673</v>
      </c>
      <c r="L244" s="246" t="s">
        <v>132</v>
      </c>
      <c r="M244" s="186" t="s">
        <v>663</v>
      </c>
      <c r="R244" s="435"/>
      <c r="S244" s="136"/>
      <c r="T244" s="26"/>
      <c r="U244" s="45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</row>
    <row r="245" spans="1:46" x14ac:dyDescent="0.35">
      <c r="A245" s="558" t="s">
        <v>133</v>
      </c>
      <c r="B245" s="109">
        <f>B235+B232+B229</f>
        <v>3.7484611007937818E+22</v>
      </c>
      <c r="C245" s="13" t="s">
        <v>14</v>
      </c>
      <c r="D245" s="18" t="s">
        <v>37</v>
      </c>
      <c r="E245" s="55">
        <f>B245*(1/2*1.38E-23*300)</f>
        <v>77.593144786431282</v>
      </c>
      <c r="F245" s="13" t="s">
        <v>9</v>
      </c>
      <c r="G245" s="18" t="s">
        <v>37</v>
      </c>
      <c r="H245" s="244">
        <f>B245*3/(6.02*10^23)</f>
        <v>0.18680038708274663</v>
      </c>
      <c r="I245" s="289" t="s">
        <v>7</v>
      </c>
      <c r="M245" s="42" t="s">
        <v>228</v>
      </c>
      <c r="O245" s="55">
        <v>67.595303172437312</v>
      </c>
      <c r="P245" s="108"/>
      <c r="Q245" s="26"/>
      <c r="R245" s="285"/>
      <c r="S245" s="136"/>
      <c r="T245" s="26"/>
      <c r="U245" s="45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</row>
    <row r="246" spans="1:46" x14ac:dyDescent="0.35">
      <c r="A246" s="275" t="s">
        <v>666</v>
      </c>
      <c r="B246" s="489">
        <f>B236+B233+B230</f>
        <v>1.4504538544169705E+22</v>
      </c>
      <c r="D246" s="567"/>
      <c r="E246" s="133">
        <f>B246*(1/2*1.38E-23*300)</f>
        <v>30.024394786431291</v>
      </c>
      <c r="G246" s="567"/>
      <c r="H246" s="590">
        <f>B246*3/(6.02*10^23)</f>
        <v>7.2281753542373942E-2</v>
      </c>
      <c r="I246" s="436"/>
      <c r="J246" s="379" t="s">
        <v>137</v>
      </c>
      <c r="L246" s="417">
        <f>B249-B245</f>
        <v>-1.1784920981296906E+19</v>
      </c>
      <c r="M246" s="18" t="s">
        <v>76</v>
      </c>
      <c r="N246" s="110"/>
      <c r="O246" s="133">
        <v>20.026553172437318</v>
      </c>
      <c r="P246" s="108"/>
      <c r="Q246" s="26"/>
      <c r="R246" s="285"/>
      <c r="S246" s="136"/>
      <c r="T246" s="26"/>
      <c r="U246" s="45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</row>
    <row r="247" spans="1:46" x14ac:dyDescent="0.35">
      <c r="B247" s="182">
        <f>B237+B234+B231</f>
        <v>1.4504538544169705E+22</v>
      </c>
      <c r="D247" s="18"/>
      <c r="E247" s="211">
        <f>B247*(1/2*1.38E-23*300)</f>
        <v>30.024394786431291</v>
      </c>
      <c r="G247" s="18"/>
      <c r="H247" s="245">
        <f>B247*3/(6.02*10^23)</f>
        <v>7.2281753542373942E-2</v>
      </c>
      <c r="I247" s="289"/>
      <c r="L247" s="861">
        <f>M247-L246</f>
        <v>-2156544</v>
      </c>
      <c r="M247" s="418">
        <f>(-B9)</f>
        <v>-1.1784920981299063E+19</v>
      </c>
      <c r="N247" s="316"/>
      <c r="O247" s="211">
        <v>20.046624839435705</v>
      </c>
      <c r="P247" s="108"/>
      <c r="Q247" s="26"/>
      <c r="R247" s="285"/>
      <c r="S247" s="136"/>
      <c r="T247" s="26"/>
      <c r="U247" s="45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</row>
    <row r="248" spans="1:46" x14ac:dyDescent="0.35">
      <c r="B248" s="1235"/>
      <c r="C248" s="435"/>
      <c r="D248" s="35"/>
      <c r="E248" s="568"/>
      <c r="F248" s="26"/>
      <c r="G248" s="35"/>
      <c r="H248" s="599"/>
      <c r="I248" s="436"/>
      <c r="K248" s="410"/>
      <c r="L248" s="587">
        <f>B250-B246</f>
        <v>-1.1784920981299003E+19</v>
      </c>
      <c r="M248" s="567" t="s">
        <v>76</v>
      </c>
      <c r="N248" s="368"/>
      <c r="O248" s="1073"/>
      <c r="Q248" s="26"/>
      <c r="R248" s="285"/>
      <c r="S248" s="136"/>
      <c r="T248" s="26"/>
      <c r="U248" s="45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</row>
    <row r="249" spans="1:46" x14ac:dyDescent="0.35">
      <c r="A249" s="9" t="s">
        <v>672</v>
      </c>
      <c r="B249" s="109">
        <f>B174</f>
        <v>3.7472826086956521E+22</v>
      </c>
      <c r="C249" s="13" t="s">
        <v>14</v>
      </c>
      <c r="D249" s="18" t="s">
        <v>37</v>
      </c>
      <c r="E249" s="55">
        <f>B249*(1/2*1.38E-23*300)</f>
        <v>77.568750000000009</v>
      </c>
      <c r="F249" s="13" t="s">
        <v>9</v>
      </c>
      <c r="G249" s="18" t="s">
        <v>37</v>
      </c>
      <c r="H249" s="244">
        <f>B249*3/(6.02*10^23)</f>
        <v>0.18674165824064715</v>
      </c>
      <c r="I249" s="289" t="s">
        <v>7</v>
      </c>
      <c r="L249" s="316">
        <f>M249-L248</f>
        <v>-59392</v>
      </c>
      <c r="M249" s="587">
        <f>(-B9)</f>
        <v>-1.1784920981299063E+19</v>
      </c>
      <c r="N249" s="316"/>
      <c r="O249" s="55">
        <v>67.56874999999998</v>
      </c>
      <c r="Q249" s="26"/>
      <c r="R249" s="285"/>
      <c r="S249" s="136"/>
      <c r="T249" s="26"/>
      <c r="U249" s="45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</row>
    <row r="250" spans="1:46" x14ac:dyDescent="0.35">
      <c r="A250" s="1118" t="s">
        <v>667</v>
      </c>
      <c r="B250" s="489">
        <f>B175+'[3]динамика трития в инжекторах'!$AJ$97</f>
        <v>1.4492753623188406E+22</v>
      </c>
      <c r="C250" s="1"/>
      <c r="D250" s="10"/>
      <c r="E250" s="580">
        <f>B250*(1/2*1.38E-23*300)</f>
        <v>30.000000000000004</v>
      </c>
      <c r="F250" s="1"/>
      <c r="G250" s="10"/>
      <c r="H250" s="590">
        <f>B250*3/(6.02*10^23)</f>
        <v>7.222302470027446E-2</v>
      </c>
      <c r="I250" s="436"/>
      <c r="J250" s="379" t="s">
        <v>138</v>
      </c>
      <c r="L250" s="382">
        <f>B251-B247</f>
        <v>-1.1784920981299003E+19</v>
      </c>
      <c r="M250" s="18" t="s">
        <v>76</v>
      </c>
      <c r="N250" s="368"/>
      <c r="O250" s="580">
        <v>19.999999999999993</v>
      </c>
      <c r="Q250" s="26"/>
      <c r="R250" s="285"/>
      <c r="S250" s="136"/>
      <c r="T250" s="26"/>
      <c r="U250" s="45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</row>
    <row r="251" spans="1:46" x14ac:dyDescent="0.35">
      <c r="A251" s="176" t="s">
        <v>704</v>
      </c>
      <c r="B251" s="182">
        <f>B176+(-'[3]динамика трития в инжекторах'!F12)</f>
        <v>1.4492753623188406E+22</v>
      </c>
      <c r="C251" s="1"/>
      <c r="D251" s="10"/>
      <c r="E251" s="431">
        <f>B251*(1/2*1.38E-23*300)</f>
        <v>30.000000000000004</v>
      </c>
      <c r="F251" s="1"/>
      <c r="G251" s="10"/>
      <c r="H251" s="245">
        <f>B251*3/(6.02*10^23)</f>
        <v>7.222302470027446E-2</v>
      </c>
      <c r="I251" s="289"/>
      <c r="K251" s="238"/>
      <c r="L251" s="311">
        <f>M251-L250</f>
        <v>-59392</v>
      </c>
      <c r="M251" s="419">
        <f>(-B9)</f>
        <v>-1.1784920981299063E+19</v>
      </c>
      <c r="N251" s="316"/>
      <c r="O251" s="431">
        <v>20.019219949996717</v>
      </c>
      <c r="Q251" s="94"/>
      <c r="R251" s="285"/>
      <c r="S251" s="136"/>
      <c r="T251" s="26"/>
      <c r="U251" s="45"/>
      <c r="V251" s="26"/>
      <c r="W251" s="26"/>
      <c r="X251" s="26"/>
      <c r="Y251" s="829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</row>
    <row r="252" spans="1:46" ht="15.65" customHeight="1" x14ac:dyDescent="0.35">
      <c r="B252" s="403"/>
      <c r="C252" s="410"/>
      <c r="K252" s="268"/>
      <c r="N252" s="42" t="s">
        <v>228</v>
      </c>
      <c r="P252" s="37"/>
      <c r="Q252" s="94"/>
      <c r="R252" s="435"/>
      <c r="S252" s="136"/>
      <c r="T252" s="26"/>
      <c r="U252" s="45"/>
      <c r="V252" s="26"/>
      <c r="W252" s="26"/>
      <c r="X252" s="26"/>
      <c r="Y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</row>
    <row r="253" spans="1:46" ht="15.65" customHeight="1" x14ac:dyDescent="0.35">
      <c r="A253" s="291" t="s">
        <v>665</v>
      </c>
      <c r="B253" s="68">
        <f>-(B249-B245)+B267</f>
        <v>1.1947819259049603E+19</v>
      </c>
      <c r="C253" s="19" t="s">
        <v>14</v>
      </c>
      <c r="D253" s="20" t="s">
        <v>37</v>
      </c>
      <c r="E253" s="68">
        <f>B253*(1/2*1.38E-23*300)</f>
        <v>2.4731985866232681E-2</v>
      </c>
      <c r="F253" s="13" t="s">
        <v>9</v>
      </c>
      <c r="G253" s="18" t="s">
        <v>37</v>
      </c>
      <c r="H253" s="77">
        <f>B253*3/(6.02*10^23)</f>
        <v>5.9540627536792051E-5</v>
      </c>
      <c r="I253" s="289" t="s">
        <v>7</v>
      </c>
      <c r="J253" s="18" t="s">
        <v>37</v>
      </c>
      <c r="K253" s="267">
        <f>H253/1000*365*24*60*60</f>
        <v>1.8776732300002741</v>
      </c>
      <c r="L253" s="178" t="s">
        <v>131</v>
      </c>
      <c r="M253" s="1140">
        <f>K253-N253</f>
        <v>-3.3906211172052281E-13</v>
      </c>
      <c r="N253" s="721">
        <f>N257+K267</f>
        <v>1.8776732300006131</v>
      </c>
      <c r="O253" s="85" t="s">
        <v>131</v>
      </c>
      <c r="P253" s="25" t="s">
        <v>410</v>
      </c>
      <c r="R253" s="435"/>
      <c r="S253" s="136"/>
      <c r="T253" s="26"/>
      <c r="U253" s="45"/>
      <c r="V253" s="26"/>
      <c r="W253" s="26"/>
      <c r="X253" s="26"/>
      <c r="Y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</row>
    <row r="254" spans="1:46" x14ac:dyDescent="0.35">
      <c r="A254" s="12" t="s">
        <v>709</v>
      </c>
      <c r="B254" s="489">
        <f>-(B250-B246)+B268</f>
        <v>1.1944017451543974E+19</v>
      </c>
      <c r="C254" s="19"/>
      <c r="D254" s="406"/>
      <c r="E254" s="489">
        <f>B254*(1/2*1.38E-23*300)</f>
        <v>2.4724116124696029E-2</v>
      </c>
      <c r="G254" s="567"/>
      <c r="H254" s="582">
        <f>B254*3/(6.02*10^23)</f>
        <v>5.9521681652212501E-5</v>
      </c>
      <c r="I254" s="436"/>
      <c r="J254" s="567"/>
      <c r="K254" s="631">
        <f>H254/1000*365*24*60*60</f>
        <v>1.8770757525841737</v>
      </c>
      <c r="L254" s="379"/>
      <c r="M254" s="1141">
        <f>K254-N254</f>
        <v>-9.1038288019262836E-15</v>
      </c>
      <c r="N254" s="722">
        <f>N257+K268</f>
        <v>1.8770757525841828</v>
      </c>
      <c r="O254" s="19"/>
      <c r="R254" s="435"/>
      <c r="S254" s="136"/>
      <c r="T254" s="26"/>
      <c r="U254" s="45"/>
      <c r="V254" s="26"/>
      <c r="W254" s="26"/>
      <c r="X254" s="26"/>
      <c r="Y254" s="26"/>
    </row>
    <row r="255" spans="1:46" x14ac:dyDescent="0.35">
      <c r="A255" s="94" t="s">
        <v>691</v>
      </c>
      <c r="B255" s="182">
        <f>-(B251-B247)+B269</f>
        <v>1.1885817593672298E+19</v>
      </c>
      <c r="C255" s="19"/>
      <c r="D255" s="20"/>
      <c r="E255" s="182">
        <f>B255*(1/2*1.38E-23*300)</f>
        <v>2.4603642418901658E-2</v>
      </c>
      <c r="G255" s="18"/>
      <c r="H255" s="184">
        <f>B255*3/(6.02*10^23)</f>
        <v>5.9231649137901827E-5</v>
      </c>
      <c r="I255" s="289"/>
      <c r="J255" s="18"/>
      <c r="K255" s="601">
        <f>H255/1000*365*24*60*60</f>
        <v>1.8679292872128721</v>
      </c>
      <c r="L255" s="178"/>
      <c r="M255" s="1375">
        <f>K255-N255</f>
        <v>-9.5479180117763462E-15</v>
      </c>
      <c r="N255" s="723">
        <f>N257+K269</f>
        <v>1.8679292872128817</v>
      </c>
      <c r="O255" s="19"/>
      <c r="R255" s="435"/>
      <c r="S255" s="136"/>
      <c r="T255" s="26"/>
      <c r="U255" s="45"/>
      <c r="V255" s="26"/>
      <c r="W255" s="26"/>
      <c r="X255" s="26"/>
      <c r="Y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</row>
    <row r="256" spans="1:46" x14ac:dyDescent="0.35">
      <c r="B256" s="403"/>
      <c r="C256" s="433"/>
      <c r="D256" s="110"/>
      <c r="E256" s="426"/>
      <c r="J256" s="19"/>
      <c r="K256" s="434"/>
      <c r="L256" s="19"/>
      <c r="R256" s="435"/>
      <c r="S256" s="136"/>
      <c r="T256" s="26"/>
      <c r="U256" s="45"/>
      <c r="V256" s="26"/>
      <c r="W256" s="26"/>
      <c r="X256" s="26"/>
      <c r="Y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</row>
    <row r="257" spans="1:46" x14ac:dyDescent="0.35">
      <c r="A257" s="1071" t="s">
        <v>669</v>
      </c>
      <c r="B257" s="21">
        <f>'параметры для расчета'!C27</f>
        <v>20</v>
      </c>
      <c r="C257" s="13" t="s">
        <v>409</v>
      </c>
      <c r="N257" s="484">
        <f>H9/1000*365*24*60*60</f>
        <v>1.8520727644497375</v>
      </c>
      <c r="O257" s="36" t="s">
        <v>131</v>
      </c>
      <c r="P257" s="25" t="s">
        <v>703</v>
      </c>
      <c r="R257" s="435"/>
      <c r="S257" s="136"/>
      <c r="T257" s="26"/>
      <c r="U257" s="45"/>
      <c r="V257" s="26"/>
      <c r="W257" s="26"/>
      <c r="X257" s="26"/>
      <c r="Y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</row>
    <row r="258" spans="1:46" x14ac:dyDescent="0.35">
      <c r="A258" s="12" t="s">
        <v>670</v>
      </c>
      <c r="B258" s="68">
        <f>B239</f>
        <v>1.4141905177558874E+19</v>
      </c>
      <c r="C258" s="13" t="s">
        <v>14</v>
      </c>
      <c r="D258" s="706" t="s">
        <v>37</v>
      </c>
      <c r="E258" s="55">
        <f>B258*(1/2*1.38E-23*300)</f>
        <v>2.9273743717546871E-2</v>
      </c>
      <c r="F258" s="13" t="s">
        <v>9</v>
      </c>
      <c r="G258" s="706" t="s">
        <v>37</v>
      </c>
      <c r="H258" s="77">
        <f>B258*3/(6.02*10^23)</f>
        <v>7.0474610519396394E-5</v>
      </c>
      <c r="I258" s="436" t="s">
        <v>7</v>
      </c>
      <c r="J258" s="706" t="s">
        <v>37</v>
      </c>
      <c r="K258" s="267">
        <f>H258/1000*365*24*60*60</f>
        <v>2.2224873173396849</v>
      </c>
      <c r="L258" s="379" t="s">
        <v>131</v>
      </c>
      <c r="Q258" s="150"/>
      <c r="R258" s="435"/>
      <c r="S258" s="136"/>
      <c r="T258" s="26"/>
      <c r="U258" s="45"/>
      <c r="V258" s="26"/>
      <c r="W258" s="26"/>
      <c r="X258" s="26"/>
      <c r="Y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</row>
    <row r="259" spans="1:46" x14ac:dyDescent="0.35">
      <c r="A259" s="94" t="s">
        <v>671</v>
      </c>
      <c r="B259" s="489">
        <f>B240</f>
        <v>1.4141905177558874E+19</v>
      </c>
      <c r="D259" s="745"/>
      <c r="E259" s="133">
        <f>B259*(1/2*1.38E-23*300)</f>
        <v>2.9273743717546871E-2</v>
      </c>
      <c r="G259" s="745"/>
      <c r="H259" s="582">
        <f>B259*3/(6.02*10^23)</f>
        <v>7.0474610519396394E-5</v>
      </c>
      <c r="Q259" s="150"/>
      <c r="R259" s="435"/>
      <c r="S259" s="136"/>
      <c r="T259" s="26"/>
      <c r="U259" s="45"/>
      <c r="V259" s="26"/>
      <c r="W259" s="26"/>
      <c r="X259" s="26"/>
      <c r="Y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</row>
    <row r="260" spans="1:46" x14ac:dyDescent="0.35">
      <c r="B260" s="182">
        <f>B241</f>
        <v>1.4141905177558874E+19</v>
      </c>
      <c r="D260" s="745"/>
      <c r="E260" s="211">
        <f>B260*(1/2*1.38E-23*300)</f>
        <v>2.9273743717546871E-2</v>
      </c>
      <c r="G260" s="745"/>
      <c r="H260" s="184">
        <f>B260*3/(6.02*10^23)</f>
        <v>7.0474610519396394E-5</v>
      </c>
      <c r="I260" s="136"/>
      <c r="J260" s="35"/>
      <c r="K260" s="286"/>
      <c r="L260" s="379"/>
      <c r="Q260" s="26"/>
      <c r="R260" s="435"/>
      <c r="S260" s="136"/>
      <c r="T260" s="26"/>
      <c r="U260" s="45"/>
      <c r="V260" s="26"/>
      <c r="W260" s="26"/>
      <c r="X260" s="313"/>
      <c r="Y260" s="26"/>
    </row>
    <row r="261" spans="1:46" x14ac:dyDescent="0.35">
      <c r="N261" s="42" t="s">
        <v>228</v>
      </c>
      <c r="Q261" s="151"/>
      <c r="R261" s="287"/>
      <c r="S261" s="69"/>
      <c r="T261" s="26"/>
      <c r="U261" s="26"/>
      <c r="V261" s="26"/>
      <c r="W261" s="26"/>
      <c r="X261" s="26"/>
      <c r="Y261" s="26"/>
    </row>
    <row r="262" spans="1:46" x14ac:dyDescent="0.35">
      <c r="A262" s="169" t="s">
        <v>412</v>
      </c>
      <c r="B262" s="68">
        <f>IF(B253&gt;0, B258-B253, 0)</f>
        <v>2.194085918509271E+18</v>
      </c>
      <c r="C262" s="13" t="s">
        <v>14</v>
      </c>
      <c r="D262" s="810" t="s">
        <v>37</v>
      </c>
      <c r="E262" s="55">
        <f>B262*(1/2*1.38E-23*300)</f>
        <v>4.5417578513141914E-3</v>
      </c>
      <c r="F262" s="13" t="s">
        <v>9</v>
      </c>
      <c r="G262" s="810" t="s">
        <v>37</v>
      </c>
      <c r="H262" s="77">
        <f>B262*3/(6.02*10^23)</f>
        <v>1.0933982982604341E-5</v>
      </c>
      <c r="I262" s="436" t="s">
        <v>7</v>
      </c>
      <c r="J262" s="810" t="s">
        <v>37</v>
      </c>
      <c r="K262" s="267">
        <f>H262/1000*365*24*60*60</f>
        <v>0.34481408733941044</v>
      </c>
      <c r="L262" s="379" t="s">
        <v>131</v>
      </c>
      <c r="N262" s="721">
        <f>K258-N257-K267</f>
        <v>0.34481408733907176</v>
      </c>
      <c r="O262" s="85" t="s">
        <v>131</v>
      </c>
      <c r="P262" s="74" t="s">
        <v>411</v>
      </c>
      <c r="Q262" s="151"/>
      <c r="R262" s="285"/>
      <c r="S262" s="26"/>
      <c r="T262" s="811"/>
      <c r="U262" s="107"/>
      <c r="V262" s="136"/>
      <c r="W262" s="811"/>
      <c r="X262" s="602"/>
      <c r="Y262" s="830"/>
    </row>
    <row r="263" spans="1:46" x14ac:dyDescent="0.35">
      <c r="A263" s="12" t="s">
        <v>676</v>
      </c>
      <c r="B263" s="489">
        <f>IF(B254&gt;0, B259-B254, 0)</f>
        <v>2.1978877260149002E+18</v>
      </c>
      <c r="D263" s="810"/>
      <c r="E263" s="133">
        <f>B263*(1/2*1.38E-23*300)</f>
        <v>4.5496275928508436E-3</v>
      </c>
      <c r="G263" s="810"/>
      <c r="H263" s="582">
        <f>B263*3/(6.02*10^23)</f>
        <v>1.095292886718389E-5</v>
      </c>
      <c r="K263" s="267">
        <f>H263/1000*365*24*60*60</f>
        <v>0.34541156475551116</v>
      </c>
      <c r="N263" s="722">
        <f>K258-N257-K268</f>
        <v>0.345411564755502</v>
      </c>
      <c r="O263" s="19"/>
      <c r="P263" s="19"/>
      <c r="Q263" s="151"/>
      <c r="R263" s="285"/>
      <c r="S263" s="26"/>
      <c r="T263" s="811"/>
      <c r="U263" s="107"/>
      <c r="V263" s="136"/>
      <c r="W263" s="811"/>
      <c r="X263" s="602"/>
      <c r="Y263" s="830"/>
    </row>
    <row r="264" spans="1:46" x14ac:dyDescent="0.35">
      <c r="B264" s="182">
        <f>IF(B255&gt;0, B260-B255, 0)</f>
        <v>2.2560875838865756E+18</v>
      </c>
      <c r="D264" s="810"/>
      <c r="E264" s="211">
        <f>B264*(1/2*1.38E-23*300)</f>
        <v>4.6701012986452121E-3</v>
      </c>
      <c r="G264" s="810"/>
      <c r="H264" s="184">
        <f>B264*3/(6.02*10^23)</f>
        <v>1.1242961381494565E-5</v>
      </c>
      <c r="I264" s="136"/>
      <c r="J264" s="811"/>
      <c r="K264" s="267">
        <f>H264/1000*365*24*60*60</f>
        <v>0.35455803012681264</v>
      </c>
      <c r="L264" s="379"/>
      <c r="N264" s="723">
        <f>K258-N257-K269</f>
        <v>0.35455803012680331</v>
      </c>
      <c r="O264" s="19"/>
      <c r="P264" s="19"/>
      <c r="Q264" s="26"/>
      <c r="R264" s="285"/>
      <c r="S264" s="26"/>
      <c r="T264" s="811"/>
      <c r="U264" s="107"/>
      <c r="V264" s="136"/>
      <c r="W264" s="811"/>
      <c r="X264" s="602"/>
      <c r="Y264" s="830"/>
    </row>
    <row r="265" spans="1:46" x14ac:dyDescent="0.35">
      <c r="A265" s="26"/>
      <c r="B265" s="362"/>
      <c r="C265" s="26"/>
      <c r="D265" s="811"/>
      <c r="E265" s="812"/>
      <c r="F265" s="26"/>
      <c r="G265" s="811"/>
      <c r="H265" s="107"/>
      <c r="I265" s="136"/>
      <c r="J265" s="811"/>
      <c r="K265" s="286"/>
      <c r="L265" s="47"/>
      <c r="R265" s="435"/>
      <c r="S265" s="136"/>
      <c r="T265" s="26"/>
      <c r="U265" s="45"/>
      <c r="V265" s="26"/>
      <c r="W265" s="26"/>
      <c r="X265" s="26"/>
      <c r="Y265" s="26"/>
    </row>
    <row r="266" spans="1:46" x14ac:dyDescent="0.35">
      <c r="N266" s="63"/>
      <c r="R266" s="435"/>
      <c r="S266" s="136"/>
      <c r="T266" s="26"/>
      <c r="U266" s="45"/>
      <c r="V266" s="26"/>
      <c r="W266" s="26"/>
      <c r="X266" s="26"/>
      <c r="Y266" s="26"/>
    </row>
    <row r="267" spans="1:46" x14ac:dyDescent="0.35">
      <c r="A267" s="230" t="s">
        <v>781</v>
      </c>
      <c r="B267" s="68">
        <f>B281+B275</f>
        <v>1.6289827775269658E+17</v>
      </c>
      <c r="C267" s="13" t="s">
        <v>14</v>
      </c>
      <c r="D267" s="706" t="s">
        <v>37</v>
      </c>
      <c r="E267" s="68">
        <f>B267*(1/2*1.38E-23*300)</f>
        <v>3.3719943494808194E-4</v>
      </c>
      <c r="F267" s="13" t="s">
        <v>9</v>
      </c>
      <c r="G267" s="706" t="s">
        <v>37</v>
      </c>
      <c r="H267" s="77">
        <f>B267*3/(6.02*10^23)</f>
        <v>8.1178543730579701E-7</v>
      </c>
      <c r="I267" s="436" t="s">
        <v>7</v>
      </c>
      <c r="J267" s="706" t="s">
        <v>8</v>
      </c>
      <c r="K267" s="170">
        <f>H267*365*24*60*60/1000</f>
        <v>2.5600465550875615E-2</v>
      </c>
      <c r="L267" s="85" t="s">
        <v>131</v>
      </c>
      <c r="N267" s="63"/>
      <c r="R267" s="435"/>
      <c r="S267" s="136"/>
      <c r="T267" s="26"/>
      <c r="U267" s="45"/>
      <c r="V267" s="26"/>
      <c r="W267" s="26"/>
      <c r="X267" s="26"/>
      <c r="Y267" s="26"/>
    </row>
    <row r="268" spans="1:46" x14ac:dyDescent="0.35">
      <c r="A268" s="120"/>
      <c r="B268" s="489">
        <f>B282+B275</f>
        <v>1.5909647024497005E+17</v>
      </c>
      <c r="D268" s="706"/>
      <c r="E268" s="489">
        <f>B268*(1/2*1.38E-23*300)</f>
        <v>3.2932969340708799E-4</v>
      </c>
      <c r="G268" s="706"/>
      <c r="H268" s="582">
        <f>B268*3/(6.02*10^23)</f>
        <v>7.9283955271579765E-7</v>
      </c>
      <c r="I268" s="436"/>
      <c r="J268" s="706"/>
      <c r="K268" s="170">
        <f>H268*365*24*60*60/1000</f>
        <v>2.5002988134445393E-2</v>
      </c>
      <c r="L268" s="2"/>
      <c r="N268" s="63"/>
      <c r="R268" s="435"/>
      <c r="S268" s="136"/>
      <c r="T268" s="26"/>
      <c r="U268" s="45"/>
      <c r="V268" s="26"/>
      <c r="W268" s="26"/>
      <c r="X268" s="26"/>
      <c r="Y268" s="26"/>
    </row>
    <row r="269" spans="1:46" x14ac:dyDescent="0.35">
      <c r="A269" s="230"/>
      <c r="B269" s="182">
        <f>B283+B275</f>
        <v>1.0089661237329549E+17</v>
      </c>
      <c r="D269" s="706"/>
      <c r="E269" s="182">
        <f>B269*(1/2*1.38E-23*300)</f>
        <v>2.0885598761272167E-4</v>
      </c>
      <c r="G269" s="706"/>
      <c r="H269" s="184">
        <f>B269*3/(6.02*10^23)</f>
        <v>5.0280703840512706E-7</v>
      </c>
      <c r="I269" s="436"/>
      <c r="J269" s="706"/>
      <c r="K269" s="170">
        <f>H269*365*24*60*60/1000</f>
        <v>1.5856522763144087E-2</v>
      </c>
      <c r="R269" s="435"/>
      <c r="S269" s="136"/>
      <c r="T269" s="26"/>
      <c r="U269" s="45"/>
      <c r="V269" s="26"/>
      <c r="W269" s="26"/>
      <c r="X269" s="26"/>
      <c r="Y269" s="26"/>
    </row>
    <row r="270" spans="1:46" x14ac:dyDescent="0.35">
      <c r="N270" s="13"/>
      <c r="Q270" s="26"/>
      <c r="R270" s="435"/>
      <c r="S270" s="136"/>
      <c r="T270" s="26"/>
      <c r="U270" s="45"/>
      <c r="V270" s="26"/>
      <c r="W270" s="26"/>
      <c r="X270" s="831"/>
      <c r="Y270" s="159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</row>
    <row r="271" spans="1:46" x14ac:dyDescent="0.35">
      <c r="L271" s="531">
        <f>0.1%/5</f>
        <v>2.0000000000000001E-4</v>
      </c>
      <c r="M271" s="1414">
        <f>K275/0.65</f>
        <v>4.7489045242300953</v>
      </c>
      <c r="N271" s="85" t="s">
        <v>959</v>
      </c>
      <c r="Q271" s="26"/>
      <c r="R271" s="517"/>
      <c r="S271" s="308"/>
      <c r="T271" s="26"/>
      <c r="U271" s="45"/>
      <c r="V271" s="26"/>
      <c r="W271" s="26"/>
      <c r="X271" s="159"/>
      <c r="Y271" s="159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</row>
    <row r="272" spans="1:46" x14ac:dyDescent="0.35">
      <c r="B272" s="97" t="s">
        <v>366</v>
      </c>
      <c r="C272" s="344" t="s">
        <v>342</v>
      </c>
      <c r="R272" s="410"/>
      <c r="S272" s="436"/>
    </row>
    <row r="273" spans="1:46" x14ac:dyDescent="0.35">
      <c r="A273" s="1" t="s">
        <v>336</v>
      </c>
      <c r="B273" s="700"/>
      <c r="K273" s="410"/>
      <c r="L273" s="199"/>
      <c r="R273" s="410"/>
      <c r="S273" s="436"/>
    </row>
    <row r="274" spans="1:46" x14ac:dyDescent="0.35">
      <c r="A274" s="120" t="s">
        <v>134</v>
      </c>
      <c r="B274" s="68">
        <f>B275*365*24*60*60</f>
        <v>3.7164926806624722E+23</v>
      </c>
      <c r="C274" s="13" t="s">
        <v>147</v>
      </c>
      <c r="D274" s="700" t="s">
        <v>37</v>
      </c>
      <c r="E274" s="68">
        <f>B274*(1/2*1.38E-23*300)</f>
        <v>769.31398489713183</v>
      </c>
      <c r="F274" s="13" t="s">
        <v>148</v>
      </c>
      <c r="G274" s="700" t="s">
        <v>37</v>
      </c>
      <c r="H274" s="266">
        <f>B274*3/(6.02*10^23)</f>
        <v>1.8520727644497372</v>
      </c>
      <c r="I274" s="199" t="s">
        <v>149</v>
      </c>
      <c r="J274" s="700" t="s">
        <v>8</v>
      </c>
      <c r="K274" s="170">
        <f>H274/1000</f>
        <v>1.8520727644497372E-3</v>
      </c>
      <c r="L274" s="2" t="s">
        <v>75</v>
      </c>
      <c r="M274" s="1" t="s">
        <v>339</v>
      </c>
      <c r="R274" s="410"/>
      <c r="S274" s="436"/>
    </row>
    <row r="275" spans="1:46" x14ac:dyDescent="0.35">
      <c r="A275" s="120" t="s">
        <v>73</v>
      </c>
      <c r="B275" s="68">
        <f>B9*0.1%</f>
        <v>1.1784920981299064E+16</v>
      </c>
      <c r="C275" s="13" t="s">
        <v>14</v>
      </c>
      <c r="D275" s="700" t="s">
        <v>37</v>
      </c>
      <c r="E275" s="68">
        <f>B275*(1/2*1.38E-23*300)</f>
        <v>2.4394786431289062E-5</v>
      </c>
      <c r="F275" s="13" t="s">
        <v>9</v>
      </c>
      <c r="G275" s="700" t="s">
        <v>37</v>
      </c>
      <c r="H275" s="77">
        <f>B275*3/(6.02*10^23)</f>
        <v>5.8728842099497002E-8</v>
      </c>
      <c r="I275" s="36" t="s">
        <v>7</v>
      </c>
      <c r="J275" s="25"/>
      <c r="K275" s="1415">
        <f>H274+'баланс дейтерий'!H274</f>
        <v>3.086787940749562</v>
      </c>
      <c r="L275" s="52" t="s">
        <v>149</v>
      </c>
      <c r="M275" s="1" t="s">
        <v>651</v>
      </c>
      <c r="R275" s="410"/>
      <c r="S275" s="436"/>
    </row>
    <row r="276" spans="1:46" x14ac:dyDescent="0.35">
      <c r="A276" s="376" t="s">
        <v>337</v>
      </c>
      <c r="B276" s="69"/>
      <c r="C276" s="19"/>
      <c r="D276" s="406"/>
      <c r="E276" s="69"/>
      <c r="F276" s="19"/>
      <c r="G276" s="406"/>
      <c r="H276" s="107"/>
      <c r="I276" s="36"/>
      <c r="J276" s="25"/>
      <c r="K276" s="296" t="s">
        <v>958</v>
      </c>
      <c r="L276" s="25"/>
      <c r="R276" s="410"/>
      <c r="S276" s="436"/>
    </row>
    <row r="277" spans="1:46" x14ac:dyDescent="0.35">
      <c r="A277" s="120" t="s">
        <v>338</v>
      </c>
      <c r="B277" s="73">
        <f>B340</f>
        <v>1.14372259659427E+26</v>
      </c>
      <c r="C277" s="60" t="s">
        <v>29</v>
      </c>
      <c r="D277" s="700" t="s">
        <v>37</v>
      </c>
      <c r="E277" s="243">
        <f>B277/(2.6*10^20)</f>
        <v>439893.30638241151</v>
      </c>
      <c r="F277" s="59" t="s">
        <v>28</v>
      </c>
      <c r="G277" s="700" t="s">
        <v>37</v>
      </c>
      <c r="H277" s="244">
        <f>B277*3/(6.02*10^23)</f>
        <v>569.96142687422093</v>
      </c>
      <c r="I277" s="3" t="s">
        <v>2</v>
      </c>
      <c r="J277" s="43" t="s">
        <v>8</v>
      </c>
      <c r="K277" s="170">
        <f>H277/1000</f>
        <v>0.56996142687422091</v>
      </c>
      <c r="L277" s="2" t="s">
        <v>47</v>
      </c>
      <c r="N277" s="17"/>
      <c r="P277" s="34"/>
      <c r="R277" s="13"/>
      <c r="S277" s="13"/>
    </row>
    <row r="278" spans="1:46" x14ac:dyDescent="0.35">
      <c r="A278" s="120"/>
      <c r="B278" s="585">
        <f>B341</f>
        <v>1.1149480842189907E+26</v>
      </c>
      <c r="C278" s="60"/>
      <c r="D278" s="700"/>
      <c r="E278" s="588">
        <f>B278/(2.6*10^20)</f>
        <v>428826.18623807334</v>
      </c>
      <c r="F278" s="59"/>
      <c r="G278" s="700"/>
      <c r="H278" s="590">
        <f>B278*3/(6.02*10^23)</f>
        <v>555.62196887989569</v>
      </c>
      <c r="I278" s="3"/>
      <c r="J278" s="43"/>
      <c r="K278" s="170">
        <f>H278/1000</f>
        <v>0.55562196887989568</v>
      </c>
      <c r="L278" s="2"/>
      <c r="M278" s="74"/>
      <c r="N278" s="13"/>
      <c r="P278" s="34"/>
      <c r="R278" s="13"/>
      <c r="S278" s="13"/>
    </row>
    <row r="279" spans="1:46" x14ac:dyDescent="0.35">
      <c r="A279" s="120"/>
      <c r="B279" s="190">
        <f>B342</f>
        <v>6.7445431193711993E+25</v>
      </c>
      <c r="C279" s="60"/>
      <c r="D279" s="700"/>
      <c r="E279" s="190">
        <f>B279*(1/2*1.38E-23*300)</f>
        <v>139612.04257098385</v>
      </c>
      <c r="G279" s="700"/>
      <c r="H279" s="245">
        <f>B279*3/(6.02*10^23)</f>
        <v>336.10679996866446</v>
      </c>
      <c r="I279" s="436"/>
      <c r="J279" s="43"/>
      <c r="K279" s="170">
        <f>H279/1000</f>
        <v>0.33610679996866444</v>
      </c>
      <c r="L279" s="2"/>
      <c r="N279" s="13"/>
      <c r="P279" s="34"/>
      <c r="R279" s="13"/>
      <c r="S279" s="13"/>
    </row>
    <row r="280" spans="1:46" x14ac:dyDescent="0.35">
      <c r="A280" s="246" t="s">
        <v>340</v>
      </c>
      <c r="B280" s="107"/>
      <c r="C280" s="126"/>
      <c r="D280" s="406"/>
      <c r="E280" s="110"/>
      <c r="F280" s="19"/>
      <c r="G280" s="406"/>
      <c r="H280" s="599"/>
      <c r="I280" s="22"/>
      <c r="J280" s="43"/>
      <c r="K280" s="702"/>
      <c r="L280" s="80"/>
      <c r="N280" s="13"/>
      <c r="P280" s="34"/>
      <c r="R280" s="13"/>
      <c r="S280" s="13"/>
    </row>
    <row r="281" spans="1:46" x14ac:dyDescent="0.35">
      <c r="A281" s="11" t="s">
        <v>341</v>
      </c>
      <c r="B281" s="73">
        <f>B277*0.5/(12*365*24*60*60)</f>
        <v>1.511133567713975E+17</v>
      </c>
      <c r="C281" s="13" t="s">
        <v>14</v>
      </c>
      <c r="D281" s="700" t="s">
        <v>37</v>
      </c>
      <c r="E281" s="73">
        <f>B281*(1/2*1.38E-23*300)</f>
        <v>3.1280464851679286E-4</v>
      </c>
      <c r="F281" s="13" t="s">
        <v>9</v>
      </c>
      <c r="G281" s="700" t="s">
        <v>37</v>
      </c>
      <c r="H281" s="77">
        <f>B281*3/(6.02*10^23)</f>
        <v>7.5305659520629999E-7</v>
      </c>
      <c r="I281" s="436" t="s">
        <v>7</v>
      </c>
      <c r="J281" s="700" t="s">
        <v>8</v>
      </c>
      <c r="K281" s="170">
        <f>H281*365*24*60*60/1000</f>
        <v>2.3748392786425876E-2</v>
      </c>
      <c r="L281" s="2" t="s">
        <v>75</v>
      </c>
      <c r="N281" s="13"/>
      <c r="P281" s="34"/>
      <c r="R281" s="13"/>
      <c r="S281" s="13"/>
    </row>
    <row r="282" spans="1:46" x14ac:dyDescent="0.35">
      <c r="A282" s="168" t="s">
        <v>146</v>
      </c>
      <c r="B282" s="585">
        <f>B278*0.5/(12*365*24*60*60)</f>
        <v>1.4731154926367098E+17</v>
      </c>
      <c r="D282" s="700"/>
      <c r="E282" s="585">
        <f>B282*(1/2*1.38E-23*300)</f>
        <v>3.0493490697579891E-4</v>
      </c>
      <c r="G282" s="700"/>
      <c r="H282" s="582">
        <f>B282*3/(6.02*10^23)</f>
        <v>7.3411071061630062E-7</v>
      </c>
      <c r="I282" s="436"/>
      <c r="J282" s="700"/>
      <c r="K282" s="170">
        <f>H282*365*24*60*60/1000</f>
        <v>2.315091536999566E-2</v>
      </c>
      <c r="L282" s="2"/>
      <c r="N282" s="13"/>
      <c r="P282" s="34"/>
      <c r="R282" s="13"/>
      <c r="S282" s="13"/>
    </row>
    <row r="283" spans="1:46" x14ac:dyDescent="0.35">
      <c r="A283" s="168" t="s">
        <v>145</v>
      </c>
      <c r="B283" s="190">
        <f>B279*0.5/(12*365*24*60*60)</f>
        <v>8.9111691391996432E+16</v>
      </c>
      <c r="D283" s="700"/>
      <c r="E283" s="182">
        <f>B283*(1/2*1.38E-23*300)</f>
        <v>1.8446120118143262E-4</v>
      </c>
      <c r="G283" s="700"/>
      <c r="H283" s="184">
        <f>B283*3/(6.02*10^23)</f>
        <v>4.4407819630563014E-7</v>
      </c>
      <c r="I283" s="436"/>
      <c r="J283" s="700"/>
      <c r="K283" s="170">
        <f>H283*365*24*60*60/1000</f>
        <v>1.4004449998694352E-2</v>
      </c>
      <c r="L283" s="2"/>
      <c r="M283" s="25" t="s">
        <v>650</v>
      </c>
      <c r="N283" s="13"/>
      <c r="O283" s="1111"/>
      <c r="P283" s="34"/>
      <c r="R283" s="13"/>
      <c r="S283" s="13"/>
    </row>
    <row r="284" spans="1:46" x14ac:dyDescent="0.35">
      <c r="B284" s="707"/>
      <c r="N284" s="410"/>
      <c r="O284" s="1111"/>
      <c r="P284" s="34"/>
      <c r="R284" s="13"/>
      <c r="S284" s="13"/>
    </row>
    <row r="285" spans="1:46" x14ac:dyDescent="0.35">
      <c r="A285" s="28"/>
      <c r="B285" s="35"/>
      <c r="C285" s="26"/>
      <c r="D285" s="26"/>
      <c r="E285" s="44"/>
      <c r="F285" s="26"/>
      <c r="G285" s="26"/>
      <c r="H285" s="147"/>
      <c r="I285" s="26"/>
      <c r="J285" s="26"/>
      <c r="K285" s="344"/>
      <c r="L285" s="344"/>
      <c r="R285" s="3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</row>
    <row r="286" spans="1:46" x14ac:dyDescent="0.35">
      <c r="E286" s="105"/>
      <c r="O286" s="42"/>
      <c r="R286" s="522"/>
      <c r="S286" s="59"/>
      <c r="T286" s="81"/>
      <c r="U286" s="69"/>
      <c r="V286" s="523"/>
      <c r="W286" s="282"/>
      <c r="X286" s="107"/>
      <c r="Y286" s="3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</row>
    <row r="287" spans="1:46" x14ac:dyDescent="0.35">
      <c r="A287" s="95" t="s">
        <v>361</v>
      </c>
      <c r="B287" s="27"/>
      <c r="C287" s="27"/>
      <c r="D287" s="28"/>
      <c r="E287" s="44"/>
      <c r="O287" s="42"/>
      <c r="R287" s="522"/>
      <c r="S287" s="59"/>
      <c r="T287" s="81"/>
      <c r="U287" s="69"/>
      <c r="V287" s="523"/>
      <c r="W287" s="282"/>
      <c r="X287" s="107"/>
      <c r="Y287" s="3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</row>
    <row r="288" spans="1:46" x14ac:dyDescent="0.35">
      <c r="A288" s="29" t="s">
        <v>678</v>
      </c>
      <c r="B288" s="109">
        <f>B61*B41</f>
        <v>2.3122294685990335E+22</v>
      </c>
      <c r="C288" s="13" t="s">
        <v>14</v>
      </c>
      <c r="D288" s="18" t="s">
        <v>37</v>
      </c>
      <c r="E288" s="55">
        <f t="shared" ref="E288:E299" si="10">B288*(1/2*1.38E-23*300)</f>
        <v>47.863149999999997</v>
      </c>
      <c r="F288" s="13" t="s">
        <v>9</v>
      </c>
      <c r="G288" s="18" t="s">
        <v>37</v>
      </c>
      <c r="H288" s="77">
        <f t="shared" ref="H288:H299" si="11">B288*3/(6.02*10^23)</f>
        <v>0.11522738215609804</v>
      </c>
      <c r="I288" s="36" t="s">
        <v>7</v>
      </c>
      <c r="J288" s="18" t="s">
        <v>37</v>
      </c>
      <c r="K288" s="100">
        <f t="shared" ref="K288:K299" si="12">H288</f>
        <v>0.11522738215609804</v>
      </c>
      <c r="L288" s="178" t="s">
        <v>7</v>
      </c>
      <c r="M288" s="94"/>
      <c r="N288" s="25"/>
      <c r="O288" s="42"/>
      <c r="R288" s="27"/>
      <c r="S288" s="136"/>
      <c r="T288" s="26"/>
      <c r="U288" s="45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</row>
    <row r="289" spans="1:46" x14ac:dyDescent="0.35">
      <c r="A289" s="29"/>
      <c r="B289" s="606">
        <f>B62*B41</f>
        <v>2.3122294685990335E+22</v>
      </c>
      <c r="D289" s="567"/>
      <c r="E289" s="133">
        <f t="shared" si="10"/>
        <v>47.863149999999997</v>
      </c>
      <c r="F289" s="13" t="s">
        <v>9</v>
      </c>
      <c r="G289" s="567" t="s">
        <v>37</v>
      </c>
      <c r="H289" s="582">
        <f>B289*3/(6.02*10^23)</f>
        <v>0.11522738215609804</v>
      </c>
      <c r="I289" s="36" t="s">
        <v>7</v>
      </c>
      <c r="J289" s="567" t="s">
        <v>37</v>
      </c>
      <c r="K289" s="560">
        <f>H289</f>
        <v>0.11522738215609804</v>
      </c>
      <c r="L289" s="379"/>
      <c r="M289" s="94"/>
      <c r="N289" s="25"/>
      <c r="O289" s="42"/>
      <c r="R289" s="27"/>
      <c r="S289" s="136"/>
      <c r="T289" s="26"/>
      <c r="U289" s="45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</row>
    <row r="290" spans="1:46" x14ac:dyDescent="0.35">
      <c r="B290" s="209">
        <f>B63*B41</f>
        <v>1.4222222222222225E+20</v>
      </c>
      <c r="C290" s="112" t="s">
        <v>14</v>
      </c>
      <c r="D290" s="124" t="s">
        <v>37</v>
      </c>
      <c r="E290" s="431">
        <f t="shared" si="10"/>
        <v>0.29440000000000005</v>
      </c>
      <c r="F290" s="112" t="s">
        <v>9</v>
      </c>
      <c r="G290" s="124" t="s">
        <v>37</v>
      </c>
      <c r="H290" s="184">
        <f t="shared" si="11"/>
        <v>7.0874861572536017E-4</v>
      </c>
      <c r="I290" s="289" t="s">
        <v>7</v>
      </c>
      <c r="J290" s="18" t="s">
        <v>37</v>
      </c>
      <c r="K290" s="100">
        <f t="shared" si="12"/>
        <v>7.0874861572536017E-4</v>
      </c>
      <c r="L290" s="178"/>
      <c r="M290" s="94"/>
      <c r="N290" s="25"/>
      <c r="O290" s="42"/>
      <c r="R290" s="522"/>
      <c r="S290" s="59"/>
      <c r="T290" s="81"/>
      <c r="U290" s="69"/>
      <c r="V290" s="523"/>
      <c r="W290" s="282"/>
      <c r="X290" s="519"/>
      <c r="Y290" s="3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</row>
    <row r="291" spans="1:46" x14ac:dyDescent="0.35">
      <c r="A291" s="29" t="s">
        <v>679</v>
      </c>
      <c r="B291" s="68">
        <f>B98</f>
        <v>7.7444023696546962E+21</v>
      </c>
      <c r="C291" s="13" t="s">
        <v>14</v>
      </c>
      <c r="D291" s="18" t="s">
        <v>37</v>
      </c>
      <c r="E291" s="55">
        <f t="shared" si="10"/>
        <v>16.030912905185222</v>
      </c>
      <c r="F291" s="13" t="s">
        <v>9</v>
      </c>
      <c r="G291" s="18" t="s">
        <v>37</v>
      </c>
      <c r="H291" s="77">
        <f t="shared" si="11"/>
        <v>3.8593367290638024E-2</v>
      </c>
      <c r="I291" s="36" t="s">
        <v>7</v>
      </c>
      <c r="J291" s="18" t="s">
        <v>37</v>
      </c>
      <c r="K291" s="100">
        <f t="shared" si="12"/>
        <v>3.8593367290638024E-2</v>
      </c>
      <c r="L291" s="178" t="s">
        <v>7</v>
      </c>
      <c r="M291" s="94"/>
      <c r="N291" s="25"/>
      <c r="R291" s="522"/>
      <c r="S291" s="59"/>
      <c r="T291" s="81"/>
      <c r="U291" s="69"/>
      <c r="V291" s="523"/>
      <c r="W291" s="282"/>
      <c r="X291" s="519"/>
      <c r="Y291" s="3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</row>
    <row r="292" spans="1:46" x14ac:dyDescent="0.35">
      <c r="A292" s="29"/>
      <c r="B292" s="489">
        <f>B99</f>
        <v>7.7444023696546962E+21</v>
      </c>
      <c r="D292" s="567"/>
      <c r="E292" s="133">
        <f t="shared" si="10"/>
        <v>16.030912905185222</v>
      </c>
      <c r="G292" s="567"/>
      <c r="H292" s="582">
        <f>B292*3/(6.02*10^23)</f>
        <v>3.8593367290638024E-2</v>
      </c>
      <c r="I292" s="36"/>
      <c r="J292" s="567"/>
      <c r="K292" s="100">
        <f>H292</f>
        <v>3.8593367290638024E-2</v>
      </c>
      <c r="L292" s="379"/>
      <c r="M292" s="94"/>
      <c r="N292" s="25"/>
      <c r="R292" s="522"/>
      <c r="S292" s="59"/>
      <c r="T292" s="81"/>
      <c r="U292" s="69"/>
      <c r="V292" s="523"/>
      <c r="W292" s="282"/>
      <c r="X292" s="519"/>
      <c r="Y292" s="3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</row>
    <row r="293" spans="1:46" x14ac:dyDescent="0.35">
      <c r="B293" s="182">
        <f>B100</f>
        <v>8.1095179371166428E+21</v>
      </c>
      <c r="C293" s="216"/>
      <c r="D293" s="217"/>
      <c r="E293" s="211">
        <f t="shared" si="10"/>
        <v>16.78670212983145</v>
      </c>
      <c r="F293" s="216"/>
      <c r="G293" s="217"/>
      <c r="H293" s="184">
        <f t="shared" si="11"/>
        <v>4.0412880085298891E-2</v>
      </c>
      <c r="I293" s="289"/>
      <c r="J293" s="18"/>
      <c r="K293" s="100">
        <f t="shared" si="12"/>
        <v>4.0412880085298891E-2</v>
      </c>
      <c r="L293" s="178"/>
      <c r="M293" s="94"/>
      <c r="N293" s="25"/>
      <c r="R293" s="27"/>
      <c r="S293" s="136"/>
      <c r="T293" s="26"/>
      <c r="U293" s="45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</row>
    <row r="294" spans="1:46" x14ac:dyDescent="0.35">
      <c r="A294" s="29" t="s">
        <v>680</v>
      </c>
      <c r="B294" s="68">
        <f>B117</f>
        <v>6.5518028411816756E+21</v>
      </c>
      <c r="C294" s="13" t="s">
        <v>14</v>
      </c>
      <c r="D294" s="18" t="s">
        <v>37</v>
      </c>
      <c r="E294" s="55">
        <f t="shared" si="10"/>
        <v>13.562231881246069</v>
      </c>
      <c r="F294" s="13" t="s">
        <v>9</v>
      </c>
      <c r="G294" s="18" t="s">
        <v>37</v>
      </c>
      <c r="H294" s="77">
        <f t="shared" si="11"/>
        <v>3.2650180271669486E-2</v>
      </c>
      <c r="I294" s="36" t="s">
        <v>7</v>
      </c>
      <c r="J294" s="18" t="s">
        <v>37</v>
      </c>
      <c r="K294" s="100">
        <f t="shared" si="12"/>
        <v>3.2650180271669486E-2</v>
      </c>
      <c r="L294" s="178" t="s">
        <v>7</v>
      </c>
      <c r="M294" s="94"/>
      <c r="N294" s="25"/>
      <c r="R294" s="27"/>
      <c r="S294" s="136"/>
      <c r="T294" s="26"/>
      <c r="U294" s="45"/>
      <c r="V294" s="95"/>
      <c r="W294" s="35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</row>
    <row r="295" spans="1:46" x14ac:dyDescent="0.35">
      <c r="A295" s="29"/>
      <c r="B295" s="489">
        <f>B118</f>
        <v>6.5518028411816756E+21</v>
      </c>
      <c r="D295" s="567"/>
      <c r="E295" s="133">
        <f t="shared" si="10"/>
        <v>13.562231881246069</v>
      </c>
      <c r="G295" s="567"/>
      <c r="H295" s="582">
        <f>B295*3/(6.02*10^23)</f>
        <v>3.2650180271669486E-2</v>
      </c>
      <c r="I295" s="36"/>
      <c r="J295" s="567"/>
      <c r="K295" s="100">
        <f>H295</f>
        <v>3.2650180271669486E-2</v>
      </c>
      <c r="L295" s="379"/>
      <c r="M295" s="94"/>
      <c r="N295" s="25"/>
      <c r="R295" s="27"/>
      <c r="S295" s="136"/>
      <c r="T295" s="26"/>
      <c r="U295" s="45"/>
      <c r="V295" s="95"/>
      <c r="W295" s="35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</row>
    <row r="296" spans="1:46" x14ac:dyDescent="0.35">
      <c r="B296" s="182">
        <f>B119</f>
        <v>6.3950206070530622E+21</v>
      </c>
      <c r="D296" s="18"/>
      <c r="E296" s="211">
        <f t="shared" si="10"/>
        <v>13.23769265659984</v>
      </c>
      <c r="G296" s="18"/>
      <c r="H296" s="184">
        <f t="shared" si="11"/>
        <v>3.1868873457075064E-2</v>
      </c>
      <c r="I296" s="289"/>
      <c r="J296" s="18"/>
      <c r="K296" s="100">
        <f t="shared" si="12"/>
        <v>3.1868873457075064E-2</v>
      </c>
      <c r="L296" s="178"/>
      <c r="M296" s="94"/>
      <c r="N296" s="25"/>
      <c r="R296" s="27"/>
      <c r="S296" s="136"/>
      <c r="T296" s="26"/>
      <c r="U296" s="45"/>
      <c r="V296" s="95"/>
      <c r="W296" s="35"/>
      <c r="X296" s="26"/>
      <c r="Y296" s="35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</row>
    <row r="297" spans="1:46" x14ac:dyDescent="0.35">
      <c r="A297" s="218" t="s">
        <v>681</v>
      </c>
      <c r="B297" s="68">
        <f>B154</f>
        <v>1.4492753623188406E+22</v>
      </c>
      <c r="C297" s="13" t="s">
        <v>14</v>
      </c>
      <c r="D297" s="18" t="s">
        <v>37</v>
      </c>
      <c r="E297" s="55">
        <f t="shared" si="10"/>
        <v>30.000000000000004</v>
      </c>
      <c r="F297" s="13" t="s">
        <v>9</v>
      </c>
      <c r="G297" s="18" t="s">
        <v>37</v>
      </c>
      <c r="H297" s="77">
        <f t="shared" si="11"/>
        <v>7.222302470027446E-2</v>
      </c>
      <c r="I297" s="289" t="s">
        <v>7</v>
      </c>
      <c r="J297" s="18" t="s">
        <v>37</v>
      </c>
      <c r="K297" s="100">
        <f t="shared" si="12"/>
        <v>7.222302470027446E-2</v>
      </c>
      <c r="L297" s="178" t="s">
        <v>7</v>
      </c>
      <c r="M297" s="85"/>
      <c r="N297" s="25"/>
      <c r="R297" s="27"/>
      <c r="S297" s="136"/>
      <c r="T297" s="26"/>
      <c r="U297" s="45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</row>
    <row r="298" spans="1:46" x14ac:dyDescent="0.35">
      <c r="B298" s="489">
        <f>B155</f>
        <v>1.4492753623188406E+22</v>
      </c>
      <c r="D298" s="567"/>
      <c r="E298" s="133">
        <f t="shared" si="10"/>
        <v>30.000000000000004</v>
      </c>
      <c r="G298" s="567"/>
      <c r="H298" s="582">
        <f>B298*3/(6.02*10^23)</f>
        <v>7.222302470027446E-2</v>
      </c>
      <c r="I298" s="436"/>
      <c r="J298" s="567"/>
      <c r="K298" s="100">
        <f>H298</f>
        <v>7.222302470027446E-2</v>
      </c>
      <c r="L298" s="379"/>
      <c r="M298" s="94"/>
      <c r="N298" s="25"/>
      <c r="R298" s="27"/>
      <c r="S298" s="136"/>
      <c r="T298" s="26"/>
      <c r="U298" s="45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</row>
    <row r="299" spans="1:46" x14ac:dyDescent="0.35">
      <c r="A299" s="295" t="s">
        <v>434</v>
      </c>
      <c r="B299" s="182">
        <f>B156</f>
        <v>1.4492753623188406E+22</v>
      </c>
      <c r="D299" s="18"/>
      <c r="E299" s="211">
        <f t="shared" si="10"/>
        <v>30.000000000000004</v>
      </c>
      <c r="G299" s="18"/>
      <c r="H299" s="184">
        <f t="shared" si="11"/>
        <v>7.222302470027446E-2</v>
      </c>
      <c r="I299" s="289"/>
      <c r="J299" s="18"/>
      <c r="K299" s="100">
        <f t="shared" si="12"/>
        <v>7.222302470027446E-2</v>
      </c>
      <c r="L299" s="178"/>
      <c r="M299" s="94"/>
      <c r="N299" s="25"/>
      <c r="Q299" s="47"/>
      <c r="R299" s="27"/>
      <c r="S299" s="136"/>
      <c r="T299" s="26"/>
      <c r="U299" s="45"/>
      <c r="V299" s="95"/>
      <c r="W299" s="35"/>
      <c r="X299" s="26"/>
      <c r="Y299" s="35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</row>
    <row r="300" spans="1:46" x14ac:dyDescent="0.35">
      <c r="A300" s="29"/>
      <c r="B300" s="69"/>
      <c r="C300" s="26"/>
      <c r="D300" s="840"/>
      <c r="E300" s="841"/>
      <c r="F300" s="26"/>
      <c r="G300" s="840"/>
      <c r="H300" s="107"/>
      <c r="I300" s="116"/>
      <c r="J300" s="840"/>
      <c r="K300" s="371"/>
      <c r="L300" s="178"/>
      <c r="M300" s="85"/>
      <c r="N300" s="25"/>
      <c r="O300" s="18"/>
      <c r="R300" s="27"/>
      <c r="S300" s="136"/>
      <c r="T300" s="26"/>
      <c r="U300" s="45"/>
      <c r="V300" s="95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</row>
    <row r="301" spans="1:46" x14ac:dyDescent="0.35">
      <c r="A301" s="29" t="s">
        <v>682</v>
      </c>
      <c r="B301" s="68">
        <f>B161</f>
        <v>1.1451913478931967E+22</v>
      </c>
      <c r="C301" s="13" t="s">
        <v>14</v>
      </c>
      <c r="D301" s="18" t="s">
        <v>37</v>
      </c>
      <c r="E301" s="55">
        <f>B301*(1/2*1.38E-23*300)</f>
        <v>23.705460901389174</v>
      </c>
      <c r="F301" s="13" t="s">
        <v>9</v>
      </c>
      <c r="G301" s="18" t="s">
        <v>37</v>
      </c>
      <c r="H301" s="77">
        <f t="shared" ref="H301:H306" si="13">B301*3/(6.02*10^23)</f>
        <v>5.7069336273747349E-2</v>
      </c>
      <c r="I301" s="36" t="s">
        <v>7</v>
      </c>
      <c r="J301" s="18" t="s">
        <v>37</v>
      </c>
      <c r="K301" s="100">
        <f t="shared" ref="K301:K306" si="14">H301</f>
        <v>5.7069336273747349E-2</v>
      </c>
      <c r="L301" s="178" t="s">
        <v>7</v>
      </c>
      <c r="M301" s="85"/>
      <c r="N301" s="25"/>
      <c r="O301" s="567"/>
      <c r="R301" s="27"/>
      <c r="S301" s="136"/>
      <c r="T301" s="26"/>
      <c r="U301" s="45"/>
      <c r="V301" s="95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</row>
    <row r="302" spans="1:46" x14ac:dyDescent="0.35">
      <c r="A302" s="29"/>
      <c r="B302" s="489">
        <f>B162</f>
        <v>1.1451913478931967E+22</v>
      </c>
      <c r="D302" s="567"/>
      <c r="E302" s="133">
        <f>B302*(1/2*1.38E-23*300)</f>
        <v>23.705460901389174</v>
      </c>
      <c r="G302" s="567"/>
      <c r="H302" s="582">
        <f t="shared" si="13"/>
        <v>5.7069336273747349E-2</v>
      </c>
      <c r="I302" s="36"/>
      <c r="J302" s="567"/>
      <c r="K302" s="100">
        <f t="shared" si="14"/>
        <v>5.7069336273747349E-2</v>
      </c>
      <c r="L302" s="379"/>
      <c r="M302" s="94"/>
      <c r="N302" s="25"/>
      <c r="R302" s="27"/>
      <c r="S302" s="136"/>
      <c r="T302" s="26"/>
      <c r="U302" s="45"/>
      <c r="V302" s="95"/>
      <c r="W302" s="26"/>
      <c r="X302" s="26"/>
      <c r="Y302" s="35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</row>
    <row r="303" spans="1:46" x14ac:dyDescent="0.35">
      <c r="B303" s="182">
        <f>B163</f>
        <v>1.1451913478931967E+22</v>
      </c>
      <c r="D303" s="18"/>
      <c r="E303" s="211">
        <f>B303*(1/2*1.38E-23*300)</f>
        <v>23.705460901389174</v>
      </c>
      <c r="G303" s="18"/>
      <c r="H303" s="184">
        <f t="shared" si="13"/>
        <v>5.7069336273747349E-2</v>
      </c>
      <c r="I303" s="289"/>
      <c r="J303" s="18"/>
      <c r="K303" s="100">
        <f t="shared" si="14"/>
        <v>5.7069336273747349E-2</v>
      </c>
      <c r="L303" s="178"/>
      <c r="M303" s="94"/>
      <c r="N303" s="25"/>
      <c r="R303" s="27"/>
      <c r="S303" s="136"/>
      <c r="T303" s="26"/>
      <c r="U303" s="45"/>
      <c r="V303" s="95"/>
      <c r="W303" s="26"/>
      <c r="X303" s="26"/>
      <c r="Y303" s="35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</row>
    <row r="304" spans="1:46" x14ac:dyDescent="0.35">
      <c r="A304" s="246" t="s">
        <v>683</v>
      </c>
      <c r="B304" s="68">
        <f>B167</f>
        <v>2.8985507246376815E+21</v>
      </c>
      <c r="D304" s="839"/>
      <c r="E304" s="667">
        <f>B304*(1/2*1.38E-23*600)</f>
        <v>12.000000000000002</v>
      </c>
      <c r="G304" s="839"/>
      <c r="H304" s="858">
        <f t="shared" si="13"/>
        <v>1.4444604940054891E-2</v>
      </c>
      <c r="I304" s="36"/>
      <c r="J304" s="839"/>
      <c r="K304" s="101">
        <f t="shared" si="14"/>
        <v>1.4444604940054891E-2</v>
      </c>
      <c r="L304" s="379"/>
      <c r="M304" s="85" t="s">
        <v>901</v>
      </c>
      <c r="N304" s="25"/>
      <c r="R304" s="28"/>
      <c r="S304" s="136"/>
      <c r="T304" s="26"/>
      <c r="U304" s="45"/>
      <c r="V304" s="95"/>
      <c r="W304" s="35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</row>
    <row r="305" spans="1:46" x14ac:dyDescent="0.35">
      <c r="B305" s="489">
        <f>B168</f>
        <v>2.8985507246376815E+21</v>
      </c>
      <c r="D305" s="839"/>
      <c r="E305" s="133">
        <f>B305*(1/2*1.38E-23*600)</f>
        <v>12.000000000000002</v>
      </c>
      <c r="G305" s="839"/>
      <c r="H305" s="582">
        <f t="shared" si="13"/>
        <v>1.4444604940054891E-2</v>
      </c>
      <c r="I305" s="36"/>
      <c r="J305" s="839"/>
      <c r="K305" s="101">
        <f t="shared" si="14"/>
        <v>1.4444604940054891E-2</v>
      </c>
      <c r="L305" s="379"/>
      <c r="M305" s="94"/>
      <c r="N305" s="25"/>
      <c r="R305" s="28"/>
      <c r="S305" s="136"/>
      <c r="T305" s="26"/>
      <c r="U305" s="45"/>
      <c r="V305" s="95"/>
      <c r="W305" s="840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</row>
    <row r="306" spans="1:46" x14ac:dyDescent="0.35">
      <c r="B306" s="182">
        <f>B169</f>
        <v>2.8985507246376815E+21</v>
      </c>
      <c r="D306" s="839"/>
      <c r="E306" s="211">
        <f>B306*(1/2*1.38E-23*600)</f>
        <v>12.000000000000002</v>
      </c>
      <c r="G306" s="839"/>
      <c r="H306" s="184">
        <f t="shared" si="13"/>
        <v>1.4444604940054891E-2</v>
      </c>
      <c r="I306" s="436"/>
      <c r="J306" s="839"/>
      <c r="K306" s="101">
        <f t="shared" si="14"/>
        <v>1.4444604940054891E-2</v>
      </c>
      <c r="L306" s="379"/>
      <c r="M306" s="94"/>
      <c r="N306" s="25"/>
      <c r="R306" s="28"/>
      <c r="S306" s="136"/>
      <c r="T306" s="26"/>
      <c r="U306" s="45"/>
      <c r="V306" s="95"/>
      <c r="W306" s="840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</row>
    <row r="307" spans="1:46" x14ac:dyDescent="0.35">
      <c r="A307" s="29" t="s">
        <v>684</v>
      </c>
      <c r="B307" s="68">
        <f>B174</f>
        <v>3.7472826086956521E+22</v>
      </c>
      <c r="C307" s="13" t="s">
        <v>14</v>
      </c>
      <c r="D307" s="18" t="s">
        <v>37</v>
      </c>
      <c r="E307" s="55">
        <f t="shared" ref="E307:E318" si="15">B307*(1/2*1.38E-23*300)</f>
        <v>77.568750000000009</v>
      </c>
      <c r="F307" s="13" t="s">
        <v>9</v>
      </c>
      <c r="G307" s="18" t="s">
        <v>37</v>
      </c>
      <c r="H307" s="77">
        <f t="shared" ref="H307:H312" si="16">B307*3/(6.02*10^23)</f>
        <v>0.18674165824064715</v>
      </c>
      <c r="I307" s="36" t="s">
        <v>7</v>
      </c>
      <c r="J307" s="18" t="s">
        <v>37</v>
      </c>
      <c r="K307" s="100">
        <f t="shared" ref="K307:K318" si="17">H307</f>
        <v>0.18674165824064715</v>
      </c>
      <c r="L307" s="178" t="s">
        <v>7</v>
      </c>
      <c r="M307" s="94"/>
      <c r="N307" s="25"/>
      <c r="R307" s="28"/>
      <c r="S307" s="136"/>
      <c r="T307" s="26"/>
      <c r="U307" s="45"/>
      <c r="V307" s="95"/>
      <c r="W307" s="840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</row>
    <row r="308" spans="1:46" x14ac:dyDescent="0.35">
      <c r="A308" s="29"/>
      <c r="B308" s="489">
        <f>B175</f>
        <v>1.4350531400966183E+22</v>
      </c>
      <c r="D308" s="567"/>
      <c r="E308" s="133">
        <f t="shared" si="15"/>
        <v>29.7056</v>
      </c>
      <c r="G308" s="567"/>
      <c r="H308" s="582">
        <f t="shared" si="16"/>
        <v>7.1514276084549092E-2</v>
      </c>
      <c r="I308" s="36"/>
      <c r="J308" s="567"/>
      <c r="K308" s="100">
        <f>H308</f>
        <v>7.1514276084549092E-2</v>
      </c>
      <c r="L308" s="379"/>
      <c r="M308" s="94"/>
      <c r="N308" s="25"/>
      <c r="Q308" s="47"/>
      <c r="R308" s="27"/>
      <c r="S308" s="136"/>
      <c r="T308" s="26"/>
      <c r="U308" s="45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</row>
    <row r="309" spans="1:46" x14ac:dyDescent="0.35">
      <c r="B309" s="182">
        <f>B176</f>
        <v>1.4350531400966183E+22</v>
      </c>
      <c r="D309" s="18"/>
      <c r="E309" s="211">
        <f t="shared" si="15"/>
        <v>29.7056</v>
      </c>
      <c r="G309" s="18"/>
      <c r="H309" s="184">
        <f t="shared" si="16"/>
        <v>7.1514276084549092E-2</v>
      </c>
      <c r="I309" s="289"/>
      <c r="J309" s="18"/>
      <c r="K309" s="100">
        <f t="shared" si="17"/>
        <v>7.1514276084549092E-2</v>
      </c>
      <c r="L309" s="178"/>
      <c r="M309" s="94"/>
      <c r="N309" s="25"/>
      <c r="Q309" s="47"/>
      <c r="R309" s="27"/>
      <c r="S309" s="136"/>
      <c r="T309" s="26"/>
      <c r="U309" s="45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</row>
    <row r="310" spans="1:46" x14ac:dyDescent="0.35">
      <c r="A310" s="29" t="s">
        <v>685</v>
      </c>
      <c r="B310" s="68">
        <f>B181</f>
        <v>7.4945652173913037E+20</v>
      </c>
      <c r="C310" s="13" t="s">
        <v>14</v>
      </c>
      <c r="D310" s="18" t="s">
        <v>37</v>
      </c>
      <c r="E310" s="55">
        <f t="shared" si="15"/>
        <v>1.5513749999999999</v>
      </c>
      <c r="F310" s="13" t="s">
        <v>9</v>
      </c>
      <c r="G310" s="18" t="s">
        <v>37</v>
      </c>
      <c r="H310" s="77">
        <f t="shared" si="16"/>
        <v>3.7348331648129427E-3</v>
      </c>
      <c r="I310" s="36" t="s">
        <v>7</v>
      </c>
      <c r="J310" s="18" t="s">
        <v>37</v>
      </c>
      <c r="K310" s="101">
        <f t="shared" si="17"/>
        <v>3.7348331648129427E-3</v>
      </c>
      <c r="L310" s="178" t="s">
        <v>7</v>
      </c>
      <c r="M310" s="94"/>
      <c r="N310" s="25"/>
      <c r="R310" s="27"/>
      <c r="S310" s="136"/>
      <c r="T310" s="26"/>
      <c r="U310" s="45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</row>
    <row r="311" spans="1:46" x14ac:dyDescent="0.35">
      <c r="A311" s="29"/>
      <c r="B311" s="489">
        <f>B182</f>
        <v>2.8701062801932367E+20</v>
      </c>
      <c r="D311" s="567"/>
      <c r="E311" s="133">
        <f t="shared" si="15"/>
        <v>0.59411199999999997</v>
      </c>
      <c r="G311" s="567"/>
      <c r="H311" s="582">
        <f t="shared" si="16"/>
        <v>1.430285521690982E-3</v>
      </c>
      <c r="I311" s="36"/>
      <c r="J311" s="567"/>
      <c r="K311" s="101">
        <f>H311</f>
        <v>1.430285521690982E-3</v>
      </c>
      <c r="L311" s="379"/>
      <c r="M311" s="94"/>
      <c r="N311" s="25"/>
      <c r="R311" s="27"/>
      <c r="S311" s="136"/>
      <c r="T311" s="26"/>
      <c r="U311" s="45"/>
      <c r="V311" s="95"/>
      <c r="W311" s="27"/>
      <c r="X311" s="28"/>
      <c r="Y311" s="27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</row>
    <row r="312" spans="1:46" x14ac:dyDescent="0.35">
      <c r="A312" s="29"/>
      <c r="B312" s="182">
        <f>B183</f>
        <v>2.8701062801932367E+20</v>
      </c>
      <c r="D312" s="18"/>
      <c r="E312" s="211">
        <f t="shared" si="15"/>
        <v>0.59411199999999997</v>
      </c>
      <c r="G312" s="18"/>
      <c r="H312" s="184">
        <f t="shared" si="16"/>
        <v>1.430285521690982E-3</v>
      </c>
      <c r="I312" s="36"/>
      <c r="J312" s="18"/>
      <c r="K312" s="101">
        <f t="shared" si="17"/>
        <v>1.430285521690982E-3</v>
      </c>
      <c r="L312" s="178"/>
      <c r="M312" s="94"/>
      <c r="N312" s="25"/>
      <c r="R312" s="27"/>
      <c r="S312" s="136"/>
      <c r="T312" s="26"/>
      <c r="U312" s="45"/>
      <c r="V312" s="95"/>
      <c r="W312" s="27"/>
      <c r="X312" s="28"/>
      <c r="Y312" s="27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</row>
    <row r="313" spans="1:46" x14ac:dyDescent="0.35">
      <c r="A313" s="725" t="s">
        <v>686</v>
      </c>
      <c r="B313" s="68">
        <f>B202</f>
        <v>7.7444023696546962E+21</v>
      </c>
      <c r="C313" s="13" t="s">
        <v>14</v>
      </c>
      <c r="D313" s="706" t="s">
        <v>37</v>
      </c>
      <c r="E313" s="55">
        <f t="shared" si="15"/>
        <v>16.030912905185222</v>
      </c>
      <c r="F313" s="13" t="s">
        <v>9</v>
      </c>
      <c r="G313" s="706" t="s">
        <v>37</v>
      </c>
      <c r="H313" s="77">
        <f t="shared" ref="H313:H318" si="18">B313*3/(6.02*10^23)</f>
        <v>3.8593367290638024E-2</v>
      </c>
      <c r="I313" s="36" t="s">
        <v>7</v>
      </c>
      <c r="J313" s="706" t="s">
        <v>37</v>
      </c>
      <c r="K313" s="100">
        <f>H313</f>
        <v>3.8593367290638024E-2</v>
      </c>
      <c r="L313" s="379" t="s">
        <v>7</v>
      </c>
      <c r="M313" s="94"/>
      <c r="N313" s="25"/>
      <c r="Q313" s="52"/>
      <c r="R313" s="27"/>
      <c r="S313" s="136"/>
      <c r="T313" s="26"/>
      <c r="U313" s="45"/>
      <c r="V313" s="95"/>
      <c r="W313" s="27"/>
      <c r="X313" s="28"/>
      <c r="Y313" s="28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</row>
    <row r="314" spans="1:46" x14ac:dyDescent="0.35">
      <c r="B314" s="489">
        <f>B203</f>
        <v>7.9527357029880294E+21</v>
      </c>
      <c r="D314" s="706"/>
      <c r="E314" s="133">
        <f t="shared" si="15"/>
        <v>16.46216290518522</v>
      </c>
      <c r="G314" s="706"/>
      <c r="H314" s="582">
        <f t="shared" si="18"/>
        <v>3.9631573270704469E-2</v>
      </c>
      <c r="I314" s="36"/>
      <c r="J314" s="706"/>
      <c r="K314" s="100">
        <f>H314</f>
        <v>3.9631573270704469E-2</v>
      </c>
      <c r="L314" s="379"/>
      <c r="M314" s="94"/>
      <c r="N314" s="25"/>
      <c r="R314" s="10"/>
      <c r="S314" s="436"/>
    </row>
    <row r="315" spans="1:46" x14ac:dyDescent="0.35">
      <c r="B315" s="182">
        <f>B204</f>
        <v>8.1095179371166428E+21</v>
      </c>
      <c r="D315" s="706"/>
      <c r="E315" s="211">
        <f t="shared" si="15"/>
        <v>16.78670212983145</v>
      </c>
      <c r="G315" s="706"/>
      <c r="H315" s="184">
        <f t="shared" si="18"/>
        <v>4.0412880085298891E-2</v>
      </c>
      <c r="I315" s="436"/>
      <c r="J315" s="706"/>
      <c r="K315" s="100">
        <f>H315</f>
        <v>4.0412880085298891E-2</v>
      </c>
      <c r="L315" s="379"/>
      <c r="M315" s="94"/>
      <c r="N315" s="25"/>
      <c r="R315" s="10"/>
      <c r="S315" s="436"/>
    </row>
    <row r="316" spans="1:46" x14ac:dyDescent="0.35">
      <c r="A316" s="29" t="s">
        <v>687</v>
      </c>
      <c r="B316" s="68">
        <f>B225</f>
        <v>2.9740208638283127E+22</v>
      </c>
      <c r="C316" s="13" t="s">
        <v>14</v>
      </c>
      <c r="D316" s="18" t="s">
        <v>37</v>
      </c>
      <c r="E316" s="55">
        <f t="shared" si="15"/>
        <v>61.562231881246078</v>
      </c>
      <c r="F316" s="13" t="s">
        <v>9</v>
      </c>
      <c r="G316" s="18" t="s">
        <v>37</v>
      </c>
      <c r="H316" s="77">
        <f t="shared" si="18"/>
        <v>0.1482070197921086</v>
      </c>
      <c r="I316" s="36" t="s">
        <v>7</v>
      </c>
      <c r="J316" s="18" t="s">
        <v>37</v>
      </c>
      <c r="K316" s="100">
        <f t="shared" si="17"/>
        <v>0.1482070197921086</v>
      </c>
      <c r="L316" s="178" t="s">
        <v>7</v>
      </c>
      <c r="M316" s="94"/>
      <c r="N316" s="25"/>
      <c r="R316" s="10"/>
      <c r="S316" s="436"/>
    </row>
    <row r="317" spans="1:46" x14ac:dyDescent="0.35">
      <c r="A317" s="29"/>
      <c r="B317" s="489">
        <f>B226</f>
        <v>6.7601361745150088E+21</v>
      </c>
      <c r="D317" s="567"/>
      <c r="E317" s="133">
        <f t="shared" si="15"/>
        <v>13.993481881246069</v>
      </c>
      <c r="G317" s="567"/>
      <c r="H317" s="582">
        <f t="shared" si="18"/>
        <v>3.3688386251735924E-2</v>
      </c>
      <c r="I317" s="36"/>
      <c r="J317" s="567"/>
      <c r="K317" s="100">
        <f>H317</f>
        <v>3.3688386251735924E-2</v>
      </c>
      <c r="L317" s="379"/>
      <c r="M317" s="94"/>
      <c r="N317" s="25"/>
      <c r="R317" s="10"/>
    </row>
    <row r="318" spans="1:46" x14ac:dyDescent="0.35">
      <c r="B318" s="182">
        <f>B227</f>
        <v>6.3950206070530622E+21</v>
      </c>
      <c r="D318" s="18"/>
      <c r="E318" s="211">
        <f t="shared" si="15"/>
        <v>13.23769265659984</v>
      </c>
      <c r="G318" s="18"/>
      <c r="H318" s="184">
        <f t="shared" si="18"/>
        <v>3.1868873457075064E-2</v>
      </c>
      <c r="I318" s="289"/>
      <c r="J318" s="18"/>
      <c r="K318" s="100">
        <f t="shared" si="17"/>
        <v>3.1868873457075064E-2</v>
      </c>
      <c r="L318" s="178"/>
      <c r="M318" s="94"/>
      <c r="N318" s="25"/>
      <c r="R318" s="10"/>
      <c r="S318" s="436"/>
    </row>
    <row r="319" spans="1:46" x14ac:dyDescent="0.35">
      <c r="A319" s="295" t="s">
        <v>368</v>
      </c>
      <c r="B319" s="311">
        <f>B316+B313</f>
        <v>3.7484611007937822E+22</v>
      </c>
      <c r="C319" s="50"/>
      <c r="D319" s="50"/>
      <c r="E319" s="70"/>
      <c r="F319" s="50"/>
      <c r="G319" s="50"/>
      <c r="J319" s="50"/>
      <c r="N319" s="25"/>
      <c r="Q319" s="91"/>
      <c r="R319" s="53"/>
      <c r="S319" s="135"/>
      <c r="T319" s="4"/>
      <c r="U319" s="6"/>
      <c r="V319" s="135"/>
      <c r="W319" s="4"/>
      <c r="X319" s="6"/>
      <c r="Y319" s="135"/>
      <c r="AS319" s="13" t="s">
        <v>13</v>
      </c>
    </row>
    <row r="320" spans="1:46" x14ac:dyDescent="0.35">
      <c r="B320" s="311">
        <f>B317+B314</f>
        <v>1.4712871877503038E+22</v>
      </c>
      <c r="C320" s="50"/>
      <c r="D320" s="50"/>
      <c r="E320" s="70"/>
      <c r="F320" s="50"/>
      <c r="G320" s="50"/>
      <c r="J320" s="48" t="s">
        <v>40</v>
      </c>
      <c r="K320" s="219">
        <f>H288+H291+H294+H297+H301+H307+H310+H313+H316</f>
        <v>0.69304016918063405</v>
      </c>
      <c r="L320" s="51" t="s">
        <v>7</v>
      </c>
      <c r="Q320" s="91"/>
      <c r="R320" s="53"/>
    </row>
    <row r="321" spans="1:25" x14ac:dyDescent="0.35">
      <c r="B321" s="311">
        <f>B318+B315</f>
        <v>1.4504538544169705E+22</v>
      </c>
      <c r="K321" s="589">
        <f>H289+H292+H295+H298+H302+H308+H311+H314+H317</f>
        <v>0.46202781182110786</v>
      </c>
      <c r="L321" s="51"/>
      <c r="Q321" s="91"/>
      <c r="R321" s="53"/>
      <c r="S321" s="436"/>
    </row>
    <row r="322" spans="1:25" x14ac:dyDescent="0.35">
      <c r="B322" s="420">
        <f>(B288+B291+B294+B297+B301+B307+B310+B313+B316)</f>
        <v>1.3907006061558057E+23</v>
      </c>
      <c r="E322" s="13"/>
      <c r="H322" s="13"/>
      <c r="K322" s="220">
        <f>H290+H291+H296+H299+H303+H309+H312+H315+H318</f>
        <v>0.34568966548607433</v>
      </c>
      <c r="L322" s="51"/>
      <c r="R322" s="10"/>
      <c r="V322" s="59"/>
      <c r="W322" s="59"/>
      <c r="X322" s="59"/>
      <c r="Y322" s="59"/>
    </row>
    <row r="323" spans="1:25" x14ac:dyDescent="0.35">
      <c r="B323" s="13"/>
      <c r="E323" s="13"/>
      <c r="H323" s="13"/>
      <c r="N323" s="13"/>
      <c r="R323" s="10"/>
      <c r="V323" s="59"/>
      <c r="W323" s="59"/>
      <c r="X323" s="59"/>
      <c r="Y323" s="59"/>
    </row>
    <row r="324" spans="1:25" x14ac:dyDescent="0.35">
      <c r="Q324" s="26"/>
      <c r="R324" s="10"/>
      <c r="V324" s="59"/>
      <c r="W324" s="59"/>
      <c r="X324" s="59"/>
      <c r="Y324" s="59"/>
    </row>
    <row r="325" spans="1:25" x14ac:dyDescent="0.35">
      <c r="A325" s="48" t="s">
        <v>689</v>
      </c>
      <c r="B325" s="19"/>
      <c r="C325" s="19"/>
      <c r="D325" s="19"/>
      <c r="E325" s="20"/>
      <c r="F325" s="19"/>
      <c r="G325" s="19"/>
      <c r="H325" s="19"/>
      <c r="I325" s="19"/>
      <c r="J325" s="19"/>
      <c r="K325" s="19"/>
      <c r="L325" s="19"/>
      <c r="P325" s="26"/>
      <c r="Q325" s="26"/>
    </row>
    <row r="326" spans="1:25" x14ac:dyDescent="0.35">
      <c r="A326" s="48" t="s">
        <v>688</v>
      </c>
      <c r="B326" s="311">
        <f>B9</f>
        <v>1.1784920981299063E+19</v>
      </c>
      <c r="E326" s="105"/>
      <c r="N326" s="148"/>
      <c r="Q326" s="26"/>
    </row>
    <row r="327" spans="1:25" x14ac:dyDescent="0.35">
      <c r="A327" s="11" t="s">
        <v>51</v>
      </c>
      <c r="B327" s="73">
        <f>B9*365*24*60*60</f>
        <v>3.7164926806624727E+26</v>
      </c>
      <c r="C327" s="13" t="s">
        <v>42</v>
      </c>
      <c r="D327" s="18" t="s">
        <v>37</v>
      </c>
      <c r="E327" s="73">
        <f>B327*(1/2*1.38E-23*300)</f>
        <v>769313.98489713192</v>
      </c>
      <c r="F327" s="13" t="s">
        <v>28</v>
      </c>
      <c r="G327" s="18" t="s">
        <v>37</v>
      </c>
      <c r="H327" s="57">
        <f>B327*3/(6.02*10^23)</f>
        <v>1852.0727644497374</v>
      </c>
      <c r="I327" s="17" t="s">
        <v>2</v>
      </c>
      <c r="J327" s="499" t="s">
        <v>8</v>
      </c>
      <c r="K327" s="269">
        <f>H327/1000</f>
        <v>1.8520727644497375</v>
      </c>
      <c r="L327" s="13" t="s">
        <v>47</v>
      </c>
      <c r="N327" s="179">
        <v>1000</v>
      </c>
      <c r="O327" s="179">
        <f>N327*10^6/(((17.589)*10^6)*1.6*10^(-19))*365*24*60*60*3/(6.02*10^23)/1000</f>
        <v>55.843192542001411</v>
      </c>
      <c r="P327" s="179" t="s">
        <v>935</v>
      </c>
      <c r="Q327" s="26"/>
      <c r="R327" s="13"/>
      <c r="S327" s="13"/>
      <c r="U327" s="13"/>
    </row>
    <row r="328" spans="1:25" x14ac:dyDescent="0.35">
      <c r="A328" s="11"/>
      <c r="B328" s="110"/>
      <c r="C328" s="19"/>
      <c r="D328" s="406"/>
      <c r="E328" s="110"/>
      <c r="F328" s="19"/>
      <c r="G328" s="406"/>
      <c r="H328" s="62"/>
      <c r="I328" s="136"/>
      <c r="J328" s="35"/>
      <c r="K328" s="271"/>
      <c r="N328" s="13"/>
      <c r="Q328" s="26"/>
      <c r="R328" s="13"/>
      <c r="S328" s="13"/>
      <c r="U328" s="13"/>
    </row>
    <row r="329" spans="1:25" x14ac:dyDescent="0.35">
      <c r="A329" s="11" t="s">
        <v>12</v>
      </c>
      <c r="B329" s="73">
        <f>B281*365*24*60*60</f>
        <v>4.765510819142792E+24</v>
      </c>
      <c r="C329" s="13" t="s">
        <v>42</v>
      </c>
      <c r="D329" s="18" t="s">
        <v>37</v>
      </c>
      <c r="E329" s="73">
        <f>B329*(1/2*1.38E-23*300)</f>
        <v>9864.6073956255805</v>
      </c>
      <c r="F329" s="13" t="s">
        <v>28</v>
      </c>
      <c r="G329" s="18" t="s">
        <v>37</v>
      </c>
      <c r="H329" s="57">
        <f>B329*3/(6.02*10^23)</f>
        <v>23.748392786425875</v>
      </c>
      <c r="I329" s="17" t="s">
        <v>2</v>
      </c>
      <c r="J329" s="499" t="s">
        <v>8</v>
      </c>
      <c r="K329" s="269">
        <f>H329/1000</f>
        <v>2.3748392786425876E-2</v>
      </c>
      <c r="L329" s="13" t="s">
        <v>47</v>
      </c>
      <c r="N329" s="13"/>
      <c r="Q329" s="26"/>
      <c r="R329" s="13"/>
      <c r="S329" s="13"/>
      <c r="U329" s="13"/>
    </row>
    <row r="330" spans="1:25" x14ac:dyDescent="0.35">
      <c r="A330" s="11"/>
      <c r="B330" s="585">
        <f>B282*365*24*60*60</f>
        <v>4.6456170175791272E+24</v>
      </c>
      <c r="D330" s="567"/>
      <c r="E330" s="585">
        <f>B330*(1/2*1.38E-23*300)</f>
        <v>9616.4272263887942</v>
      </c>
      <c r="G330" s="567"/>
      <c r="H330" s="586">
        <f>B330*3/(6.02*10^23)</f>
        <v>23.150915369995651</v>
      </c>
      <c r="I330" s="436"/>
      <c r="J330" s="567"/>
      <c r="K330" s="269">
        <f>H330/1000</f>
        <v>2.315091536999565E-2</v>
      </c>
      <c r="N330" s="13"/>
      <c r="Q330" s="26"/>
      <c r="R330" s="13"/>
      <c r="S330" s="13"/>
      <c r="U330" s="13"/>
    </row>
    <row r="331" spans="1:25" x14ac:dyDescent="0.35">
      <c r="A331" s="11"/>
      <c r="B331" s="190">
        <f>B283*365*24*60*60</f>
        <v>2.8102262997379994E+24</v>
      </c>
      <c r="D331" s="18"/>
      <c r="E331" s="624">
        <f>B331*(1/2*1.38E-23*300)</f>
        <v>5817.168440457659</v>
      </c>
      <c r="G331" s="18"/>
      <c r="H331" s="245">
        <f>B331*3/(6.02*10^23)</f>
        <v>14.004449998694351</v>
      </c>
      <c r="I331" s="17"/>
      <c r="J331" s="499"/>
      <c r="K331" s="269">
        <f>H331/1000</f>
        <v>1.4004449998694352E-2</v>
      </c>
      <c r="Q331" s="26"/>
      <c r="R331" s="13"/>
      <c r="S331" s="13"/>
      <c r="U331" s="13"/>
    </row>
    <row r="332" spans="1:25" x14ac:dyDescent="0.35">
      <c r="A332" s="11"/>
      <c r="B332" s="69"/>
      <c r="C332" s="26"/>
      <c r="D332" s="35"/>
      <c r="E332" s="69"/>
      <c r="F332" s="26"/>
      <c r="G332" s="35"/>
      <c r="H332" s="107"/>
      <c r="I332" s="136"/>
      <c r="J332" s="35"/>
      <c r="K332" s="271"/>
      <c r="L332" s="26"/>
      <c r="Q332" s="26"/>
      <c r="R332" s="13"/>
      <c r="S332" s="13"/>
      <c r="U332" s="13"/>
    </row>
    <row r="333" spans="1:25" x14ac:dyDescent="0.35">
      <c r="A333" s="11" t="s">
        <v>53</v>
      </c>
      <c r="B333" s="73">
        <f>B274</f>
        <v>3.7164926806624722E+23</v>
      </c>
      <c r="C333" s="13" t="s">
        <v>42</v>
      </c>
      <c r="D333" s="18" t="s">
        <v>37</v>
      </c>
      <c r="E333" s="73">
        <f>B333*(1/2*1.38E-23*300)</f>
        <v>769.31398489713183</v>
      </c>
      <c r="F333" s="13" t="s">
        <v>28</v>
      </c>
      <c r="G333" s="18" t="s">
        <v>37</v>
      </c>
      <c r="H333" s="57">
        <f>B333*3/(6.02*10^23)</f>
        <v>1.8520727644497372</v>
      </c>
      <c r="I333" s="17" t="s">
        <v>2</v>
      </c>
      <c r="J333" s="499" t="s">
        <v>8</v>
      </c>
      <c r="K333" s="269">
        <f>H333/1000</f>
        <v>1.8520727644497372E-3</v>
      </c>
      <c r="L333" s="13" t="s">
        <v>47</v>
      </c>
      <c r="Q333" s="136"/>
      <c r="R333" s="13"/>
      <c r="S333" s="13"/>
      <c r="U333" s="13"/>
    </row>
    <row r="334" spans="1:25" x14ac:dyDescent="0.35">
      <c r="B334" s="69"/>
      <c r="C334" s="26"/>
      <c r="D334" s="35"/>
      <c r="E334" s="69"/>
      <c r="F334" s="26"/>
      <c r="G334" s="35"/>
      <c r="H334" s="107"/>
      <c r="I334" s="136"/>
      <c r="M334" s="26"/>
      <c r="Q334" s="26"/>
      <c r="R334" s="13"/>
      <c r="S334" s="13"/>
      <c r="U334" s="13"/>
      <c r="Y334" s="59"/>
    </row>
    <row r="335" spans="1:25" x14ac:dyDescent="0.35">
      <c r="A335" s="71" t="s">
        <v>52</v>
      </c>
      <c r="B335" s="73">
        <f>B327+B329+B333</f>
        <v>3.7678642815345634E+26</v>
      </c>
      <c r="C335" s="13" t="s">
        <v>42</v>
      </c>
      <c r="D335" s="18" t="s">
        <v>37</v>
      </c>
      <c r="E335" s="73">
        <f>B335*(1/2*1.38E-23*300)</f>
        <v>779947.90627765469</v>
      </c>
      <c r="F335" s="13" t="s">
        <v>28</v>
      </c>
      <c r="G335" s="18" t="s">
        <v>37</v>
      </c>
      <c r="H335" s="227">
        <f>B335*3/(6.02*10^23)</f>
        <v>1877.6732300006131</v>
      </c>
      <c r="I335" s="17" t="s">
        <v>2</v>
      </c>
      <c r="J335" s="18" t="s">
        <v>8</v>
      </c>
      <c r="K335" s="269">
        <f>H335/1000</f>
        <v>1.8776732300006131</v>
      </c>
      <c r="L335" s="13" t="s">
        <v>47</v>
      </c>
      <c r="M335" s="26"/>
      <c r="Q335" s="26"/>
      <c r="R335" s="13"/>
      <c r="S335" s="13"/>
      <c r="U335" s="13"/>
      <c r="Y335" s="59"/>
    </row>
    <row r="336" spans="1:25" x14ac:dyDescent="0.35">
      <c r="A336" s="71"/>
      <c r="B336" s="585">
        <f>B327+B330+B333</f>
        <v>3.7666653435189268E+26</v>
      </c>
      <c r="D336" s="567"/>
      <c r="E336" s="585">
        <f>B336*(1/2*1.38E-23*300)</f>
        <v>779699.72610841785</v>
      </c>
      <c r="G336" s="567"/>
      <c r="H336" s="591">
        <f>B336*3/(6.02*10^23)</f>
        <v>1877.0757525841832</v>
      </c>
      <c r="I336" s="436"/>
      <c r="J336" s="567"/>
      <c r="K336" s="269">
        <f>H336/1000</f>
        <v>1.8770757525841832</v>
      </c>
      <c r="M336" s="26"/>
      <c r="Q336" s="26"/>
      <c r="R336" s="13"/>
      <c r="S336" s="13"/>
      <c r="U336" s="13"/>
      <c r="Y336" s="59"/>
    </row>
    <row r="337" spans="1:25" x14ac:dyDescent="0.35">
      <c r="B337" s="190">
        <f>B327+B331+B333</f>
        <v>3.7483114363405152E+26</v>
      </c>
      <c r="D337" s="18"/>
      <c r="E337" s="190">
        <f>B337*(1/2*1.38E-23*300)</f>
        <v>775900.46732248669</v>
      </c>
      <c r="G337" s="18"/>
      <c r="H337" s="185">
        <f>B337*3/(6.02*10^23)</f>
        <v>1867.9292872128817</v>
      </c>
      <c r="I337" s="17"/>
      <c r="J337" s="18"/>
      <c r="K337" s="269">
        <f>H337/1000</f>
        <v>1.8679292872128817</v>
      </c>
      <c r="M337" s="26"/>
      <c r="Q337" s="26"/>
      <c r="R337" s="13"/>
      <c r="S337" s="13"/>
      <c r="U337" s="13"/>
      <c r="Y337" s="59"/>
    </row>
    <row r="338" spans="1:25" x14ac:dyDescent="0.35">
      <c r="A338" s="29"/>
      <c r="B338" s="69"/>
      <c r="C338" s="26"/>
      <c r="D338" s="35"/>
      <c r="E338" s="69"/>
      <c r="F338" s="26"/>
      <c r="G338" s="35"/>
      <c r="H338" s="62"/>
      <c r="I338" s="136"/>
      <c r="J338" s="26"/>
      <c r="K338" s="270"/>
      <c r="L338" s="26"/>
      <c r="M338" s="26"/>
      <c r="Q338" s="26"/>
      <c r="R338" s="13"/>
      <c r="S338" s="13"/>
      <c r="U338" s="13"/>
    </row>
    <row r="339" spans="1:25" s="19" customFormat="1" x14ac:dyDescent="0.35">
      <c r="A339" s="13"/>
      <c r="B339" s="69"/>
      <c r="C339" s="26"/>
      <c r="D339" s="35"/>
      <c r="E339" s="69"/>
      <c r="F339" s="26"/>
      <c r="G339" s="35"/>
      <c r="H339" s="62"/>
      <c r="I339" s="136"/>
      <c r="J339" s="35"/>
      <c r="K339" s="271"/>
      <c r="L339" s="26"/>
      <c r="M339" s="13"/>
      <c r="N339" s="41"/>
      <c r="O339" s="13"/>
      <c r="P339" s="38"/>
      <c r="Q339" s="136"/>
      <c r="T339" s="13"/>
      <c r="U339" s="34"/>
      <c r="V339" s="13"/>
      <c r="W339" s="13"/>
      <c r="X339" s="13"/>
      <c r="Y339" s="13"/>
    </row>
    <row r="340" spans="1:25" s="19" customFormat="1" x14ac:dyDescent="0.35">
      <c r="A340" s="71" t="s">
        <v>351</v>
      </c>
      <c r="B340" s="61">
        <f>'[4]поэлементый расчет систем'!L439/(3/(6.02*10^23))</f>
        <v>1.14372259659427E+26</v>
      </c>
      <c r="C340" s="60" t="s">
        <v>29</v>
      </c>
      <c r="D340" s="18" t="s">
        <v>37</v>
      </c>
      <c r="E340" s="243">
        <f>B340/(2.6*10^20)</f>
        <v>439893.30638241151</v>
      </c>
      <c r="F340" s="59" t="s">
        <v>28</v>
      </c>
      <c r="G340" s="18" t="s">
        <v>37</v>
      </c>
      <c r="H340" s="244">
        <f>B340*3/(6.02*10^23)</f>
        <v>569.96142687422093</v>
      </c>
      <c r="I340" s="3" t="s">
        <v>2</v>
      </c>
      <c r="J340" s="43" t="s">
        <v>8</v>
      </c>
      <c r="K340" s="170">
        <f>H340/1000</f>
        <v>0.56996142687422091</v>
      </c>
      <c r="L340" s="2" t="s">
        <v>47</v>
      </c>
      <c r="M340" s="38" t="s">
        <v>140</v>
      </c>
      <c r="N340" s="41"/>
      <c r="O340" s="13"/>
      <c r="P340" s="38"/>
      <c r="Q340" s="136"/>
      <c r="T340" s="13"/>
      <c r="U340" s="34"/>
      <c r="V340" s="13"/>
      <c r="W340" s="13"/>
      <c r="X340" s="13"/>
      <c r="Y340" s="13"/>
    </row>
    <row r="341" spans="1:25" s="19" customFormat="1" x14ac:dyDescent="0.35">
      <c r="A341" s="71"/>
      <c r="B341" s="663">
        <f>'[4]поэлементый расчет систем'!L440/(3/(6.02*10^23))</f>
        <v>1.1149480842189907E+26</v>
      </c>
      <c r="C341" s="60"/>
      <c r="D341" s="567"/>
      <c r="E341" s="588">
        <f>B341/(2.6*10^20)</f>
        <v>428826.18623807334</v>
      </c>
      <c r="F341" s="59"/>
      <c r="G341" s="567"/>
      <c r="H341" s="590">
        <f>B341*3/(6.02*10^23)</f>
        <v>555.62196887989569</v>
      </c>
      <c r="I341" s="3"/>
      <c r="J341" s="43"/>
      <c r="K341" s="170">
        <f>H341/1000</f>
        <v>0.55562196887989568</v>
      </c>
      <c r="L341" s="2"/>
      <c r="M341" s="38" t="s">
        <v>311</v>
      </c>
      <c r="N341" s="41"/>
      <c r="O341" s="13"/>
      <c r="P341" s="38"/>
      <c r="Q341" s="136"/>
    </row>
    <row r="342" spans="1:25" s="19" customFormat="1" x14ac:dyDescent="0.35">
      <c r="A342" s="15" t="s">
        <v>231</v>
      </c>
      <c r="B342" s="221">
        <f>'[4]поэлементый расчет систем'!L441/(3/(6.02*10^23))</f>
        <v>6.7445431193711993E+25</v>
      </c>
      <c r="C342" s="60"/>
      <c r="D342" s="18"/>
      <c r="E342" s="190">
        <f>B342*(1/2*1.38E-23*300)</f>
        <v>139612.04257098385</v>
      </c>
      <c r="F342" s="13"/>
      <c r="G342" s="18"/>
      <c r="H342" s="245">
        <f>B342*3/(6.02*10^23)</f>
        <v>336.10679996866446</v>
      </c>
      <c r="I342" s="17"/>
      <c r="J342" s="43"/>
      <c r="K342" s="170">
        <f>H342/1000</f>
        <v>0.33610679996866444</v>
      </c>
      <c r="L342" s="2"/>
      <c r="N342" s="41"/>
      <c r="O342" s="13"/>
      <c r="P342" s="13"/>
      <c r="Q342" s="136"/>
    </row>
    <row r="343" spans="1:25" s="19" customFormat="1" x14ac:dyDescent="0.35">
      <c r="A343" s="13"/>
      <c r="B343" s="18"/>
      <c r="C343" s="13"/>
      <c r="D343" s="13"/>
      <c r="E343" s="63"/>
      <c r="F343" s="13"/>
      <c r="G343" s="13"/>
      <c r="H343" s="39"/>
      <c r="I343" s="13"/>
      <c r="J343" s="13"/>
      <c r="K343" s="13"/>
      <c r="L343" s="13"/>
      <c r="M343" s="13"/>
      <c r="N343" s="41"/>
      <c r="O343" s="13"/>
      <c r="P343" s="13"/>
      <c r="Q343" s="26"/>
    </row>
    <row r="344" spans="1:25" s="19" customFormat="1" x14ac:dyDescent="0.35">
      <c r="A344" s="199"/>
      <c r="B344" s="105"/>
      <c r="C344" s="13"/>
      <c r="D344" s="13"/>
      <c r="E344" s="63"/>
      <c r="F344" s="13"/>
      <c r="G344" s="13"/>
      <c r="H344" s="39"/>
      <c r="I344" s="13"/>
      <c r="J344" s="13"/>
      <c r="K344" s="13"/>
      <c r="L344" s="13"/>
      <c r="M344" s="13"/>
      <c r="N344" s="41"/>
      <c r="O344" s="13"/>
      <c r="P344" s="13"/>
      <c r="Q344" s="26"/>
    </row>
    <row r="345" spans="1:25" x14ac:dyDescent="0.35">
      <c r="A345" s="11" t="s">
        <v>574</v>
      </c>
      <c r="B345" s="61">
        <f>'[4]поэлементый расчет систем'!G443*1/3*(6.02*10^23)*0.5/(3*12*365*24*60*60)</f>
        <v>3.0473415534821016E+16</v>
      </c>
      <c r="C345" s="13" t="s">
        <v>14</v>
      </c>
      <c r="D345" s="991" t="s">
        <v>37</v>
      </c>
      <c r="E345" s="73">
        <f>B345*(1/2*1.38E-23*300)</f>
        <v>6.3079970157079506E-5</v>
      </c>
      <c r="F345" s="13" t="s">
        <v>9</v>
      </c>
      <c r="G345" s="991" t="s">
        <v>37</v>
      </c>
      <c r="H345" s="77">
        <f>B345*3/(6.02*10^23)</f>
        <v>1.5186087475824426E-7</v>
      </c>
      <c r="I345" s="436" t="s">
        <v>7</v>
      </c>
      <c r="J345" s="991" t="s">
        <v>8</v>
      </c>
      <c r="K345" s="992">
        <f>H345*365*24*60*60</f>
        <v>4.7890845463759915</v>
      </c>
      <c r="L345" s="2" t="s">
        <v>149</v>
      </c>
    </row>
    <row r="346" spans="1:25" x14ac:dyDescent="0.35">
      <c r="A346" s="168"/>
      <c r="B346" s="663">
        <f>'[4]поэлементый расчет систем'!G444*1/3*(6.02*10^23)*0.5/(3*12*365*24*60*60)</f>
        <v>3.0526218416872792E+16</v>
      </c>
      <c r="D346" s="991"/>
      <c r="E346" s="585">
        <f>B346*(1/2*1.38E-23*300)</f>
        <v>6.3189272122926685E-5</v>
      </c>
      <c r="G346" s="991"/>
      <c r="H346" s="582">
        <f>B346*3/(6.02*10^23)</f>
        <v>1.5212401204421659E-7</v>
      </c>
      <c r="I346" s="436"/>
      <c r="J346" s="991"/>
      <c r="K346" s="992">
        <f>H346*365*24*60*60</f>
        <v>4.7973828438264139</v>
      </c>
      <c r="L346" s="2"/>
      <c r="U346" s="13"/>
    </row>
    <row r="347" spans="1:25" x14ac:dyDescent="0.35">
      <c r="A347" s="168"/>
      <c r="B347" s="221">
        <f>'[4]поэлементый расчет систем'!G445*1/3*(6.02*10^23)*0.5/(3*12*365*24*60*60)</f>
        <v>3.1334549776201572E+16</v>
      </c>
      <c r="D347" s="991"/>
      <c r="E347" s="182">
        <f>B347*(1/2*1.38E-23*300)</f>
        <v>6.4862518036737263E-5</v>
      </c>
      <c r="G347" s="991"/>
      <c r="H347" s="184">
        <f>B347*3/(6.02*10^23)</f>
        <v>1.561522414096424E-7</v>
      </c>
      <c r="I347" s="436"/>
      <c r="J347" s="991"/>
      <c r="K347" s="992">
        <f>H347*365*24*60*60</f>
        <v>4.9244170850944835</v>
      </c>
      <c r="L347" s="2"/>
      <c r="N347" s="13"/>
      <c r="Q347" s="379"/>
      <c r="U347" s="13"/>
    </row>
    <row r="348" spans="1:25" x14ac:dyDescent="0.35">
      <c r="B348" s="13"/>
      <c r="E348" s="13"/>
      <c r="H348" s="13"/>
      <c r="N348" s="13"/>
      <c r="Q348" s="379"/>
      <c r="U348" s="13"/>
    </row>
    <row r="349" spans="1:25" x14ac:dyDescent="0.35">
      <c r="B349" s="25" t="s">
        <v>690</v>
      </c>
      <c r="E349" s="13"/>
      <c r="H349" s="13"/>
      <c r="Q349" s="379"/>
      <c r="U349" s="13"/>
    </row>
    <row r="350" spans="1:25" x14ac:dyDescent="0.35">
      <c r="B350" s="13"/>
      <c r="E350" s="13"/>
      <c r="H350" s="13"/>
      <c r="Q350" s="379"/>
      <c r="U350" s="13"/>
    </row>
    <row r="351" spans="1:25" x14ac:dyDescent="0.35">
      <c r="B351" s="13"/>
      <c r="E351" s="13"/>
      <c r="H351" s="13"/>
      <c r="N351" s="126"/>
      <c r="O351" s="38"/>
      <c r="Q351" s="379"/>
      <c r="U351" s="13"/>
    </row>
    <row r="352" spans="1:25" x14ac:dyDescent="0.35">
      <c r="B352" s="13"/>
      <c r="E352" s="13"/>
      <c r="H352" s="13"/>
      <c r="N352" s="148"/>
      <c r="O352" s="38"/>
      <c r="Q352" s="379"/>
      <c r="U352" s="13"/>
    </row>
    <row r="353" spans="1:21" x14ac:dyDescent="0.35">
      <c r="B353" s="13"/>
      <c r="E353" s="13"/>
      <c r="H353" s="13"/>
      <c r="N353" s="148"/>
      <c r="Q353" s="379"/>
      <c r="U353" s="13"/>
    </row>
    <row r="354" spans="1:21" x14ac:dyDescent="0.35">
      <c r="B354" s="13"/>
      <c r="E354" s="13"/>
      <c r="H354" s="13"/>
      <c r="Q354" s="379"/>
      <c r="U354" s="13"/>
    </row>
    <row r="355" spans="1:21" x14ac:dyDescent="0.35">
      <c r="B355" s="13"/>
      <c r="E355" s="13"/>
      <c r="H355" s="13"/>
      <c r="Q355" s="379"/>
      <c r="R355" s="14"/>
      <c r="S355" s="410"/>
      <c r="U355" s="13"/>
    </row>
    <row r="356" spans="1:21" x14ac:dyDescent="0.35">
      <c r="B356" s="13"/>
      <c r="E356" s="13"/>
      <c r="H356" s="13"/>
      <c r="Q356" s="379"/>
      <c r="R356" s="14"/>
      <c r="S356" s="410"/>
      <c r="U356" s="13"/>
    </row>
    <row r="357" spans="1:21" x14ac:dyDescent="0.35">
      <c r="B357" s="13"/>
      <c r="E357" s="13"/>
      <c r="H357" s="13"/>
      <c r="Q357" s="379"/>
      <c r="R357" s="14"/>
      <c r="S357" s="410"/>
      <c r="U357" s="13"/>
    </row>
    <row r="358" spans="1:21" x14ac:dyDescent="0.35">
      <c r="A358" s="168"/>
      <c r="B358" s="110"/>
      <c r="C358" s="19"/>
      <c r="D358" s="406"/>
      <c r="E358" s="69"/>
      <c r="F358" s="19"/>
      <c r="G358" s="406"/>
      <c r="H358" s="107"/>
      <c r="I358" s="436"/>
      <c r="J358" s="700"/>
      <c r="K358" s="701"/>
      <c r="L358" s="2"/>
      <c r="M358" s="26"/>
      <c r="P358" s="88"/>
      <c r="Q358" s="379"/>
      <c r="R358" s="14"/>
      <c r="S358" s="410"/>
      <c r="U358" s="13"/>
    </row>
    <row r="359" spans="1:21" x14ac:dyDescent="0.35">
      <c r="B359" s="13"/>
      <c r="E359" s="13"/>
      <c r="H359" s="13"/>
      <c r="N359" s="13"/>
      <c r="R359" s="13"/>
      <c r="S359" s="13"/>
      <c r="U359" s="13"/>
    </row>
    <row r="360" spans="1:21" x14ac:dyDescent="0.35">
      <c r="B360" s="13"/>
      <c r="E360" s="13"/>
      <c r="H360" s="13"/>
      <c r="N360" s="13"/>
      <c r="R360" s="13"/>
      <c r="S360" s="13"/>
      <c r="U360" s="13"/>
    </row>
    <row r="361" spans="1:21" x14ac:dyDescent="0.35">
      <c r="B361" s="13"/>
      <c r="E361" s="13"/>
      <c r="H361" s="13"/>
      <c r="N361" s="13"/>
      <c r="R361" s="13"/>
      <c r="S361" s="13"/>
      <c r="U361" s="13"/>
    </row>
    <row r="362" spans="1:21" x14ac:dyDescent="0.35">
      <c r="B362" s="13"/>
      <c r="E362" s="13"/>
      <c r="H362" s="13"/>
      <c r="N362" s="13"/>
      <c r="R362" s="13"/>
      <c r="S362" s="13"/>
      <c r="U362" s="13"/>
    </row>
    <row r="363" spans="1:21" x14ac:dyDescent="0.35">
      <c r="B363" s="13"/>
      <c r="E363" s="13"/>
      <c r="H363" s="13"/>
      <c r="N363" s="13"/>
      <c r="R363" s="13"/>
      <c r="S363" s="13"/>
      <c r="U363" s="13"/>
    </row>
    <row r="364" spans="1:21" x14ac:dyDescent="0.35">
      <c r="B364" s="13"/>
      <c r="E364" s="13"/>
      <c r="H364" s="13"/>
      <c r="N364" s="13"/>
      <c r="R364" s="13"/>
      <c r="S364" s="13"/>
      <c r="U364" s="13"/>
    </row>
    <row r="365" spans="1:21" x14ac:dyDescent="0.35">
      <c r="B365" s="13"/>
      <c r="E365" s="13"/>
      <c r="H365" s="13"/>
      <c r="N365" s="13"/>
      <c r="R365" s="13"/>
      <c r="S365" s="13"/>
      <c r="U365" s="13"/>
    </row>
    <row r="366" spans="1:21" x14ac:dyDescent="0.35">
      <c r="B366" s="13"/>
      <c r="E366" s="13"/>
      <c r="H366" s="13"/>
      <c r="N366" s="13"/>
      <c r="R366" s="13"/>
      <c r="S366" s="13"/>
      <c r="U366" s="13"/>
    </row>
    <row r="367" spans="1:21" x14ac:dyDescent="0.35">
      <c r="B367" s="13"/>
      <c r="E367" s="13"/>
      <c r="H367" s="13"/>
      <c r="N367" s="13"/>
      <c r="R367" s="13"/>
      <c r="S367" s="13"/>
      <c r="U367" s="13"/>
    </row>
    <row r="368" spans="1:21" x14ac:dyDescent="0.35">
      <c r="B368" s="13"/>
      <c r="E368" s="13"/>
      <c r="H368" s="13"/>
      <c r="N368" s="13"/>
      <c r="R368" s="13"/>
      <c r="S368" s="13"/>
      <c r="U368" s="13"/>
    </row>
    <row r="369" spans="2:21" x14ac:dyDescent="0.35">
      <c r="B369" s="13"/>
      <c r="E369" s="13"/>
      <c r="H369" s="13"/>
      <c r="N369" s="13"/>
      <c r="R369" s="13"/>
      <c r="S369" s="13"/>
      <c r="U369" s="13"/>
    </row>
    <row r="370" spans="2:21" x14ac:dyDescent="0.35">
      <c r="B370" s="13"/>
      <c r="E370" s="13"/>
      <c r="H370" s="13"/>
      <c r="N370" s="13"/>
      <c r="R370" s="13"/>
      <c r="S370" s="13"/>
      <c r="U370" s="13"/>
    </row>
    <row r="371" spans="2:21" x14ac:dyDescent="0.35">
      <c r="B371" s="13"/>
      <c r="E371" s="13"/>
      <c r="H371" s="13"/>
      <c r="N371" s="13"/>
      <c r="R371" s="13"/>
      <c r="S371" s="13"/>
      <c r="U371" s="13"/>
    </row>
    <row r="372" spans="2:21" x14ac:dyDescent="0.35">
      <c r="B372" s="13"/>
      <c r="E372" s="13"/>
      <c r="H372" s="13"/>
      <c r="N372" s="13"/>
      <c r="R372" s="13"/>
      <c r="S372" s="13"/>
      <c r="U372" s="13"/>
    </row>
    <row r="373" spans="2:21" x14ac:dyDescent="0.35">
      <c r="B373" s="13"/>
      <c r="E373" s="13"/>
      <c r="H373" s="13"/>
      <c r="N373" s="13"/>
      <c r="R373" s="13"/>
      <c r="S373" s="13"/>
      <c r="U373" s="13"/>
    </row>
    <row r="374" spans="2:21" x14ac:dyDescent="0.35">
      <c r="B374" s="13"/>
      <c r="E374" s="13"/>
      <c r="H374" s="13"/>
      <c r="N374" s="13"/>
      <c r="R374" s="13"/>
      <c r="S374" s="13"/>
      <c r="U374" s="13"/>
    </row>
    <row r="375" spans="2:21" x14ac:dyDescent="0.35">
      <c r="B375" s="13"/>
      <c r="E375" s="13"/>
      <c r="H375" s="13"/>
      <c r="N375" s="13"/>
      <c r="R375" s="13"/>
      <c r="S375" s="13"/>
      <c r="U375" s="13"/>
    </row>
    <row r="376" spans="2:21" x14ac:dyDescent="0.35">
      <c r="B376" s="13"/>
      <c r="E376" s="13"/>
      <c r="H376" s="13"/>
      <c r="N376" s="13"/>
      <c r="R376" s="13"/>
      <c r="S376" s="13"/>
      <c r="U376" s="13"/>
    </row>
    <row r="377" spans="2:21" x14ac:dyDescent="0.35">
      <c r="B377" s="13"/>
      <c r="E377" s="13"/>
      <c r="H377" s="13"/>
      <c r="N377" s="13"/>
      <c r="R377" s="13"/>
      <c r="S377" s="13"/>
      <c r="U377" s="13"/>
    </row>
    <row r="378" spans="2:21" x14ac:dyDescent="0.35">
      <c r="B378" s="13"/>
      <c r="E378" s="13"/>
      <c r="H378" s="13"/>
      <c r="N378" s="13"/>
      <c r="R378" s="13"/>
      <c r="S378" s="13"/>
      <c r="U378" s="13"/>
    </row>
    <row r="379" spans="2:21" x14ac:dyDescent="0.35">
      <c r="B379" s="13"/>
      <c r="E379" s="13"/>
      <c r="H379" s="13"/>
      <c r="N379" s="13"/>
      <c r="R379" s="13"/>
      <c r="S379" s="13"/>
      <c r="U379" s="13"/>
    </row>
    <row r="380" spans="2:21" x14ac:dyDescent="0.35">
      <c r="B380" s="13"/>
      <c r="E380" s="13"/>
      <c r="H380" s="13"/>
      <c r="N380" s="13"/>
      <c r="R380" s="13"/>
      <c r="S380" s="13"/>
      <c r="U380" s="13"/>
    </row>
    <row r="381" spans="2:21" x14ac:dyDescent="0.35">
      <c r="B381" s="13"/>
      <c r="E381" s="13"/>
      <c r="H381" s="13"/>
      <c r="N381" s="13"/>
      <c r="R381" s="13"/>
      <c r="S381" s="13"/>
      <c r="U381" s="13"/>
    </row>
    <row r="382" spans="2:21" x14ac:dyDescent="0.35">
      <c r="B382" s="13"/>
      <c r="E382" s="13"/>
      <c r="H382" s="13"/>
      <c r="N382" s="13"/>
      <c r="R382" s="13"/>
      <c r="S382" s="13"/>
      <c r="U382" s="13"/>
    </row>
    <row r="383" spans="2:21" x14ac:dyDescent="0.35">
      <c r="B383" s="13"/>
      <c r="E383" s="13"/>
      <c r="H383" s="13"/>
      <c r="N383" s="13"/>
      <c r="R383" s="13"/>
      <c r="S383" s="13"/>
      <c r="U383" s="13"/>
    </row>
    <row r="384" spans="2:21" x14ac:dyDescent="0.35">
      <c r="B384" s="13"/>
      <c r="E384" s="13"/>
      <c r="H384" s="13"/>
      <c r="N384" s="13"/>
      <c r="R384" s="13"/>
      <c r="S384" s="13"/>
      <c r="U384" s="13"/>
    </row>
    <row r="385" spans="1:25" x14ac:dyDescent="0.35">
      <c r="N385" s="148"/>
      <c r="O385" s="26"/>
      <c r="P385" s="26"/>
      <c r="Q385" s="26"/>
      <c r="R385" s="13"/>
      <c r="S385" s="13"/>
      <c r="U385" s="13"/>
    </row>
    <row r="386" spans="1:25" x14ac:dyDescent="0.35">
      <c r="N386" s="148"/>
      <c r="O386" s="26"/>
      <c r="P386" s="147"/>
      <c r="Q386" s="26"/>
      <c r="R386" s="13"/>
      <c r="S386" s="13"/>
      <c r="U386" s="13"/>
    </row>
    <row r="387" spans="1:25" x14ac:dyDescent="0.35">
      <c r="N387" s="26"/>
      <c r="O387" s="26"/>
      <c r="P387" s="26"/>
      <c r="Q387" s="26"/>
      <c r="R387" s="13"/>
      <c r="S387" s="13"/>
      <c r="U387" s="13"/>
    </row>
    <row r="388" spans="1:25" x14ac:dyDescent="0.35">
      <c r="N388" s="26"/>
      <c r="O388" s="152"/>
      <c r="P388" s="153"/>
      <c r="Q388" s="26"/>
      <c r="R388" s="13"/>
      <c r="S388" s="13"/>
      <c r="U388" s="13"/>
    </row>
    <row r="389" spans="1:25" x14ac:dyDescent="0.35">
      <c r="N389" s="148"/>
      <c r="O389" s="26"/>
      <c r="P389" s="26"/>
      <c r="Q389" s="26"/>
      <c r="R389" s="13"/>
      <c r="S389" s="13"/>
      <c r="U389" s="13"/>
    </row>
    <row r="390" spans="1:25" x14ac:dyDescent="0.35">
      <c r="N390" s="148"/>
      <c r="O390" s="26"/>
      <c r="P390" s="26"/>
      <c r="Q390" s="26"/>
      <c r="R390" s="13"/>
      <c r="S390" s="13"/>
      <c r="U390" s="13"/>
    </row>
    <row r="391" spans="1:25" x14ac:dyDescent="0.35">
      <c r="N391" s="148"/>
      <c r="O391" s="26"/>
      <c r="P391" s="26"/>
      <c r="Q391" s="26"/>
      <c r="R391" s="13"/>
      <c r="S391" s="13"/>
      <c r="U391" s="13"/>
    </row>
    <row r="392" spans="1:25" x14ac:dyDescent="0.35">
      <c r="N392" s="148"/>
      <c r="O392" s="26"/>
      <c r="P392" s="26"/>
      <c r="Q392" s="26"/>
      <c r="R392" s="13"/>
      <c r="S392" s="13"/>
      <c r="U392" s="13"/>
    </row>
    <row r="393" spans="1:25" x14ac:dyDescent="0.35">
      <c r="N393" s="148"/>
      <c r="O393" s="26"/>
      <c r="P393" s="26"/>
      <c r="Q393" s="26"/>
      <c r="W393" s="26"/>
      <c r="X393" s="26"/>
      <c r="Y393" s="26"/>
    </row>
    <row r="394" spans="1:25" x14ac:dyDescent="0.35">
      <c r="N394" s="148"/>
      <c r="O394" s="26"/>
      <c r="P394" s="26"/>
      <c r="Q394" s="26"/>
      <c r="R394" s="84"/>
      <c r="S394" s="136"/>
      <c r="T394" s="26"/>
      <c r="U394" s="45"/>
      <c r="V394" s="26"/>
      <c r="W394" s="26"/>
    </row>
    <row r="395" spans="1:25" x14ac:dyDescent="0.35">
      <c r="N395" s="148"/>
      <c r="O395" s="26"/>
      <c r="P395" s="26"/>
      <c r="Q395" s="26"/>
      <c r="R395" s="84"/>
      <c r="S395" s="136"/>
      <c r="T395" s="26"/>
      <c r="U395" s="45"/>
      <c r="V395" s="26"/>
      <c r="W395" s="26"/>
    </row>
    <row r="396" spans="1:25" x14ac:dyDescent="0.35">
      <c r="A396" s="26"/>
      <c r="B396" s="35"/>
      <c r="C396" s="26"/>
      <c r="D396" s="26"/>
      <c r="E396" s="44"/>
      <c r="F396" s="26"/>
      <c r="G396" s="26"/>
      <c r="H396" s="147"/>
      <c r="I396" s="26"/>
      <c r="J396" s="26"/>
      <c r="K396" s="26"/>
      <c r="L396" s="26"/>
      <c r="M396" s="26"/>
      <c r="N396" s="148"/>
      <c r="O396" s="26"/>
      <c r="P396" s="26"/>
      <c r="Q396" s="26"/>
      <c r="R396" s="84"/>
      <c r="S396" s="136"/>
      <c r="T396" s="26"/>
      <c r="U396" s="45"/>
      <c r="V396" s="26"/>
      <c r="W396" s="26"/>
    </row>
    <row r="397" spans="1:25" x14ac:dyDescent="0.35">
      <c r="A397" s="29"/>
      <c r="B397" s="155"/>
      <c r="C397" s="26"/>
      <c r="D397" s="26"/>
      <c r="E397" s="44"/>
      <c r="F397" s="26"/>
      <c r="G397" s="26"/>
      <c r="H397" s="147"/>
      <c r="I397" s="26"/>
      <c r="J397" s="26"/>
      <c r="K397" s="26"/>
      <c r="L397" s="26"/>
      <c r="M397" s="26"/>
      <c r="N397" s="148"/>
      <c r="O397" s="26"/>
      <c r="P397" s="26"/>
      <c r="Q397" s="26"/>
      <c r="R397" s="84"/>
      <c r="S397" s="136"/>
      <c r="T397" s="26"/>
      <c r="U397" s="45"/>
      <c r="V397" s="26"/>
      <c r="W397" s="26"/>
    </row>
    <row r="398" spans="1:25" x14ac:dyDescent="0.35">
      <c r="A398" s="29"/>
      <c r="B398" s="155"/>
      <c r="C398" s="26"/>
      <c r="D398" s="26"/>
      <c r="E398" s="44"/>
      <c r="F398" s="26"/>
      <c r="G398" s="26"/>
      <c r="H398" s="147"/>
      <c r="I398" s="26"/>
      <c r="J398" s="26"/>
      <c r="K398" s="26"/>
      <c r="L398" s="26"/>
      <c r="M398" s="26"/>
      <c r="N398" s="148"/>
      <c r="O398" s="26"/>
      <c r="P398" s="26"/>
      <c r="Q398" s="26"/>
      <c r="R398" s="84"/>
      <c r="S398" s="136"/>
      <c r="T398" s="26"/>
      <c r="U398" s="45"/>
      <c r="V398" s="26"/>
      <c r="W398" s="26"/>
    </row>
    <row r="399" spans="1:25" x14ac:dyDescent="0.35">
      <c r="A399" s="26"/>
      <c r="B399" s="35"/>
      <c r="C399" s="26"/>
      <c r="D399" s="26"/>
      <c r="E399" s="44"/>
      <c r="F399" s="26"/>
      <c r="G399" s="26"/>
      <c r="H399" s="147"/>
      <c r="I399" s="26"/>
      <c r="J399" s="26"/>
      <c r="K399" s="26"/>
      <c r="L399" s="26"/>
      <c r="M399" s="26"/>
      <c r="N399" s="148"/>
      <c r="O399" s="26"/>
      <c r="P399" s="26"/>
      <c r="Q399" s="26"/>
      <c r="R399" s="84"/>
      <c r="S399" s="136"/>
      <c r="T399" s="26"/>
      <c r="U399" s="45"/>
      <c r="V399" s="26"/>
      <c r="W399" s="26"/>
    </row>
    <row r="400" spans="1:25" x14ac:dyDescent="0.35">
      <c r="A400" s="29"/>
      <c r="B400" s="156"/>
      <c r="C400" s="26"/>
      <c r="D400" s="157"/>
      <c r="E400" s="158"/>
      <c r="F400" s="157"/>
      <c r="G400" s="26"/>
      <c r="H400" s="157"/>
      <c r="I400" s="26"/>
      <c r="J400" s="26"/>
      <c r="K400" s="26"/>
      <c r="L400" s="26"/>
      <c r="M400" s="26"/>
      <c r="N400" s="148"/>
      <c r="O400" s="26"/>
      <c r="P400" s="26"/>
      <c r="Q400" s="26"/>
      <c r="R400" s="84"/>
      <c r="S400" s="136"/>
      <c r="T400" s="26"/>
      <c r="U400" s="45"/>
      <c r="V400" s="26"/>
      <c r="W400" s="26"/>
    </row>
    <row r="401" spans="1:23" x14ac:dyDescent="0.35">
      <c r="A401" s="29"/>
      <c r="B401" s="156"/>
      <c r="C401" s="26"/>
      <c r="D401" s="157"/>
      <c r="E401" s="158"/>
      <c r="F401" s="157"/>
      <c r="G401" s="26"/>
      <c r="H401" s="157"/>
      <c r="I401" s="26"/>
      <c r="J401" s="26"/>
      <c r="K401" s="26"/>
      <c r="L401" s="26"/>
      <c r="M401" s="26"/>
      <c r="N401" s="148"/>
      <c r="O401" s="26"/>
      <c r="P401" s="26"/>
      <c r="Q401" s="26"/>
      <c r="R401" s="84"/>
      <c r="S401" s="136"/>
      <c r="T401" s="26"/>
      <c r="U401" s="45"/>
      <c r="V401" s="26"/>
      <c r="W401" s="26"/>
    </row>
    <row r="402" spans="1:23" x14ac:dyDescent="0.35">
      <c r="A402" s="29"/>
      <c r="B402" s="156"/>
      <c r="C402" s="26"/>
      <c r="D402" s="157"/>
      <c r="E402" s="158"/>
      <c r="F402" s="157"/>
      <c r="G402" s="26"/>
      <c r="H402" s="157"/>
      <c r="I402" s="26"/>
      <c r="J402" s="26"/>
      <c r="K402" s="26"/>
      <c r="L402" s="26"/>
      <c r="M402" s="26"/>
      <c r="N402" s="148"/>
      <c r="O402" s="26"/>
      <c r="P402" s="26"/>
      <c r="Q402" s="26"/>
      <c r="R402" s="84"/>
      <c r="S402" s="136"/>
      <c r="T402" s="26"/>
      <c r="U402" s="45"/>
      <c r="V402" s="26"/>
      <c r="W402" s="26"/>
    </row>
    <row r="403" spans="1:23" x14ac:dyDescent="0.35">
      <c r="A403" s="26"/>
      <c r="B403" s="35"/>
      <c r="C403" s="26"/>
      <c r="D403" s="26"/>
      <c r="E403" s="44"/>
      <c r="F403" s="26"/>
      <c r="G403" s="26"/>
      <c r="H403" s="147"/>
      <c r="I403" s="26"/>
      <c r="J403" s="26"/>
      <c r="K403" s="26"/>
      <c r="L403" s="26"/>
      <c r="M403" s="26"/>
      <c r="N403" s="148"/>
      <c r="O403" s="26"/>
      <c r="P403" s="26"/>
      <c r="Q403" s="26"/>
      <c r="R403" s="84"/>
      <c r="S403" s="136"/>
      <c r="T403" s="26"/>
      <c r="U403" s="45"/>
      <c r="V403" s="26"/>
      <c r="W403" s="26"/>
    </row>
    <row r="404" spans="1:23" x14ac:dyDescent="0.35">
      <c r="A404" s="95"/>
      <c r="B404" s="140"/>
      <c r="C404" s="159"/>
      <c r="D404" s="140"/>
      <c r="E404" s="69"/>
      <c r="F404" s="159"/>
      <c r="G404" s="140"/>
      <c r="H404" s="107"/>
      <c r="I404" s="154"/>
      <c r="J404" s="26"/>
      <c r="K404" s="26"/>
      <c r="L404" s="26"/>
      <c r="M404" s="26"/>
      <c r="N404" s="148"/>
      <c r="O404" s="26"/>
      <c r="P404" s="26"/>
      <c r="Q404" s="26"/>
      <c r="R404" s="84"/>
      <c r="S404" s="136"/>
      <c r="T404" s="26"/>
      <c r="U404" s="45"/>
      <c r="V404" s="26"/>
      <c r="W404" s="26"/>
    </row>
    <row r="405" spans="1:23" x14ac:dyDescent="0.35">
      <c r="A405" s="95"/>
      <c r="B405" s="140"/>
      <c r="C405" s="26"/>
      <c r="D405" s="35"/>
      <c r="E405" s="69"/>
      <c r="F405" s="26"/>
      <c r="G405" s="35"/>
      <c r="H405" s="107"/>
      <c r="I405" s="154"/>
      <c r="J405" s="26"/>
      <c r="K405" s="26"/>
      <c r="L405" s="26"/>
      <c r="M405" s="26"/>
      <c r="N405" s="148"/>
      <c r="O405" s="26"/>
      <c r="P405" s="26"/>
      <c r="Q405" s="26"/>
      <c r="R405" s="84"/>
      <c r="S405" s="136"/>
      <c r="T405" s="26"/>
      <c r="U405" s="45"/>
      <c r="V405" s="26"/>
      <c r="W405" s="26"/>
    </row>
    <row r="406" spans="1:23" x14ac:dyDescent="0.35">
      <c r="A406" s="95"/>
      <c r="B406" s="140"/>
      <c r="C406" s="26"/>
      <c r="D406" s="35"/>
      <c r="E406" s="69"/>
      <c r="F406" s="26"/>
      <c r="G406" s="35"/>
      <c r="H406" s="107"/>
      <c r="I406" s="154"/>
      <c r="J406" s="26"/>
      <c r="K406" s="26"/>
      <c r="L406" s="26"/>
      <c r="M406" s="26"/>
      <c r="N406" s="148"/>
      <c r="O406" s="26"/>
      <c r="P406" s="26"/>
      <c r="Q406" s="26"/>
      <c r="R406" s="84"/>
      <c r="S406" s="136"/>
      <c r="T406" s="26"/>
      <c r="U406" s="45"/>
      <c r="V406" s="26"/>
      <c r="W406" s="26"/>
    </row>
    <row r="407" spans="1:23" x14ac:dyDescent="0.35">
      <c r="A407" s="26"/>
      <c r="B407" s="35"/>
      <c r="C407" s="26"/>
      <c r="D407" s="26"/>
      <c r="E407" s="44"/>
      <c r="F407" s="26"/>
      <c r="G407" s="26"/>
      <c r="H407" s="147"/>
      <c r="I407" s="26"/>
      <c r="J407" s="26"/>
      <c r="K407" s="26"/>
      <c r="L407" s="26"/>
      <c r="M407" s="26"/>
      <c r="N407" s="148"/>
      <c r="O407" s="26"/>
      <c r="P407" s="26"/>
      <c r="Q407" s="26"/>
      <c r="R407" s="84"/>
      <c r="S407" s="136"/>
      <c r="T407" s="26"/>
      <c r="U407" s="45"/>
      <c r="V407" s="26"/>
      <c r="W407" s="26"/>
    </row>
    <row r="408" spans="1:23" x14ac:dyDescent="0.35">
      <c r="A408" s="26"/>
      <c r="B408" s="35"/>
      <c r="C408" s="26"/>
      <c r="D408" s="26"/>
      <c r="E408" s="44"/>
      <c r="F408" s="26"/>
      <c r="G408" s="26"/>
      <c r="H408" s="147"/>
      <c r="I408" s="26"/>
      <c r="J408" s="26"/>
      <c r="K408" s="26"/>
      <c r="L408" s="26"/>
      <c r="M408" s="26"/>
      <c r="N408" s="148"/>
      <c r="O408" s="26"/>
      <c r="P408" s="26"/>
      <c r="Q408" s="26"/>
      <c r="R408" s="84"/>
      <c r="S408" s="136"/>
      <c r="T408" s="26"/>
      <c r="U408" s="45"/>
      <c r="V408" s="26"/>
      <c r="W408" s="26"/>
    </row>
    <row r="409" spans="1:23" x14ac:dyDescent="0.35">
      <c r="A409" s="26"/>
      <c r="B409" s="35"/>
      <c r="C409" s="26"/>
      <c r="D409" s="26"/>
      <c r="E409" s="44"/>
      <c r="F409" s="26"/>
      <c r="G409" s="26"/>
      <c r="H409" s="147"/>
      <c r="I409" s="26"/>
      <c r="J409" s="26"/>
      <c r="K409" s="26"/>
      <c r="L409" s="26"/>
      <c r="M409" s="26"/>
      <c r="N409" s="148"/>
      <c r="O409" s="26"/>
      <c r="P409" s="26"/>
      <c r="Q409" s="26"/>
      <c r="R409" s="84"/>
      <c r="S409" s="136"/>
      <c r="T409" s="26"/>
      <c r="U409" s="45"/>
      <c r="V409" s="26"/>
      <c r="W409" s="26"/>
    </row>
    <row r="410" spans="1:23" x14ac:dyDescent="0.35">
      <c r="A410" s="160"/>
      <c r="B410" s="35"/>
      <c r="C410" s="26"/>
      <c r="D410" s="26"/>
      <c r="E410" s="44"/>
      <c r="F410" s="26"/>
      <c r="G410" s="26"/>
      <c r="H410" s="147"/>
      <c r="I410" s="26"/>
      <c r="J410" s="26"/>
      <c r="K410" s="26"/>
      <c r="L410" s="26"/>
      <c r="M410" s="26"/>
      <c r="N410" s="148"/>
      <c r="O410" s="26"/>
      <c r="P410" s="26"/>
      <c r="Q410" s="26"/>
      <c r="R410" s="84"/>
      <c r="S410" s="136"/>
      <c r="T410" s="26"/>
      <c r="U410" s="45"/>
      <c r="V410" s="26"/>
      <c r="W410" s="26"/>
    </row>
    <row r="411" spans="1:23" x14ac:dyDescent="0.35">
      <c r="A411" s="160"/>
      <c r="B411" s="35"/>
      <c r="C411" s="26"/>
      <c r="D411" s="26"/>
      <c r="E411" s="44"/>
      <c r="F411" s="26"/>
      <c r="G411" s="26"/>
      <c r="H411" s="147"/>
      <c r="I411" s="26"/>
      <c r="J411" s="26"/>
      <c r="K411" s="26"/>
      <c r="L411" s="26"/>
      <c r="M411" s="26"/>
      <c r="N411" s="148"/>
      <c r="O411" s="26"/>
      <c r="P411" s="26"/>
      <c r="Q411" s="26"/>
      <c r="R411" s="84"/>
      <c r="S411" s="136"/>
      <c r="T411" s="26"/>
      <c r="U411" s="45"/>
      <c r="V411" s="26"/>
      <c r="W411" s="26"/>
    </row>
    <row r="412" spans="1:23" x14ac:dyDescent="0.35">
      <c r="A412" s="160"/>
      <c r="B412" s="35"/>
      <c r="C412" s="26"/>
      <c r="D412" s="26"/>
      <c r="E412" s="44"/>
      <c r="F412" s="26"/>
      <c r="G412" s="26"/>
      <c r="H412" s="147"/>
      <c r="I412" s="26"/>
      <c r="J412" s="26"/>
      <c r="K412" s="26"/>
      <c r="L412" s="26"/>
      <c r="M412" s="26"/>
      <c r="N412" s="148"/>
      <c r="O412" s="26"/>
      <c r="P412" s="26"/>
      <c r="Q412" s="26"/>
      <c r="R412" s="84"/>
      <c r="S412" s="136"/>
      <c r="T412" s="26"/>
      <c r="U412" s="45"/>
      <c r="V412" s="26"/>
      <c r="W412" s="26"/>
    </row>
    <row r="413" spans="1:23" x14ac:dyDescent="0.35">
      <c r="A413" s="26"/>
      <c r="B413" s="35"/>
      <c r="C413" s="26"/>
      <c r="D413" s="26"/>
      <c r="E413" s="44"/>
      <c r="F413" s="26"/>
      <c r="G413" s="26"/>
      <c r="H413" s="147"/>
      <c r="I413" s="26"/>
      <c r="J413" s="26"/>
      <c r="K413" s="26"/>
      <c r="L413" s="26"/>
      <c r="M413" s="26"/>
      <c r="N413" s="148"/>
      <c r="O413" s="26"/>
      <c r="P413" s="26"/>
      <c r="Q413" s="26"/>
      <c r="R413" s="84"/>
      <c r="S413" s="136"/>
      <c r="T413" s="26"/>
      <c r="U413" s="45"/>
      <c r="V413" s="26"/>
      <c r="W413" s="26"/>
    </row>
    <row r="414" spans="1:23" x14ac:dyDescent="0.35">
      <c r="A414" s="26"/>
      <c r="B414" s="35"/>
      <c r="C414" s="26"/>
      <c r="D414" s="26"/>
      <c r="E414" s="44"/>
      <c r="F414" s="26"/>
      <c r="G414" s="26"/>
      <c r="H414" s="147"/>
      <c r="I414" s="26"/>
      <c r="J414" s="26"/>
      <c r="K414" s="26"/>
      <c r="L414" s="26"/>
      <c r="M414" s="26"/>
      <c r="N414" s="148"/>
      <c r="O414" s="26"/>
      <c r="P414" s="26"/>
      <c r="Q414" s="26"/>
      <c r="R414" s="84"/>
      <c r="S414" s="136"/>
      <c r="T414" s="26"/>
      <c r="U414" s="45"/>
      <c r="V414" s="26"/>
      <c r="W414" s="26"/>
    </row>
    <row r="415" spans="1:23" x14ac:dyDescent="0.35">
      <c r="A415" s="26"/>
      <c r="B415" s="35"/>
      <c r="C415" s="26"/>
      <c r="D415" s="26"/>
      <c r="E415" s="44"/>
      <c r="F415" s="26"/>
      <c r="G415" s="26"/>
      <c r="H415" s="147"/>
      <c r="I415" s="26"/>
      <c r="J415" s="26"/>
      <c r="K415" s="26"/>
      <c r="L415" s="26"/>
      <c r="M415" s="26"/>
      <c r="N415" s="148"/>
      <c r="O415" s="26"/>
      <c r="P415" s="26"/>
      <c r="Q415" s="26"/>
      <c r="R415" s="84"/>
      <c r="S415" s="136"/>
      <c r="T415" s="26"/>
      <c r="U415" s="45"/>
      <c r="V415" s="26"/>
      <c r="W415" s="26"/>
    </row>
    <row r="416" spans="1:23" x14ac:dyDescent="0.35">
      <c r="A416" s="26"/>
      <c r="B416" s="35"/>
      <c r="C416" s="26"/>
      <c r="D416" s="26"/>
      <c r="E416" s="44"/>
      <c r="F416" s="26"/>
      <c r="G416" s="26"/>
      <c r="H416" s="147"/>
      <c r="I416" s="26"/>
      <c r="J416" s="26"/>
      <c r="K416" s="26"/>
      <c r="L416" s="26"/>
      <c r="M416" s="26"/>
      <c r="N416" s="148"/>
      <c r="O416" s="26"/>
      <c r="P416" s="26"/>
      <c r="Q416" s="26"/>
      <c r="R416" s="84"/>
      <c r="S416" s="136"/>
      <c r="T416" s="26"/>
      <c r="U416" s="45"/>
      <c r="V416" s="26"/>
      <c r="W416" s="26"/>
    </row>
    <row r="417" spans="1:23" x14ac:dyDescent="0.35">
      <c r="A417" s="26"/>
      <c r="B417" s="35"/>
      <c r="C417" s="26"/>
      <c r="D417" s="26"/>
      <c r="E417" s="44"/>
      <c r="F417" s="26"/>
      <c r="G417" s="26"/>
      <c r="H417" s="147"/>
      <c r="I417" s="26"/>
      <c r="J417" s="26"/>
      <c r="K417" s="26"/>
      <c r="L417" s="26"/>
      <c r="M417" s="26"/>
      <c r="N417" s="148"/>
      <c r="O417" s="26"/>
      <c r="P417" s="26"/>
      <c r="Q417" s="26"/>
      <c r="R417" s="84"/>
      <c r="S417" s="136"/>
      <c r="T417" s="26"/>
      <c r="U417" s="45"/>
      <c r="V417" s="26"/>
      <c r="W417" s="26"/>
    </row>
    <row r="418" spans="1:23" x14ac:dyDescent="0.35">
      <c r="A418" s="26"/>
      <c r="B418" s="35"/>
      <c r="C418" s="26"/>
      <c r="D418" s="26"/>
      <c r="E418" s="44"/>
      <c r="F418" s="26"/>
      <c r="G418" s="26"/>
      <c r="H418" s="147"/>
      <c r="I418" s="26"/>
      <c r="J418" s="26"/>
      <c r="K418" s="26"/>
      <c r="L418" s="26"/>
      <c r="M418" s="26"/>
      <c r="N418" s="148"/>
      <c r="O418" s="26"/>
      <c r="P418" s="26"/>
      <c r="Q418" s="26"/>
      <c r="R418" s="84"/>
      <c r="S418" s="136"/>
      <c r="T418" s="26"/>
      <c r="U418" s="45"/>
      <c r="V418" s="26"/>
      <c r="W418" s="26"/>
    </row>
    <row r="419" spans="1:23" x14ac:dyDescent="0.35">
      <c r="A419" s="26"/>
      <c r="B419" s="35"/>
      <c r="C419" s="26"/>
      <c r="D419" s="26"/>
      <c r="E419" s="44"/>
      <c r="F419" s="26"/>
      <c r="G419" s="26"/>
      <c r="H419" s="147"/>
      <c r="I419" s="26"/>
      <c r="J419" s="26"/>
      <c r="K419" s="26"/>
      <c r="L419" s="26"/>
      <c r="M419" s="26"/>
      <c r="N419" s="148"/>
      <c r="O419" s="26"/>
      <c r="P419" s="26"/>
      <c r="Q419" s="26"/>
      <c r="R419" s="84"/>
      <c r="S419" s="136"/>
      <c r="T419" s="26"/>
      <c r="U419" s="45"/>
      <c r="V419" s="26"/>
      <c r="W419" s="26"/>
    </row>
    <row r="420" spans="1:23" x14ac:dyDescent="0.35">
      <c r="A420" s="26"/>
      <c r="B420" s="35"/>
      <c r="C420" s="26"/>
      <c r="D420" s="26"/>
      <c r="E420" s="44"/>
      <c r="F420" s="26"/>
      <c r="G420" s="26"/>
      <c r="H420" s="147"/>
      <c r="I420" s="26"/>
      <c r="J420" s="26"/>
      <c r="K420" s="26"/>
      <c r="L420" s="26"/>
      <c r="M420" s="26"/>
      <c r="N420" s="148"/>
      <c r="O420" s="26"/>
      <c r="P420" s="26"/>
      <c r="Q420" s="26"/>
      <c r="R420" s="84"/>
      <c r="S420" s="136"/>
      <c r="T420" s="26"/>
      <c r="U420" s="45"/>
      <c r="V420" s="26"/>
      <c r="W420" s="26"/>
    </row>
    <row r="421" spans="1:23" x14ac:dyDescent="0.35">
      <c r="A421" s="26"/>
      <c r="B421" s="161"/>
      <c r="C421" s="26"/>
      <c r="D421" s="26"/>
      <c r="E421" s="44"/>
      <c r="F421" s="26"/>
      <c r="G421" s="26"/>
      <c r="H421" s="147"/>
      <c r="I421" s="26"/>
      <c r="J421" s="26"/>
      <c r="K421" s="26"/>
      <c r="L421" s="26"/>
      <c r="M421" s="26"/>
      <c r="N421" s="148"/>
      <c r="O421" s="26"/>
      <c r="P421" s="26"/>
      <c r="Q421" s="26"/>
      <c r="R421" s="84"/>
      <c r="S421" s="136"/>
      <c r="T421" s="26"/>
      <c r="U421" s="45"/>
      <c r="V421" s="26"/>
      <c r="W421" s="26"/>
    </row>
    <row r="422" spans="1:23" x14ac:dyDescent="0.35">
      <c r="A422" s="95"/>
      <c r="B422" s="69"/>
      <c r="C422" s="126"/>
      <c r="D422" s="35"/>
      <c r="E422" s="113"/>
      <c r="F422" s="26"/>
      <c r="G422" s="35"/>
      <c r="H422" s="107"/>
      <c r="I422" s="162"/>
      <c r="J422" s="31"/>
      <c r="K422" s="163"/>
      <c r="L422" s="26"/>
      <c r="M422" s="26"/>
      <c r="N422" s="148"/>
      <c r="O422" s="26"/>
      <c r="P422" s="26"/>
      <c r="Q422" s="26"/>
      <c r="R422" s="84"/>
      <c r="S422" s="136"/>
      <c r="T422" s="26"/>
      <c r="U422" s="45"/>
      <c r="V422" s="26"/>
      <c r="W422" s="26"/>
    </row>
    <row r="423" spans="1:23" x14ac:dyDescent="0.35">
      <c r="A423" s="95"/>
      <c r="B423" s="69"/>
      <c r="C423" s="126"/>
      <c r="D423" s="35"/>
      <c r="E423" s="113"/>
      <c r="F423" s="26"/>
      <c r="G423" s="35"/>
      <c r="H423" s="107"/>
      <c r="I423" s="162"/>
      <c r="J423" s="31"/>
      <c r="K423" s="163"/>
      <c r="L423" s="26"/>
      <c r="M423" s="26"/>
      <c r="N423" s="148"/>
      <c r="O423" s="26"/>
      <c r="P423" s="26"/>
      <c r="Q423" s="26"/>
      <c r="R423" s="84"/>
      <c r="S423" s="136"/>
      <c r="T423" s="26"/>
      <c r="U423" s="45"/>
      <c r="V423" s="26"/>
      <c r="W423" s="26"/>
    </row>
    <row r="424" spans="1:23" x14ac:dyDescent="0.35">
      <c r="A424" s="26"/>
      <c r="B424" s="35"/>
      <c r="C424" s="26"/>
      <c r="D424" s="26"/>
      <c r="E424" s="44"/>
      <c r="F424" s="26"/>
      <c r="G424" s="26"/>
      <c r="H424" s="147"/>
      <c r="I424" s="26"/>
      <c r="J424" s="26"/>
      <c r="K424" s="26"/>
      <c r="L424" s="26"/>
      <c r="M424" s="26"/>
      <c r="N424" s="148"/>
      <c r="O424" s="26"/>
      <c r="P424" s="26"/>
      <c r="Q424" s="26"/>
      <c r="R424" s="84"/>
      <c r="S424" s="136"/>
      <c r="T424" s="26"/>
      <c r="U424" s="45"/>
      <c r="V424" s="26"/>
      <c r="W424" s="26"/>
    </row>
    <row r="425" spans="1:23" x14ac:dyDescent="0.35">
      <c r="A425" s="26"/>
      <c r="B425" s="35"/>
      <c r="C425" s="26"/>
      <c r="D425" s="26"/>
      <c r="E425" s="44"/>
      <c r="F425" s="26"/>
      <c r="G425" s="26"/>
      <c r="H425" s="147"/>
      <c r="I425" s="26"/>
      <c r="J425" s="26"/>
      <c r="K425" s="26"/>
      <c r="L425" s="26"/>
      <c r="M425" s="26"/>
      <c r="N425" s="148"/>
      <c r="O425" s="26"/>
      <c r="P425" s="26"/>
      <c r="Q425" s="26"/>
      <c r="R425" s="84"/>
      <c r="S425" s="136"/>
      <c r="T425" s="26"/>
      <c r="U425" s="45"/>
      <c r="V425" s="26"/>
      <c r="W425" s="26"/>
    </row>
    <row r="426" spans="1:23" x14ac:dyDescent="0.35">
      <c r="A426" s="26"/>
      <c r="B426" s="35"/>
      <c r="C426" s="26"/>
      <c r="D426" s="26"/>
      <c r="E426" s="44"/>
      <c r="F426" s="26"/>
      <c r="G426" s="26"/>
      <c r="H426" s="147"/>
      <c r="I426" s="26"/>
      <c r="J426" s="26"/>
      <c r="K426" s="26"/>
      <c r="L426" s="26"/>
      <c r="M426" s="26"/>
      <c r="N426" s="148"/>
      <c r="O426" s="26"/>
      <c r="P426" s="26"/>
      <c r="Q426" s="26"/>
      <c r="R426" s="84"/>
      <c r="S426" s="136"/>
      <c r="T426" s="26"/>
      <c r="U426" s="45"/>
      <c r="V426" s="26"/>
      <c r="W426" s="26"/>
    </row>
    <row r="427" spans="1:23" x14ac:dyDescent="0.35">
      <c r="A427" s="95"/>
      <c r="B427" s="69"/>
      <c r="C427" s="126"/>
      <c r="D427" s="35"/>
      <c r="E427" s="113"/>
      <c r="F427" s="26"/>
      <c r="G427" s="35"/>
      <c r="H427" s="107"/>
      <c r="I427" s="162"/>
      <c r="J427" s="31"/>
      <c r="K427" s="163"/>
      <c r="L427" s="26"/>
      <c r="M427" s="26"/>
      <c r="N427" s="148"/>
      <c r="O427" s="26"/>
      <c r="P427" s="26"/>
      <c r="Q427" s="26"/>
      <c r="R427" s="84"/>
      <c r="S427" s="136"/>
      <c r="T427" s="26"/>
      <c r="U427" s="45"/>
      <c r="V427" s="26"/>
      <c r="W427" s="26"/>
    </row>
    <row r="428" spans="1:23" x14ac:dyDescent="0.35">
      <c r="A428" s="95"/>
      <c r="B428" s="69"/>
      <c r="C428" s="126"/>
      <c r="D428" s="35"/>
      <c r="E428" s="113"/>
      <c r="F428" s="26"/>
      <c r="G428" s="35"/>
      <c r="H428" s="107"/>
      <c r="I428" s="162"/>
      <c r="J428" s="31"/>
      <c r="K428" s="163"/>
      <c r="L428" s="26"/>
      <c r="M428" s="26"/>
      <c r="N428" s="148"/>
      <c r="O428" s="26"/>
      <c r="P428" s="26"/>
      <c r="Q428" s="26"/>
      <c r="R428" s="84"/>
      <c r="S428" s="136"/>
      <c r="T428" s="26"/>
      <c r="U428" s="45"/>
      <c r="V428" s="26"/>
      <c r="W428" s="26"/>
    </row>
    <row r="429" spans="1:23" x14ac:dyDescent="0.35">
      <c r="A429" s="95"/>
      <c r="B429" s="69"/>
      <c r="C429" s="126"/>
      <c r="D429" s="35"/>
      <c r="E429" s="113"/>
      <c r="F429" s="26"/>
      <c r="G429" s="35"/>
      <c r="H429" s="107"/>
      <c r="I429" s="162"/>
      <c r="J429" s="31"/>
      <c r="K429" s="163"/>
      <c r="L429" s="26"/>
      <c r="M429" s="26"/>
      <c r="N429" s="148"/>
      <c r="O429" s="26"/>
      <c r="P429" s="26"/>
      <c r="Q429" s="26"/>
      <c r="R429" s="84"/>
      <c r="S429" s="136"/>
      <c r="T429" s="26"/>
      <c r="U429" s="45"/>
      <c r="V429" s="26"/>
      <c r="W429" s="26"/>
    </row>
    <row r="430" spans="1:23" x14ac:dyDescent="0.35">
      <c r="A430" s="26"/>
      <c r="B430" s="35"/>
      <c r="C430" s="26"/>
      <c r="D430" s="26"/>
      <c r="E430" s="44"/>
      <c r="F430" s="26"/>
      <c r="G430" s="26"/>
      <c r="H430" s="147"/>
      <c r="I430" s="26"/>
      <c r="J430" s="26"/>
      <c r="K430" s="26"/>
      <c r="L430" s="26"/>
      <c r="M430" s="26"/>
      <c r="N430" s="148"/>
      <c r="O430" s="26"/>
      <c r="P430" s="26"/>
      <c r="Q430" s="26"/>
      <c r="R430" s="84"/>
      <c r="S430" s="136"/>
      <c r="T430" s="26"/>
      <c r="U430" s="45"/>
      <c r="V430" s="26"/>
      <c r="W430" s="26"/>
    </row>
    <row r="431" spans="1:23" x14ac:dyDescent="0.35">
      <c r="A431" s="26"/>
      <c r="B431" s="35"/>
      <c r="C431" s="26"/>
      <c r="D431" s="26"/>
      <c r="E431" s="44"/>
      <c r="F431" s="26"/>
      <c r="G431" s="26"/>
      <c r="H431" s="147"/>
      <c r="I431" s="26"/>
      <c r="J431" s="26"/>
      <c r="K431" s="26"/>
      <c r="L431" s="26"/>
      <c r="M431" s="26"/>
      <c r="N431" s="148"/>
      <c r="O431" s="26"/>
      <c r="P431" s="26"/>
      <c r="Q431" s="26"/>
      <c r="R431" s="84"/>
      <c r="S431" s="136"/>
      <c r="T431" s="26"/>
      <c r="U431" s="45"/>
      <c r="V431" s="26"/>
      <c r="W431" s="26"/>
    </row>
    <row r="432" spans="1:23" x14ac:dyDescent="0.35">
      <c r="A432" s="26"/>
      <c r="B432" s="35"/>
      <c r="C432" s="26"/>
      <c r="D432" s="26"/>
      <c r="E432" s="44"/>
      <c r="F432" s="26"/>
      <c r="G432" s="26"/>
      <c r="H432" s="147"/>
      <c r="I432" s="26"/>
      <c r="J432" s="26"/>
      <c r="K432" s="26"/>
      <c r="L432" s="26"/>
      <c r="M432" s="26"/>
      <c r="N432" s="148"/>
      <c r="O432" s="26"/>
      <c r="P432" s="26"/>
      <c r="Q432" s="26"/>
      <c r="R432" s="84"/>
      <c r="S432" s="136"/>
      <c r="T432" s="26"/>
      <c r="U432" s="45"/>
      <c r="V432" s="26"/>
      <c r="W432" s="26"/>
    </row>
    <row r="433" spans="1:23" x14ac:dyDescent="0.35">
      <c r="A433" s="26"/>
      <c r="B433" s="35"/>
      <c r="C433" s="26"/>
      <c r="D433" s="26"/>
      <c r="E433" s="44"/>
      <c r="F433" s="26"/>
      <c r="G433" s="26"/>
      <c r="H433" s="147"/>
      <c r="I433" s="26"/>
      <c r="J433" s="26"/>
      <c r="K433" s="26"/>
      <c r="L433" s="26"/>
      <c r="M433" s="26"/>
      <c r="N433" s="148"/>
      <c r="O433" s="26"/>
      <c r="P433" s="26"/>
      <c r="Q433" s="26"/>
      <c r="R433" s="84"/>
      <c r="S433" s="136"/>
      <c r="T433" s="26"/>
      <c r="U433" s="45"/>
      <c r="V433" s="26"/>
      <c r="W433" s="26"/>
    </row>
    <row r="434" spans="1:23" x14ac:dyDescent="0.35">
      <c r="A434" s="26"/>
      <c r="B434" s="35"/>
      <c r="C434" s="26"/>
      <c r="D434" s="26"/>
      <c r="E434" s="44"/>
      <c r="F434" s="26"/>
      <c r="G434" s="26"/>
      <c r="H434" s="147"/>
      <c r="I434" s="26"/>
      <c r="J434" s="26"/>
      <c r="K434" s="26"/>
      <c r="L434" s="26"/>
      <c r="M434" s="26"/>
      <c r="N434" s="148"/>
      <c r="O434" s="26"/>
      <c r="P434" s="26"/>
      <c r="Q434" s="26"/>
      <c r="R434" s="84"/>
      <c r="S434" s="136"/>
      <c r="T434" s="26"/>
      <c r="U434" s="45"/>
      <c r="V434" s="26"/>
      <c r="W434" s="26"/>
    </row>
    <row r="435" spans="1:23" x14ac:dyDescent="0.35">
      <c r="A435" s="26"/>
      <c r="B435" s="35"/>
      <c r="C435" s="26"/>
      <c r="D435" s="26"/>
      <c r="E435" s="44"/>
      <c r="F435" s="26"/>
      <c r="G435" s="26"/>
      <c r="H435" s="147"/>
      <c r="I435" s="26"/>
      <c r="J435" s="26"/>
      <c r="K435" s="26"/>
      <c r="L435" s="26"/>
      <c r="M435" s="26"/>
      <c r="N435" s="148"/>
      <c r="O435" s="26"/>
      <c r="P435" s="26"/>
      <c r="Q435" s="26"/>
      <c r="R435" s="84"/>
      <c r="S435" s="136"/>
      <c r="T435" s="26"/>
      <c r="U435" s="45"/>
      <c r="V435" s="26"/>
      <c r="W435" s="26"/>
    </row>
    <row r="436" spans="1:23" x14ac:dyDescent="0.35">
      <c r="A436" s="26"/>
      <c r="B436" s="35"/>
      <c r="C436" s="26"/>
      <c r="D436" s="26"/>
      <c r="E436" s="44"/>
      <c r="F436" s="26"/>
      <c r="G436" s="26"/>
      <c r="H436" s="147"/>
      <c r="I436" s="26"/>
      <c r="J436" s="26"/>
      <c r="K436" s="26"/>
      <c r="L436" s="26"/>
      <c r="M436" s="26"/>
      <c r="N436" s="148"/>
      <c r="O436" s="26"/>
      <c r="P436" s="26"/>
      <c r="Q436" s="26"/>
      <c r="R436" s="84"/>
      <c r="S436" s="136"/>
      <c r="T436" s="26"/>
      <c r="U436" s="45"/>
      <c r="V436" s="26"/>
      <c r="W436" s="26"/>
    </row>
    <row r="437" spans="1:23" x14ac:dyDescent="0.35">
      <c r="A437" s="26"/>
      <c r="B437" s="35"/>
      <c r="C437" s="26"/>
      <c r="D437" s="26"/>
      <c r="E437" s="44"/>
      <c r="F437" s="26"/>
      <c r="G437" s="26"/>
      <c r="H437" s="147"/>
      <c r="I437" s="26"/>
      <c r="J437" s="26"/>
      <c r="K437" s="26"/>
      <c r="L437" s="26"/>
      <c r="M437" s="26"/>
      <c r="N437" s="148"/>
      <c r="O437" s="26"/>
      <c r="P437" s="26"/>
      <c r="Q437" s="26"/>
      <c r="R437" s="84"/>
      <c r="S437" s="136"/>
      <c r="T437" s="26"/>
      <c r="U437" s="45"/>
      <c r="V437" s="26"/>
      <c r="W437" s="26"/>
    </row>
    <row r="438" spans="1:23" x14ac:dyDescent="0.35">
      <c r="A438" s="26"/>
      <c r="B438" s="35"/>
      <c r="C438" s="26"/>
      <c r="D438" s="26"/>
      <c r="E438" s="44"/>
      <c r="F438" s="26"/>
      <c r="G438" s="26"/>
      <c r="H438" s="147"/>
      <c r="I438" s="26"/>
      <c r="J438" s="26"/>
      <c r="K438" s="26"/>
      <c r="L438" s="26"/>
      <c r="M438" s="26"/>
      <c r="N438" s="148"/>
      <c r="O438" s="26"/>
      <c r="P438" s="26"/>
      <c r="Q438" s="26"/>
      <c r="R438" s="84"/>
      <c r="S438" s="136"/>
      <c r="T438" s="26"/>
      <c r="U438" s="45"/>
      <c r="V438" s="26"/>
      <c r="W438" s="26"/>
    </row>
    <row r="439" spans="1:23" x14ac:dyDescent="0.35">
      <c r="A439" s="26"/>
      <c r="B439" s="35"/>
      <c r="C439" s="26"/>
      <c r="D439" s="26"/>
      <c r="E439" s="44"/>
      <c r="F439" s="26"/>
      <c r="G439" s="26"/>
      <c r="H439" s="147"/>
      <c r="I439" s="26"/>
      <c r="J439" s="26"/>
      <c r="K439" s="26"/>
      <c r="L439" s="26"/>
      <c r="M439" s="26"/>
      <c r="N439" s="148"/>
      <c r="O439" s="26"/>
      <c r="P439" s="26"/>
      <c r="Q439" s="26"/>
      <c r="R439" s="84"/>
      <c r="S439" s="136"/>
      <c r="T439" s="26"/>
      <c r="U439" s="45"/>
      <c r="V439" s="26"/>
      <c r="W439" s="26"/>
    </row>
    <row r="440" spans="1:23" x14ac:dyDescent="0.35">
      <c r="A440" s="26"/>
      <c r="B440" s="35"/>
      <c r="C440" s="26"/>
      <c r="D440" s="26"/>
      <c r="E440" s="44"/>
      <c r="F440" s="26"/>
      <c r="G440" s="26"/>
      <c r="H440" s="147"/>
      <c r="I440" s="26"/>
      <c r="J440" s="26"/>
      <c r="K440" s="26"/>
      <c r="L440" s="26"/>
      <c r="M440" s="26"/>
      <c r="N440" s="148"/>
      <c r="O440" s="26"/>
      <c r="P440" s="26"/>
      <c r="Q440" s="26"/>
      <c r="R440" s="84"/>
      <c r="S440" s="136"/>
      <c r="T440" s="26"/>
      <c r="U440" s="45"/>
      <c r="V440" s="26"/>
      <c r="W440" s="26"/>
    </row>
    <row r="441" spans="1:23" x14ac:dyDescent="0.35">
      <c r="A441" s="26"/>
      <c r="B441" s="35"/>
      <c r="C441" s="26"/>
      <c r="D441" s="26"/>
      <c r="E441" s="44"/>
      <c r="F441" s="26"/>
      <c r="G441" s="26"/>
      <c r="H441" s="147"/>
      <c r="I441" s="26"/>
      <c r="J441" s="26"/>
      <c r="K441" s="26"/>
      <c r="L441" s="26"/>
      <c r="M441" s="26"/>
      <c r="N441" s="148"/>
      <c r="O441" s="26"/>
      <c r="P441" s="26"/>
      <c r="Q441" s="26"/>
      <c r="R441" s="84"/>
      <c r="S441" s="136"/>
      <c r="T441" s="26"/>
      <c r="U441" s="45"/>
      <c r="V441" s="26"/>
      <c r="W441" s="26"/>
    </row>
    <row r="442" spans="1:23" x14ac:dyDescent="0.35">
      <c r="A442" s="26"/>
      <c r="B442" s="35"/>
      <c r="C442" s="26"/>
      <c r="D442" s="26"/>
      <c r="E442" s="44"/>
      <c r="F442" s="26"/>
      <c r="G442" s="26"/>
      <c r="H442" s="147"/>
      <c r="I442" s="26"/>
      <c r="J442" s="26"/>
      <c r="K442" s="26"/>
      <c r="L442" s="26"/>
      <c r="M442" s="26"/>
      <c r="N442" s="148"/>
      <c r="O442" s="26"/>
      <c r="P442" s="26"/>
      <c r="Q442" s="26"/>
      <c r="R442" s="84"/>
      <c r="S442" s="136"/>
      <c r="T442" s="26"/>
      <c r="U442" s="45"/>
      <c r="V442" s="26"/>
      <c r="W442" s="26"/>
    </row>
    <row r="443" spans="1:23" x14ac:dyDescent="0.35">
      <c r="A443" s="26"/>
      <c r="B443" s="35"/>
      <c r="C443" s="26"/>
      <c r="D443" s="26"/>
      <c r="E443" s="44"/>
      <c r="F443" s="26"/>
      <c r="G443" s="26"/>
      <c r="H443" s="147"/>
      <c r="I443" s="26"/>
      <c r="J443" s="26"/>
      <c r="K443" s="26"/>
      <c r="L443" s="26"/>
      <c r="M443" s="26"/>
      <c r="N443" s="148"/>
      <c r="O443" s="26"/>
      <c r="P443" s="26"/>
      <c r="Q443" s="26"/>
      <c r="R443" s="84"/>
      <c r="S443" s="136"/>
      <c r="T443" s="26"/>
      <c r="U443" s="45"/>
      <c r="V443" s="26"/>
      <c r="W443" s="26"/>
    </row>
    <row r="444" spans="1:23" x14ac:dyDescent="0.35">
      <c r="A444" s="26"/>
      <c r="B444" s="35"/>
      <c r="C444" s="26"/>
      <c r="D444" s="26"/>
      <c r="E444" s="44"/>
      <c r="F444" s="26"/>
      <c r="G444" s="26"/>
      <c r="H444" s="147"/>
      <c r="I444" s="26"/>
      <c r="J444" s="26"/>
      <c r="K444" s="26"/>
      <c r="L444" s="26"/>
      <c r="M444" s="26"/>
      <c r="N444" s="148"/>
      <c r="O444" s="26"/>
      <c r="P444" s="26"/>
      <c r="Q444" s="26"/>
      <c r="R444" s="84"/>
      <c r="S444" s="136"/>
      <c r="T444" s="26"/>
      <c r="U444" s="45"/>
      <c r="V444" s="26"/>
      <c r="W444" s="26"/>
    </row>
    <row r="445" spans="1:23" x14ac:dyDescent="0.35">
      <c r="A445" s="26"/>
      <c r="B445" s="35"/>
      <c r="C445" s="26"/>
      <c r="D445" s="26"/>
      <c r="E445" s="44"/>
      <c r="F445" s="26"/>
      <c r="G445" s="26"/>
      <c r="H445" s="147"/>
      <c r="I445" s="26"/>
      <c r="J445" s="26"/>
      <c r="K445" s="26"/>
      <c r="L445" s="26"/>
      <c r="M445" s="26"/>
      <c r="N445" s="148"/>
      <c r="O445" s="26"/>
      <c r="P445" s="26"/>
      <c r="Q445" s="26"/>
      <c r="R445" s="84"/>
      <c r="S445" s="136"/>
      <c r="T445" s="26"/>
      <c r="U445" s="45"/>
      <c r="V445" s="26"/>
      <c r="W445" s="26"/>
    </row>
    <row r="446" spans="1:23" x14ac:dyDescent="0.35">
      <c r="A446" s="26"/>
      <c r="B446" s="35"/>
      <c r="C446" s="26"/>
      <c r="D446" s="26"/>
      <c r="E446" s="44"/>
      <c r="F446" s="26"/>
      <c r="G446" s="26"/>
      <c r="H446" s="147"/>
      <c r="I446" s="26"/>
      <c r="J446" s="26"/>
      <c r="K446" s="26"/>
      <c r="L446" s="26"/>
      <c r="M446" s="26"/>
      <c r="N446" s="148"/>
      <c r="O446" s="26"/>
      <c r="P446" s="26"/>
      <c r="Q446" s="26"/>
      <c r="R446" s="84"/>
      <c r="S446" s="136"/>
      <c r="T446" s="26"/>
      <c r="U446" s="45"/>
      <c r="V446" s="26"/>
      <c r="W446" s="26"/>
    </row>
    <row r="447" spans="1:23" x14ac:dyDescent="0.35">
      <c r="A447" s="26"/>
      <c r="B447" s="35"/>
      <c r="C447" s="26"/>
      <c r="D447" s="26"/>
      <c r="E447" s="44"/>
      <c r="F447" s="26"/>
      <c r="G447" s="26"/>
      <c r="H447" s="147"/>
      <c r="I447" s="26"/>
      <c r="J447" s="26"/>
      <c r="K447" s="26"/>
      <c r="L447" s="26"/>
      <c r="M447" s="26"/>
      <c r="N447" s="148"/>
      <c r="O447" s="26"/>
      <c r="P447" s="26"/>
      <c r="Q447" s="26"/>
      <c r="R447" s="84"/>
      <c r="S447" s="136"/>
      <c r="T447" s="26"/>
      <c r="U447" s="45"/>
      <c r="V447" s="26"/>
      <c r="W447" s="26"/>
    </row>
    <row r="448" spans="1:23" x14ac:dyDescent="0.35">
      <c r="A448" s="26"/>
      <c r="B448" s="35"/>
      <c r="C448" s="26"/>
      <c r="D448" s="26"/>
      <c r="E448" s="44"/>
      <c r="F448" s="26"/>
      <c r="G448" s="26"/>
      <c r="H448" s="147"/>
      <c r="I448" s="26"/>
      <c r="J448" s="26"/>
      <c r="K448" s="26"/>
      <c r="L448" s="26"/>
      <c r="M448" s="26"/>
      <c r="N448" s="148"/>
      <c r="O448" s="26"/>
      <c r="P448" s="26"/>
      <c r="Q448" s="26"/>
      <c r="R448" s="84"/>
      <c r="S448" s="136"/>
      <c r="T448" s="26"/>
      <c r="U448" s="45"/>
      <c r="V448" s="26"/>
      <c r="W448" s="26"/>
    </row>
    <row r="449" spans="1:23" x14ac:dyDescent="0.35">
      <c r="A449" s="26"/>
      <c r="B449" s="35"/>
      <c r="C449" s="26"/>
      <c r="D449" s="26"/>
      <c r="E449" s="44"/>
      <c r="F449" s="26"/>
      <c r="G449" s="26"/>
      <c r="H449" s="147"/>
      <c r="I449" s="26"/>
      <c r="J449" s="26"/>
      <c r="K449" s="26"/>
      <c r="L449" s="26"/>
      <c r="M449" s="26"/>
      <c r="N449" s="148"/>
      <c r="O449" s="26"/>
      <c r="P449" s="26"/>
      <c r="Q449" s="26"/>
      <c r="R449" s="84"/>
      <c r="S449" s="136"/>
      <c r="T449" s="26"/>
      <c r="U449" s="45"/>
      <c r="V449" s="26"/>
      <c r="W449" s="26"/>
    </row>
    <row r="450" spans="1:23" x14ac:dyDescent="0.35">
      <c r="A450" s="26"/>
      <c r="B450" s="35"/>
      <c r="C450" s="26"/>
      <c r="D450" s="26"/>
      <c r="E450" s="44"/>
      <c r="F450" s="26"/>
      <c r="G450" s="26"/>
      <c r="H450" s="147"/>
      <c r="I450" s="26"/>
      <c r="J450" s="26"/>
      <c r="K450" s="26"/>
      <c r="L450" s="26"/>
      <c r="M450" s="26"/>
      <c r="N450" s="148"/>
      <c r="O450" s="26"/>
      <c r="P450" s="26"/>
      <c r="Q450" s="26"/>
      <c r="R450" s="84"/>
      <c r="S450" s="136"/>
      <c r="T450" s="26"/>
      <c r="U450" s="45"/>
      <c r="V450" s="26"/>
      <c r="W450" s="26"/>
    </row>
    <row r="451" spans="1:23" x14ac:dyDescent="0.35">
      <c r="A451" s="26"/>
      <c r="B451" s="35"/>
      <c r="C451" s="26"/>
      <c r="D451" s="26"/>
      <c r="E451" s="44"/>
      <c r="F451" s="26"/>
      <c r="G451" s="26"/>
      <c r="H451" s="147"/>
      <c r="I451" s="26"/>
      <c r="J451" s="26"/>
      <c r="K451" s="26"/>
      <c r="L451" s="26"/>
      <c r="M451" s="26"/>
      <c r="N451" s="148"/>
      <c r="O451" s="26"/>
      <c r="P451" s="26"/>
      <c r="Q451" s="26"/>
      <c r="R451" s="84"/>
      <c r="S451" s="136"/>
      <c r="T451" s="26"/>
      <c r="U451" s="45"/>
      <c r="V451" s="26"/>
      <c r="W451" s="26"/>
    </row>
    <row r="452" spans="1:23" x14ac:dyDescent="0.35">
      <c r="A452" s="26"/>
      <c r="B452" s="35"/>
      <c r="C452" s="26"/>
      <c r="D452" s="26"/>
      <c r="E452" s="44"/>
      <c r="F452" s="26"/>
      <c r="G452" s="26"/>
      <c r="H452" s="147"/>
      <c r="I452" s="26"/>
      <c r="J452" s="26"/>
      <c r="K452" s="26"/>
      <c r="L452" s="26"/>
      <c r="M452" s="26"/>
      <c r="N452" s="148"/>
      <c r="O452" s="26"/>
      <c r="P452" s="26"/>
      <c r="Q452" s="26"/>
      <c r="R452" s="84"/>
      <c r="S452" s="136"/>
      <c r="T452" s="26"/>
      <c r="U452" s="45"/>
      <c r="V452" s="26"/>
      <c r="W452" s="26"/>
    </row>
    <row r="453" spans="1:23" x14ac:dyDescent="0.35">
      <c r="A453" s="26"/>
      <c r="B453" s="35"/>
      <c r="C453" s="26"/>
      <c r="D453" s="26"/>
      <c r="E453" s="44"/>
      <c r="F453" s="26"/>
      <c r="G453" s="26"/>
      <c r="H453" s="147"/>
      <c r="I453" s="26"/>
      <c r="J453" s="26"/>
      <c r="K453" s="26"/>
      <c r="L453" s="26"/>
      <c r="M453" s="26"/>
      <c r="N453" s="148"/>
      <c r="O453" s="26"/>
      <c r="P453" s="26"/>
      <c r="Q453" s="26"/>
      <c r="R453" s="84"/>
      <c r="S453" s="136"/>
      <c r="T453" s="26"/>
      <c r="U453" s="45"/>
      <c r="V453" s="26"/>
      <c r="W453" s="26"/>
    </row>
    <row r="454" spans="1:23" x14ac:dyDescent="0.35">
      <c r="A454" s="26"/>
      <c r="B454" s="35"/>
      <c r="C454" s="26"/>
      <c r="D454" s="26"/>
      <c r="E454" s="44"/>
      <c r="F454" s="26"/>
      <c r="G454" s="26"/>
      <c r="H454" s="147"/>
      <c r="I454" s="26"/>
      <c r="J454" s="26"/>
      <c r="K454" s="26"/>
      <c r="L454" s="26"/>
      <c r="M454" s="26"/>
      <c r="N454" s="148"/>
      <c r="O454" s="26"/>
      <c r="P454" s="26"/>
      <c r="Q454" s="26"/>
      <c r="R454" s="84"/>
      <c r="S454" s="136"/>
      <c r="T454" s="26"/>
      <c r="U454" s="45"/>
      <c r="V454" s="26"/>
      <c r="W454" s="26"/>
    </row>
    <row r="455" spans="1:23" x14ac:dyDescent="0.35">
      <c r="A455" s="26"/>
      <c r="B455" s="35"/>
      <c r="C455" s="26"/>
      <c r="D455" s="26"/>
      <c r="E455" s="44"/>
      <c r="F455" s="26"/>
      <c r="G455" s="26"/>
      <c r="H455" s="147"/>
      <c r="I455" s="26"/>
      <c r="J455" s="26"/>
      <c r="K455" s="26"/>
      <c r="L455" s="26"/>
      <c r="M455" s="26"/>
      <c r="N455" s="148"/>
      <c r="O455" s="26"/>
      <c r="P455" s="26"/>
      <c r="Q455" s="26"/>
      <c r="R455" s="84"/>
      <c r="S455" s="136"/>
      <c r="T455" s="26"/>
      <c r="U455" s="45"/>
      <c r="V455" s="26"/>
      <c r="W455" s="26"/>
    </row>
    <row r="456" spans="1:23" x14ac:dyDescent="0.35">
      <c r="A456" s="26"/>
      <c r="B456" s="35"/>
      <c r="C456" s="26"/>
      <c r="D456" s="26"/>
      <c r="E456" s="44"/>
      <c r="F456" s="26"/>
      <c r="G456" s="26"/>
      <c r="H456" s="147"/>
      <c r="I456" s="26"/>
      <c r="J456" s="26"/>
      <c r="K456" s="26"/>
      <c r="L456" s="26"/>
      <c r="M456" s="26"/>
      <c r="N456" s="148"/>
      <c r="O456" s="26"/>
      <c r="P456" s="26"/>
      <c r="Q456" s="26"/>
      <c r="R456" s="84"/>
      <c r="S456" s="136"/>
      <c r="T456" s="26"/>
      <c r="U456" s="45"/>
      <c r="V456" s="26"/>
      <c r="W456" s="26"/>
    </row>
    <row r="457" spans="1:23" x14ac:dyDescent="0.35">
      <c r="A457" s="26"/>
      <c r="B457" s="35"/>
      <c r="C457" s="26"/>
      <c r="D457" s="26"/>
      <c r="E457" s="44"/>
      <c r="F457" s="26"/>
      <c r="G457" s="26"/>
      <c r="H457" s="147"/>
      <c r="I457" s="26"/>
      <c r="J457" s="26"/>
      <c r="K457" s="26"/>
      <c r="L457" s="26"/>
      <c r="M457" s="26"/>
      <c r="N457" s="148"/>
      <c r="O457" s="26"/>
      <c r="P457" s="26"/>
      <c r="Q457" s="26"/>
      <c r="R457" s="84"/>
      <c r="S457" s="136"/>
      <c r="T457" s="26"/>
      <c r="U457" s="45"/>
      <c r="V457" s="26"/>
      <c r="W457" s="26"/>
    </row>
    <row r="458" spans="1:23" x14ac:dyDescent="0.35">
      <c r="A458" s="26"/>
      <c r="B458" s="35"/>
      <c r="C458" s="26"/>
      <c r="D458" s="26"/>
      <c r="E458" s="44"/>
      <c r="F458" s="26"/>
      <c r="G458" s="26"/>
      <c r="H458" s="147"/>
      <c r="I458" s="26"/>
      <c r="J458" s="26"/>
      <c r="K458" s="26"/>
      <c r="L458" s="26"/>
      <c r="M458" s="26"/>
      <c r="N458" s="148"/>
      <c r="O458" s="26"/>
      <c r="P458" s="26"/>
      <c r="Q458" s="26"/>
      <c r="R458" s="84"/>
      <c r="S458" s="136"/>
      <c r="T458" s="26"/>
      <c r="U458" s="45"/>
      <c r="V458" s="26"/>
      <c r="W458" s="26"/>
    </row>
    <row r="459" spans="1:23" x14ac:dyDescent="0.35">
      <c r="A459" s="26"/>
      <c r="B459" s="35"/>
      <c r="C459" s="26"/>
      <c r="D459" s="26"/>
      <c r="E459" s="44"/>
      <c r="F459" s="26"/>
      <c r="G459" s="26"/>
      <c r="H459" s="147"/>
      <c r="I459" s="26"/>
      <c r="J459" s="26"/>
      <c r="K459" s="26"/>
      <c r="L459" s="26"/>
      <c r="M459" s="26"/>
      <c r="N459" s="148"/>
      <c r="O459" s="26"/>
      <c r="P459" s="26"/>
      <c r="Q459" s="26"/>
      <c r="R459" s="84"/>
      <c r="S459" s="136"/>
      <c r="T459" s="26"/>
      <c r="U459" s="45"/>
      <c r="V459" s="26"/>
      <c r="W459" s="26"/>
    </row>
    <row r="460" spans="1:23" x14ac:dyDescent="0.35">
      <c r="A460" s="26"/>
      <c r="B460" s="35"/>
      <c r="C460" s="26"/>
      <c r="D460" s="26"/>
      <c r="E460" s="44"/>
      <c r="F460" s="26"/>
      <c r="G460" s="26"/>
      <c r="H460" s="147"/>
      <c r="I460" s="26"/>
      <c r="J460" s="26"/>
      <c r="K460" s="26"/>
      <c r="L460" s="26"/>
      <c r="M460" s="26"/>
      <c r="N460" s="148"/>
      <c r="O460" s="26"/>
      <c r="P460" s="26"/>
      <c r="Q460" s="26"/>
      <c r="R460" s="84"/>
      <c r="S460" s="136"/>
      <c r="T460" s="26"/>
      <c r="U460" s="45"/>
      <c r="V460" s="26"/>
      <c r="W460" s="26"/>
    </row>
    <row r="461" spans="1:23" x14ac:dyDescent="0.35">
      <c r="A461" s="26"/>
      <c r="B461" s="35"/>
      <c r="C461" s="26"/>
      <c r="D461" s="26"/>
      <c r="E461" s="44"/>
      <c r="F461" s="26"/>
      <c r="G461" s="26"/>
      <c r="H461" s="147"/>
      <c r="I461" s="26"/>
      <c r="J461" s="26"/>
      <c r="K461" s="26"/>
      <c r="L461" s="26"/>
      <c r="M461" s="26"/>
      <c r="N461" s="148"/>
      <c r="O461" s="26"/>
      <c r="P461" s="26"/>
      <c r="Q461" s="26"/>
      <c r="R461" s="84"/>
      <c r="S461" s="136"/>
      <c r="T461" s="26"/>
      <c r="U461" s="45"/>
      <c r="V461" s="26"/>
      <c r="W461" s="26"/>
    </row>
    <row r="462" spans="1:23" x14ac:dyDescent="0.35">
      <c r="A462" s="26"/>
      <c r="B462" s="35"/>
      <c r="C462" s="26"/>
      <c r="D462" s="26"/>
      <c r="E462" s="44"/>
      <c r="F462" s="26"/>
      <c r="G462" s="26"/>
      <c r="H462" s="147"/>
      <c r="I462" s="26"/>
      <c r="J462" s="26"/>
      <c r="K462" s="26"/>
      <c r="L462" s="26"/>
      <c r="M462" s="26"/>
      <c r="N462" s="148"/>
      <c r="O462" s="26"/>
      <c r="P462" s="26"/>
      <c r="Q462" s="26"/>
      <c r="R462" s="84"/>
      <c r="S462" s="136"/>
      <c r="T462" s="26"/>
      <c r="U462" s="45"/>
      <c r="V462" s="26"/>
      <c r="W462" s="26"/>
    </row>
    <row r="463" spans="1:23" x14ac:dyDescent="0.35">
      <c r="A463" s="26"/>
      <c r="B463" s="35"/>
      <c r="C463" s="26"/>
      <c r="D463" s="26"/>
      <c r="E463" s="44"/>
      <c r="F463" s="26"/>
      <c r="G463" s="26"/>
      <c r="H463" s="147"/>
      <c r="I463" s="26"/>
      <c r="J463" s="26"/>
      <c r="K463" s="26"/>
      <c r="L463" s="26"/>
      <c r="M463" s="26"/>
      <c r="N463" s="148"/>
      <c r="O463" s="26"/>
      <c r="P463" s="26"/>
      <c r="Q463" s="26"/>
      <c r="R463" s="84"/>
      <c r="S463" s="136"/>
      <c r="T463" s="26"/>
      <c r="U463" s="45"/>
      <c r="V463" s="26"/>
      <c r="W463" s="26"/>
    </row>
    <row r="464" spans="1:23" x14ac:dyDescent="0.35">
      <c r="A464" s="26"/>
      <c r="B464" s="35"/>
      <c r="C464" s="26"/>
      <c r="D464" s="26"/>
      <c r="E464" s="44"/>
      <c r="F464" s="26"/>
      <c r="G464" s="26"/>
      <c r="H464" s="147"/>
      <c r="I464" s="26"/>
      <c r="J464" s="26"/>
      <c r="K464" s="26"/>
      <c r="L464" s="26"/>
      <c r="M464" s="26"/>
      <c r="N464" s="148"/>
      <c r="O464" s="26"/>
      <c r="P464" s="26"/>
      <c r="Q464" s="26"/>
      <c r="R464" s="84"/>
      <c r="S464" s="136"/>
      <c r="T464" s="26"/>
      <c r="U464" s="45"/>
      <c r="V464" s="26"/>
      <c r="W464" s="26"/>
    </row>
    <row r="465" spans="1:23" x14ac:dyDescent="0.35">
      <c r="A465" s="26"/>
      <c r="B465" s="35"/>
      <c r="C465" s="26"/>
      <c r="D465" s="26"/>
      <c r="E465" s="44"/>
      <c r="F465" s="26"/>
      <c r="G465" s="26"/>
      <c r="H465" s="147"/>
      <c r="I465" s="26"/>
      <c r="J465" s="26"/>
      <c r="K465" s="26"/>
      <c r="L465" s="26"/>
      <c r="M465" s="26"/>
      <c r="N465" s="148"/>
      <c r="O465" s="26"/>
      <c r="P465" s="26"/>
      <c r="Q465" s="26"/>
      <c r="R465" s="84"/>
      <c r="S465" s="136"/>
      <c r="T465" s="26"/>
      <c r="U465" s="45"/>
      <c r="V465" s="26"/>
      <c r="W465" s="26"/>
    </row>
    <row r="466" spans="1:23" x14ac:dyDescent="0.35">
      <c r="A466" s="26"/>
      <c r="B466" s="35"/>
      <c r="C466" s="26"/>
      <c r="D466" s="26"/>
      <c r="E466" s="44"/>
      <c r="F466" s="26"/>
      <c r="G466" s="26"/>
      <c r="H466" s="147"/>
      <c r="I466" s="26"/>
      <c r="J466" s="26"/>
      <c r="K466" s="26"/>
      <c r="L466" s="26"/>
      <c r="M466" s="26"/>
      <c r="N466" s="148"/>
      <c r="O466" s="26"/>
      <c r="P466" s="26"/>
      <c r="Q466" s="26"/>
      <c r="R466" s="84"/>
      <c r="S466" s="136"/>
      <c r="T466" s="26"/>
      <c r="U466" s="45"/>
      <c r="V466" s="26"/>
      <c r="W466" s="26"/>
    </row>
    <row r="467" spans="1:23" x14ac:dyDescent="0.35">
      <c r="A467" s="26"/>
      <c r="B467" s="35"/>
      <c r="C467" s="26"/>
      <c r="D467" s="26"/>
      <c r="E467" s="44"/>
      <c r="F467" s="26"/>
      <c r="G467" s="26"/>
      <c r="H467" s="147"/>
      <c r="I467" s="26"/>
      <c r="J467" s="26"/>
      <c r="K467" s="26"/>
      <c r="L467" s="26"/>
      <c r="M467" s="26"/>
      <c r="N467" s="148"/>
      <c r="O467" s="26"/>
      <c r="P467" s="26"/>
      <c r="Q467" s="26"/>
      <c r="R467" s="84"/>
      <c r="S467" s="136"/>
      <c r="T467" s="26"/>
      <c r="U467" s="45"/>
      <c r="V467" s="26"/>
      <c r="W467" s="26"/>
    </row>
    <row r="468" spans="1:23" x14ac:dyDescent="0.35">
      <c r="A468" s="26"/>
      <c r="B468" s="35"/>
      <c r="C468" s="26"/>
      <c r="D468" s="26"/>
      <c r="E468" s="44"/>
      <c r="F468" s="26"/>
      <c r="G468" s="26"/>
      <c r="H468" s="147"/>
      <c r="I468" s="26"/>
      <c r="J468" s="26"/>
      <c r="K468" s="26"/>
      <c r="L468" s="26"/>
      <c r="M468" s="26"/>
      <c r="N468" s="148"/>
      <c r="O468" s="26"/>
      <c r="P468" s="26"/>
      <c r="Q468" s="26"/>
      <c r="R468" s="84"/>
      <c r="S468" s="136"/>
      <c r="T468" s="26"/>
      <c r="U468" s="45"/>
      <c r="V468" s="26"/>
      <c r="W468" s="26"/>
    </row>
    <row r="469" spans="1:23" x14ac:dyDescent="0.35">
      <c r="A469" s="26"/>
      <c r="B469" s="35"/>
      <c r="C469" s="26"/>
      <c r="D469" s="26"/>
      <c r="E469" s="44"/>
      <c r="F469" s="26"/>
      <c r="G469" s="26"/>
      <c r="H469" s="147"/>
      <c r="I469" s="26"/>
      <c r="J469" s="26"/>
      <c r="K469" s="26"/>
      <c r="L469" s="26"/>
      <c r="M469" s="26"/>
      <c r="N469" s="148"/>
      <c r="O469" s="26"/>
      <c r="P469" s="26"/>
      <c r="Q469" s="26"/>
      <c r="R469" s="84"/>
      <c r="S469" s="136"/>
      <c r="T469" s="26"/>
      <c r="U469" s="45"/>
      <c r="V469" s="26"/>
      <c r="W469" s="26"/>
    </row>
    <row r="470" spans="1:23" x14ac:dyDescent="0.35">
      <c r="A470" s="26"/>
      <c r="B470" s="35"/>
      <c r="C470" s="26"/>
      <c r="D470" s="26"/>
      <c r="E470" s="44"/>
      <c r="F470" s="26"/>
      <c r="G470" s="26"/>
      <c r="H470" s="147"/>
      <c r="I470" s="26"/>
      <c r="J470" s="26"/>
      <c r="K470" s="26"/>
      <c r="L470" s="26"/>
      <c r="M470" s="26"/>
      <c r="N470" s="148"/>
      <c r="O470" s="26"/>
      <c r="P470" s="26"/>
      <c r="Q470" s="26"/>
      <c r="R470" s="84"/>
      <c r="S470" s="136"/>
      <c r="T470" s="26"/>
      <c r="U470" s="45"/>
      <c r="V470" s="26"/>
      <c r="W470" s="26"/>
    </row>
    <row r="471" spans="1:23" x14ac:dyDescent="0.35">
      <c r="A471" s="26"/>
      <c r="B471" s="35"/>
      <c r="C471" s="26"/>
      <c r="D471" s="26"/>
      <c r="E471" s="44"/>
      <c r="F471" s="26"/>
      <c r="G471" s="26"/>
      <c r="H471" s="147"/>
      <c r="I471" s="26"/>
      <c r="J471" s="26"/>
      <c r="K471" s="26"/>
      <c r="L471" s="26"/>
      <c r="M471" s="26"/>
      <c r="N471" s="148"/>
      <c r="O471" s="26"/>
      <c r="P471" s="26"/>
      <c r="Q471" s="26"/>
      <c r="R471" s="84"/>
      <c r="S471" s="136"/>
      <c r="T471" s="26"/>
      <c r="U471" s="45"/>
      <c r="V471" s="26"/>
      <c r="W471" s="26"/>
    </row>
    <row r="472" spans="1:23" x14ac:dyDescent="0.35">
      <c r="A472" s="26"/>
      <c r="B472" s="35"/>
      <c r="C472" s="26"/>
      <c r="D472" s="26"/>
      <c r="E472" s="44"/>
      <c r="F472" s="26"/>
      <c r="G472" s="26"/>
      <c r="H472" s="147"/>
      <c r="I472" s="26"/>
      <c r="J472" s="26"/>
      <c r="K472" s="26"/>
      <c r="L472" s="26"/>
      <c r="M472" s="26"/>
      <c r="N472" s="148"/>
      <c r="O472" s="26"/>
      <c r="P472" s="26"/>
      <c r="Q472" s="26"/>
      <c r="R472" s="84"/>
      <c r="S472" s="136"/>
      <c r="T472" s="26"/>
      <c r="U472" s="45"/>
      <c r="V472" s="26"/>
      <c r="W472" s="26"/>
    </row>
    <row r="473" spans="1:23" x14ac:dyDescent="0.35">
      <c r="A473" s="26"/>
      <c r="B473" s="35"/>
      <c r="C473" s="26"/>
      <c r="D473" s="26"/>
      <c r="E473" s="44"/>
      <c r="F473" s="26"/>
      <c r="G473" s="26"/>
      <c r="H473" s="147"/>
      <c r="I473" s="26"/>
      <c r="J473" s="26"/>
      <c r="K473" s="26"/>
      <c r="L473" s="26"/>
      <c r="M473" s="26"/>
      <c r="N473" s="148"/>
      <c r="O473" s="26"/>
      <c r="P473" s="26"/>
      <c r="Q473" s="26"/>
      <c r="R473" s="84"/>
      <c r="S473" s="136"/>
      <c r="T473" s="26"/>
      <c r="U473" s="45"/>
      <c r="V473" s="26"/>
      <c r="W473" s="26"/>
    </row>
    <row r="474" spans="1:23" x14ac:dyDescent="0.35">
      <c r="A474" s="26"/>
      <c r="B474" s="35"/>
      <c r="C474" s="26"/>
      <c r="D474" s="26"/>
      <c r="E474" s="44"/>
      <c r="F474" s="26"/>
      <c r="G474" s="26"/>
      <c r="H474" s="147"/>
      <c r="I474" s="26"/>
      <c r="J474" s="26"/>
      <c r="K474" s="26"/>
      <c r="L474" s="26"/>
      <c r="M474" s="26"/>
      <c r="N474" s="148"/>
      <c r="O474" s="26"/>
      <c r="P474" s="26"/>
      <c r="Q474" s="26"/>
      <c r="R474" s="84"/>
      <c r="S474" s="136"/>
      <c r="T474" s="26"/>
      <c r="U474" s="45"/>
      <c r="V474" s="26"/>
      <c r="W474" s="26"/>
    </row>
    <row r="475" spans="1:23" x14ac:dyDescent="0.35">
      <c r="A475" s="26"/>
      <c r="B475" s="35"/>
      <c r="C475" s="26"/>
      <c r="D475" s="26"/>
      <c r="E475" s="44"/>
      <c r="F475" s="26"/>
      <c r="G475" s="26"/>
      <c r="H475" s="147"/>
      <c r="I475" s="26"/>
      <c r="J475" s="26"/>
      <c r="K475" s="26"/>
      <c r="L475" s="26"/>
      <c r="M475" s="26"/>
      <c r="N475" s="148"/>
      <c r="O475" s="26"/>
      <c r="P475" s="26"/>
      <c r="Q475" s="26"/>
      <c r="R475" s="84"/>
      <c r="S475" s="136"/>
      <c r="T475" s="26"/>
      <c r="U475" s="45"/>
      <c r="V475" s="26"/>
      <c r="W475" s="26"/>
    </row>
    <row r="476" spans="1:23" x14ac:dyDescent="0.35">
      <c r="A476" s="26"/>
      <c r="B476" s="35"/>
      <c r="C476" s="26"/>
      <c r="D476" s="26"/>
      <c r="E476" s="44"/>
      <c r="F476" s="26"/>
      <c r="G476" s="26"/>
      <c r="H476" s="147"/>
      <c r="I476" s="26"/>
      <c r="J476" s="26"/>
      <c r="K476" s="26"/>
      <c r="L476" s="26"/>
      <c r="M476" s="26"/>
      <c r="N476" s="148"/>
      <c r="O476" s="26"/>
      <c r="P476" s="26"/>
      <c r="Q476" s="26"/>
      <c r="R476" s="84"/>
      <c r="S476" s="136"/>
      <c r="T476" s="26"/>
      <c r="U476" s="45"/>
      <c r="V476" s="26"/>
      <c r="W476" s="26"/>
    </row>
    <row r="477" spans="1:23" x14ac:dyDescent="0.35">
      <c r="A477" s="26"/>
      <c r="B477" s="35"/>
      <c r="C477" s="26"/>
      <c r="D477" s="26"/>
      <c r="E477" s="44"/>
      <c r="F477" s="26"/>
      <c r="G477" s="26"/>
      <c r="H477" s="147"/>
      <c r="I477" s="26"/>
      <c r="J477" s="26"/>
      <c r="K477" s="26"/>
      <c r="L477" s="26"/>
      <c r="M477" s="26"/>
      <c r="N477" s="148"/>
      <c r="O477" s="26"/>
      <c r="P477" s="26"/>
      <c r="Q477" s="26"/>
      <c r="R477" s="84"/>
      <c r="S477" s="136"/>
      <c r="T477" s="26"/>
      <c r="U477" s="45"/>
      <c r="V477" s="26"/>
      <c r="W477" s="26"/>
    </row>
    <row r="478" spans="1:23" x14ac:dyDescent="0.35">
      <c r="A478" s="26"/>
      <c r="B478" s="35"/>
      <c r="C478" s="26"/>
      <c r="D478" s="26"/>
      <c r="E478" s="44"/>
      <c r="F478" s="26"/>
      <c r="G478" s="26"/>
      <c r="H478" s="147"/>
      <c r="I478" s="26"/>
      <c r="J478" s="26"/>
      <c r="K478" s="26"/>
      <c r="L478" s="26"/>
      <c r="M478" s="26"/>
      <c r="N478" s="148"/>
      <c r="O478" s="26"/>
      <c r="P478" s="26"/>
      <c r="Q478" s="26"/>
      <c r="R478" s="84"/>
      <c r="S478" s="136"/>
      <c r="T478" s="26"/>
      <c r="U478" s="45"/>
      <c r="V478" s="26"/>
      <c r="W478" s="26"/>
    </row>
    <row r="479" spans="1:23" x14ac:dyDescent="0.35">
      <c r="A479" s="26"/>
      <c r="B479" s="35"/>
      <c r="C479" s="26"/>
      <c r="D479" s="26"/>
      <c r="E479" s="44"/>
      <c r="F479" s="26"/>
      <c r="G479" s="26"/>
      <c r="H479" s="147"/>
      <c r="I479" s="26"/>
      <c r="J479" s="26"/>
      <c r="K479" s="26"/>
      <c r="L479" s="26"/>
      <c r="M479" s="26"/>
      <c r="N479" s="148"/>
      <c r="O479" s="26"/>
      <c r="P479" s="26"/>
      <c r="Q479" s="26"/>
      <c r="R479" s="84"/>
      <c r="S479" s="136"/>
      <c r="T479" s="26"/>
      <c r="U479" s="45"/>
      <c r="V479" s="26"/>
      <c r="W479" s="26"/>
    </row>
    <row r="480" spans="1:23" x14ac:dyDescent="0.35">
      <c r="A480" s="26"/>
      <c r="B480" s="35"/>
      <c r="C480" s="26"/>
      <c r="D480" s="26"/>
      <c r="E480" s="44"/>
      <c r="F480" s="26"/>
      <c r="G480" s="26"/>
      <c r="H480" s="147"/>
      <c r="I480" s="26"/>
      <c r="J480" s="26"/>
      <c r="K480" s="26"/>
      <c r="L480" s="26"/>
      <c r="M480" s="26"/>
      <c r="N480" s="148"/>
      <c r="O480" s="26"/>
      <c r="P480" s="26"/>
      <c r="Q480" s="26"/>
      <c r="R480" s="84"/>
      <c r="S480" s="136"/>
      <c r="T480" s="26"/>
      <c r="U480" s="45"/>
      <c r="V480" s="26"/>
      <c r="W480" s="26"/>
    </row>
    <row r="481" spans="1:23" x14ac:dyDescent="0.35">
      <c r="A481" s="26"/>
      <c r="B481" s="35"/>
      <c r="C481" s="26"/>
      <c r="D481" s="26"/>
      <c r="E481" s="44"/>
      <c r="F481" s="26"/>
      <c r="G481" s="26"/>
      <c r="H481" s="147"/>
      <c r="I481" s="26"/>
      <c r="J481" s="26"/>
      <c r="K481" s="26"/>
      <c r="L481" s="26"/>
      <c r="M481" s="26"/>
      <c r="N481" s="148"/>
      <c r="O481" s="26"/>
      <c r="P481" s="26"/>
      <c r="Q481" s="26"/>
      <c r="R481" s="84"/>
      <c r="S481" s="136"/>
      <c r="T481" s="26"/>
      <c r="U481" s="45"/>
      <c r="V481" s="26"/>
      <c r="W481" s="26"/>
    </row>
    <row r="482" spans="1:23" x14ac:dyDescent="0.35">
      <c r="A482" s="26"/>
      <c r="B482" s="35"/>
      <c r="C482" s="26"/>
      <c r="D482" s="26"/>
      <c r="E482" s="44"/>
      <c r="F482" s="26"/>
      <c r="G482" s="26"/>
      <c r="H482" s="147"/>
      <c r="I482" s="26"/>
      <c r="J482" s="26"/>
      <c r="K482" s="26"/>
      <c r="L482" s="26"/>
      <c r="M482" s="26"/>
      <c r="N482" s="148"/>
      <c r="O482" s="26"/>
      <c r="P482" s="26"/>
      <c r="Q482" s="26"/>
      <c r="R482" s="84"/>
      <c r="S482" s="136"/>
      <c r="T482" s="26"/>
      <c r="U482" s="45"/>
      <c r="V482" s="26"/>
      <c r="W482" s="26"/>
    </row>
    <row r="483" spans="1:23" x14ac:dyDescent="0.35">
      <c r="A483" s="26"/>
      <c r="B483" s="35"/>
      <c r="C483" s="26"/>
      <c r="D483" s="26"/>
      <c r="E483" s="44"/>
      <c r="F483" s="26"/>
      <c r="G483" s="26"/>
      <c r="H483" s="147"/>
      <c r="I483" s="26"/>
      <c r="J483" s="26"/>
      <c r="K483" s="26"/>
      <c r="L483" s="26"/>
      <c r="M483" s="26"/>
      <c r="N483" s="148"/>
      <c r="O483" s="26"/>
      <c r="P483" s="26"/>
      <c r="Q483" s="26"/>
      <c r="R483" s="84"/>
      <c r="S483" s="136"/>
      <c r="T483" s="26"/>
      <c r="U483" s="45"/>
      <c r="V483" s="26"/>
      <c r="W483" s="26"/>
    </row>
    <row r="484" spans="1:23" x14ac:dyDescent="0.35">
      <c r="A484" s="26"/>
      <c r="B484" s="35"/>
      <c r="C484" s="26"/>
      <c r="D484" s="26"/>
      <c r="E484" s="44"/>
      <c r="F484" s="26"/>
      <c r="G484" s="26"/>
      <c r="H484" s="147"/>
      <c r="I484" s="26"/>
      <c r="J484" s="26"/>
      <c r="K484" s="26"/>
      <c r="L484" s="26"/>
      <c r="M484" s="26"/>
      <c r="N484" s="148"/>
      <c r="O484" s="26"/>
      <c r="P484" s="26"/>
      <c r="Q484" s="26"/>
      <c r="R484" s="84"/>
      <c r="S484" s="136"/>
      <c r="T484" s="26"/>
      <c r="U484" s="45"/>
      <c r="V484" s="26"/>
      <c r="W484" s="26"/>
    </row>
    <row r="485" spans="1:23" x14ac:dyDescent="0.35">
      <c r="A485" s="26"/>
      <c r="B485" s="35"/>
      <c r="C485" s="26"/>
      <c r="D485" s="26"/>
      <c r="E485" s="44"/>
      <c r="F485" s="26"/>
      <c r="G485" s="26"/>
      <c r="H485" s="147"/>
      <c r="I485" s="26"/>
      <c r="J485" s="26"/>
      <c r="K485" s="26"/>
      <c r="L485" s="26"/>
      <c r="M485" s="26"/>
      <c r="N485" s="148"/>
      <c r="O485" s="26"/>
      <c r="P485" s="26"/>
      <c r="Q485" s="26"/>
      <c r="R485" s="84"/>
      <c r="S485" s="136"/>
      <c r="T485" s="26"/>
      <c r="U485" s="45"/>
      <c r="V485" s="26"/>
      <c r="W485" s="26"/>
    </row>
    <row r="486" spans="1:23" x14ac:dyDescent="0.35">
      <c r="A486" s="26"/>
      <c r="B486" s="35"/>
      <c r="C486" s="26"/>
      <c r="D486" s="26"/>
      <c r="E486" s="44"/>
      <c r="F486" s="26"/>
      <c r="G486" s="26"/>
      <c r="H486" s="147"/>
      <c r="I486" s="26"/>
      <c r="J486" s="26"/>
      <c r="K486" s="26"/>
      <c r="L486" s="26"/>
      <c r="M486" s="26"/>
      <c r="N486" s="148"/>
      <c r="O486" s="26"/>
      <c r="P486" s="26"/>
      <c r="Q486" s="26"/>
      <c r="R486" s="84"/>
      <c r="S486" s="136"/>
      <c r="T486" s="26"/>
      <c r="U486" s="45"/>
      <c r="V486" s="26"/>
      <c r="W486" s="26"/>
    </row>
    <row r="487" spans="1:23" x14ac:dyDescent="0.35">
      <c r="A487" s="26"/>
      <c r="B487" s="35"/>
      <c r="C487" s="26"/>
      <c r="D487" s="26"/>
      <c r="E487" s="44"/>
      <c r="F487" s="26"/>
      <c r="G487" s="26"/>
      <c r="H487" s="147"/>
      <c r="I487" s="26"/>
      <c r="J487" s="26"/>
      <c r="K487" s="26"/>
      <c r="L487" s="26"/>
      <c r="M487" s="26"/>
      <c r="N487" s="148"/>
      <c r="O487" s="26"/>
      <c r="P487" s="26"/>
      <c r="Q487" s="26"/>
      <c r="R487" s="84"/>
      <c r="S487" s="136"/>
      <c r="T487" s="26"/>
      <c r="U487" s="45"/>
      <c r="V487" s="26"/>
      <c r="W487" s="26"/>
    </row>
    <row r="488" spans="1:23" x14ac:dyDescent="0.35">
      <c r="A488" s="26"/>
      <c r="B488" s="35"/>
      <c r="C488" s="26"/>
      <c r="D488" s="26"/>
      <c r="E488" s="44"/>
      <c r="F488" s="26"/>
      <c r="G488" s="26"/>
      <c r="H488" s="147"/>
      <c r="I488" s="26"/>
      <c r="J488" s="26"/>
      <c r="K488" s="26"/>
      <c r="L488" s="26"/>
      <c r="M488" s="26"/>
      <c r="N488" s="148"/>
      <c r="O488" s="26"/>
      <c r="P488" s="26"/>
      <c r="Q488" s="26"/>
      <c r="R488" s="84"/>
      <c r="S488" s="136"/>
      <c r="T488" s="26"/>
      <c r="U488" s="45"/>
      <c r="V488" s="26"/>
      <c r="W488" s="26"/>
    </row>
    <row r="489" spans="1:23" x14ac:dyDescent="0.35">
      <c r="A489" s="26"/>
      <c r="B489" s="35"/>
      <c r="C489" s="26"/>
      <c r="D489" s="26"/>
      <c r="E489" s="44"/>
      <c r="F489" s="26"/>
      <c r="G489" s="26"/>
      <c r="H489" s="147"/>
      <c r="I489" s="26"/>
      <c r="J489" s="26"/>
      <c r="K489" s="26"/>
      <c r="L489" s="26"/>
      <c r="M489" s="26"/>
      <c r="N489" s="148"/>
      <c r="O489" s="26"/>
      <c r="P489" s="26"/>
      <c r="Q489" s="26"/>
      <c r="R489" s="84"/>
      <c r="S489" s="136"/>
      <c r="T489" s="26"/>
      <c r="U489" s="45"/>
      <c r="V489" s="26"/>
      <c r="W489" s="26"/>
    </row>
    <row r="490" spans="1:23" x14ac:dyDescent="0.35">
      <c r="A490" s="26"/>
      <c r="B490" s="35"/>
      <c r="C490" s="26"/>
      <c r="D490" s="26"/>
      <c r="E490" s="44"/>
      <c r="F490" s="26"/>
      <c r="G490" s="26"/>
      <c r="H490" s="147"/>
      <c r="I490" s="26"/>
      <c r="J490" s="26"/>
      <c r="K490" s="26"/>
      <c r="L490" s="26"/>
      <c r="M490" s="26"/>
      <c r="N490" s="148"/>
      <c r="O490" s="26"/>
      <c r="P490" s="26"/>
      <c r="Q490" s="26"/>
      <c r="R490" s="84"/>
      <c r="S490" s="136"/>
      <c r="T490" s="26"/>
      <c r="U490" s="45"/>
      <c r="V490" s="26"/>
      <c r="W490" s="26"/>
    </row>
    <row r="491" spans="1:23" x14ac:dyDescent="0.35">
      <c r="A491" s="26"/>
      <c r="B491" s="35"/>
      <c r="C491" s="26"/>
      <c r="D491" s="26"/>
      <c r="E491" s="44"/>
      <c r="F491" s="26"/>
      <c r="G491" s="26"/>
      <c r="H491" s="147"/>
      <c r="I491" s="26"/>
      <c r="J491" s="26"/>
      <c r="K491" s="26"/>
      <c r="L491" s="26"/>
      <c r="M491" s="26"/>
      <c r="N491" s="148"/>
      <c r="O491" s="26"/>
      <c r="P491" s="26"/>
      <c r="Q491" s="26"/>
      <c r="R491" s="84"/>
      <c r="S491" s="136"/>
      <c r="T491" s="26"/>
      <c r="U491" s="45"/>
      <c r="V491" s="26"/>
      <c r="W491" s="26"/>
    </row>
    <row r="492" spans="1:23" x14ac:dyDescent="0.35">
      <c r="A492" s="26"/>
      <c r="B492" s="35"/>
      <c r="C492" s="26"/>
      <c r="D492" s="26"/>
      <c r="E492" s="44"/>
      <c r="F492" s="26"/>
      <c r="G492" s="26"/>
      <c r="H492" s="147"/>
      <c r="I492" s="26"/>
      <c r="J492" s="26"/>
      <c r="K492" s="26"/>
      <c r="L492" s="26"/>
      <c r="M492" s="26"/>
      <c r="N492" s="148"/>
      <c r="O492" s="26"/>
      <c r="P492" s="26"/>
      <c r="Q492" s="26"/>
      <c r="R492" s="84"/>
      <c r="S492" s="136"/>
      <c r="T492" s="26"/>
      <c r="U492" s="45"/>
      <c r="V492" s="26"/>
      <c r="W492" s="26"/>
    </row>
    <row r="493" spans="1:23" x14ac:dyDescent="0.35">
      <c r="A493" s="26"/>
      <c r="B493" s="35"/>
      <c r="C493" s="26"/>
      <c r="D493" s="26"/>
      <c r="E493" s="44"/>
      <c r="F493" s="26"/>
      <c r="G493" s="26"/>
      <c r="H493" s="147"/>
      <c r="I493" s="26"/>
      <c r="J493" s="26"/>
      <c r="K493" s="26"/>
      <c r="L493" s="26"/>
      <c r="M493" s="26"/>
      <c r="N493" s="148"/>
      <c r="O493" s="26"/>
      <c r="P493" s="26"/>
      <c r="Q493" s="26"/>
      <c r="R493" s="84"/>
      <c r="S493" s="136"/>
      <c r="T493" s="26"/>
      <c r="U493" s="45"/>
      <c r="V493" s="26"/>
      <c r="W493" s="26"/>
    </row>
    <row r="494" spans="1:23" x14ac:dyDescent="0.35">
      <c r="A494" s="26"/>
      <c r="B494" s="35"/>
      <c r="C494" s="26"/>
      <c r="D494" s="26"/>
      <c r="E494" s="44"/>
      <c r="F494" s="26"/>
      <c r="G494" s="26"/>
      <c r="H494" s="147"/>
      <c r="I494" s="26"/>
      <c r="J494" s="26"/>
      <c r="K494" s="26"/>
      <c r="L494" s="26"/>
      <c r="M494" s="26"/>
      <c r="N494" s="148"/>
      <c r="O494" s="26"/>
      <c r="P494" s="26"/>
      <c r="Q494" s="26"/>
      <c r="R494" s="84"/>
      <c r="S494" s="136"/>
      <c r="T494" s="26"/>
      <c r="U494" s="45"/>
      <c r="V494" s="26"/>
      <c r="W494" s="26"/>
    </row>
    <row r="495" spans="1:23" x14ac:dyDescent="0.35">
      <c r="A495" s="26"/>
      <c r="B495" s="35"/>
      <c r="C495" s="26"/>
      <c r="D495" s="26"/>
      <c r="E495" s="44"/>
      <c r="F495" s="26"/>
      <c r="G495" s="26"/>
      <c r="H495" s="147"/>
      <c r="I495" s="26"/>
      <c r="J495" s="26"/>
      <c r="K495" s="26"/>
      <c r="L495" s="26"/>
      <c r="M495" s="26"/>
      <c r="N495" s="148"/>
      <c r="O495" s="26"/>
      <c r="P495" s="26"/>
      <c r="Q495" s="26"/>
      <c r="R495" s="84"/>
      <c r="S495" s="136"/>
      <c r="T495" s="26"/>
      <c r="U495" s="45"/>
      <c r="V495" s="26"/>
      <c r="W495" s="26"/>
    </row>
    <row r="496" spans="1:23" x14ac:dyDescent="0.35">
      <c r="A496" s="26"/>
      <c r="B496" s="35"/>
      <c r="C496" s="26"/>
      <c r="D496" s="26"/>
      <c r="E496" s="44"/>
      <c r="F496" s="26"/>
      <c r="G496" s="26"/>
      <c r="H496" s="147"/>
      <c r="I496" s="26"/>
      <c r="J496" s="26"/>
      <c r="K496" s="26"/>
      <c r="L496" s="26"/>
      <c r="M496" s="26"/>
      <c r="N496" s="148"/>
      <c r="O496" s="26"/>
      <c r="P496" s="26"/>
      <c r="Q496" s="26"/>
      <c r="R496" s="84"/>
      <c r="S496" s="136"/>
      <c r="T496" s="26"/>
      <c r="U496" s="45"/>
      <c r="V496" s="26"/>
      <c r="W496" s="26"/>
    </row>
    <row r="497" spans="1:23" x14ac:dyDescent="0.35">
      <c r="A497" s="26"/>
      <c r="B497" s="35"/>
      <c r="C497" s="26"/>
      <c r="D497" s="26"/>
      <c r="E497" s="44"/>
      <c r="F497" s="26"/>
      <c r="G497" s="26"/>
      <c r="H497" s="147"/>
      <c r="I497" s="26"/>
      <c r="J497" s="26"/>
      <c r="K497" s="26"/>
      <c r="L497" s="26"/>
      <c r="M497" s="26"/>
      <c r="N497" s="148"/>
      <c r="O497" s="26"/>
      <c r="P497" s="26"/>
      <c r="Q497" s="26"/>
      <c r="R497" s="84"/>
      <c r="S497" s="136"/>
      <c r="T497" s="26"/>
      <c r="U497" s="45"/>
      <c r="V497" s="26"/>
      <c r="W497" s="26"/>
    </row>
    <row r="498" spans="1:23" x14ac:dyDescent="0.35">
      <c r="A498" s="26"/>
      <c r="B498" s="35"/>
      <c r="C498" s="26"/>
      <c r="D498" s="26"/>
      <c r="E498" s="44"/>
      <c r="F498" s="26"/>
      <c r="G498" s="26"/>
      <c r="H498" s="147"/>
      <c r="I498" s="26"/>
      <c r="J498" s="26"/>
      <c r="K498" s="26"/>
      <c r="L498" s="26"/>
      <c r="M498" s="26"/>
      <c r="N498" s="148"/>
      <c r="O498" s="26"/>
      <c r="P498" s="26"/>
      <c r="Q498" s="26"/>
      <c r="R498" s="84"/>
      <c r="S498" s="136"/>
      <c r="T498" s="26"/>
      <c r="U498" s="45"/>
      <c r="V498" s="26"/>
      <c r="W498" s="26"/>
    </row>
    <row r="499" spans="1:23" x14ac:dyDescent="0.35">
      <c r="A499" s="26"/>
      <c r="B499" s="35"/>
      <c r="C499" s="26"/>
      <c r="D499" s="26"/>
      <c r="E499" s="44"/>
      <c r="F499" s="26"/>
      <c r="G499" s="26"/>
      <c r="H499" s="147"/>
      <c r="I499" s="26"/>
      <c r="J499" s="26"/>
      <c r="K499" s="26"/>
      <c r="L499" s="26"/>
      <c r="M499" s="26"/>
      <c r="N499" s="148"/>
      <c r="O499" s="26"/>
      <c r="P499" s="26"/>
      <c r="Q499" s="26"/>
      <c r="R499" s="84"/>
      <c r="S499" s="136"/>
      <c r="T499" s="26"/>
      <c r="U499" s="45"/>
      <c r="V499" s="26"/>
      <c r="W499" s="26"/>
    </row>
    <row r="500" spans="1:23" x14ac:dyDescent="0.35">
      <c r="A500" s="26"/>
      <c r="B500" s="35"/>
      <c r="C500" s="26"/>
      <c r="D500" s="26"/>
      <c r="E500" s="44"/>
      <c r="F500" s="26"/>
      <c r="G500" s="26"/>
      <c r="H500" s="147"/>
      <c r="I500" s="26"/>
      <c r="J500" s="26"/>
      <c r="K500" s="26"/>
      <c r="L500" s="26"/>
      <c r="M500" s="26"/>
      <c r="N500" s="148"/>
      <c r="O500" s="26"/>
      <c r="P500" s="26"/>
      <c r="Q500" s="26"/>
      <c r="R500" s="84"/>
      <c r="S500" s="136"/>
      <c r="T500" s="26"/>
      <c r="U500" s="45"/>
      <c r="V500" s="26"/>
      <c r="W500" s="26"/>
    </row>
    <row r="501" spans="1:23" x14ac:dyDescent="0.35">
      <c r="A501" s="26"/>
      <c r="B501" s="35"/>
      <c r="C501" s="26"/>
      <c r="D501" s="26"/>
      <c r="E501" s="44"/>
      <c r="F501" s="26"/>
      <c r="G501" s="26"/>
      <c r="H501" s="147"/>
      <c r="I501" s="26"/>
      <c r="J501" s="26"/>
      <c r="K501" s="26"/>
      <c r="L501" s="26"/>
      <c r="M501" s="26"/>
      <c r="N501" s="148"/>
      <c r="O501" s="26"/>
      <c r="P501" s="26"/>
      <c r="Q501" s="26"/>
      <c r="R501" s="84"/>
      <c r="S501" s="136"/>
      <c r="T501" s="26"/>
      <c r="U501" s="45"/>
      <c r="V501" s="26"/>
      <c r="W501" s="26"/>
    </row>
    <row r="502" spans="1:23" x14ac:dyDescent="0.35">
      <c r="A502" s="26"/>
      <c r="B502" s="35"/>
      <c r="C502" s="26"/>
      <c r="D502" s="26"/>
      <c r="E502" s="44"/>
      <c r="F502" s="26"/>
      <c r="G502" s="26"/>
      <c r="H502" s="147"/>
      <c r="I502" s="26"/>
      <c r="J502" s="26"/>
      <c r="K502" s="26"/>
      <c r="L502" s="26"/>
      <c r="M502" s="26"/>
      <c r="N502" s="148"/>
      <c r="O502" s="26"/>
      <c r="P502" s="26"/>
      <c r="Q502" s="26"/>
      <c r="R502" s="84"/>
      <c r="S502" s="136"/>
      <c r="T502" s="26"/>
      <c r="U502" s="45"/>
      <c r="V502" s="26"/>
      <c r="W502" s="26"/>
    </row>
    <row r="503" spans="1:23" x14ac:dyDescent="0.35">
      <c r="A503" s="26"/>
      <c r="B503" s="35"/>
      <c r="C503" s="26"/>
      <c r="D503" s="26"/>
      <c r="E503" s="44"/>
      <c r="F503" s="26"/>
      <c r="G503" s="26"/>
      <c r="H503" s="147"/>
      <c r="I503" s="26"/>
      <c r="J503" s="26"/>
      <c r="K503" s="26"/>
      <c r="L503" s="26"/>
      <c r="M503" s="26"/>
      <c r="N503" s="148"/>
      <c r="O503" s="26"/>
      <c r="P503" s="26"/>
      <c r="Q503" s="26"/>
      <c r="R503" s="84"/>
      <c r="S503" s="136"/>
      <c r="T503" s="26"/>
      <c r="U503" s="45"/>
      <c r="V503" s="26"/>
      <c r="W503" s="26"/>
    </row>
    <row r="504" spans="1:23" x14ac:dyDescent="0.35">
      <c r="A504" s="26"/>
      <c r="B504" s="35"/>
      <c r="C504" s="26"/>
      <c r="D504" s="26"/>
      <c r="E504" s="44"/>
      <c r="F504" s="26"/>
      <c r="G504" s="26"/>
      <c r="H504" s="147"/>
      <c r="I504" s="26"/>
      <c r="J504" s="26"/>
      <c r="K504" s="26"/>
      <c r="L504" s="26"/>
      <c r="M504" s="26"/>
      <c r="N504" s="148"/>
      <c r="O504" s="26"/>
      <c r="P504" s="26"/>
      <c r="Q504" s="26"/>
      <c r="R504" s="84"/>
      <c r="S504" s="136"/>
      <c r="T504" s="26"/>
      <c r="U504" s="45"/>
      <c r="V504" s="26"/>
      <c r="W504" s="26"/>
    </row>
    <row r="505" spans="1:23" x14ac:dyDescent="0.35">
      <c r="A505" s="26"/>
      <c r="B505" s="35"/>
      <c r="C505" s="26"/>
      <c r="D505" s="26"/>
      <c r="E505" s="44"/>
      <c r="F505" s="26"/>
      <c r="G505" s="26"/>
      <c r="H505" s="147"/>
      <c r="I505" s="26"/>
      <c r="J505" s="26"/>
      <c r="K505" s="26"/>
      <c r="L505" s="26"/>
      <c r="M505" s="26"/>
      <c r="N505" s="148"/>
      <c r="O505" s="26"/>
      <c r="P505" s="26"/>
      <c r="Q505" s="26"/>
      <c r="R505" s="84"/>
      <c r="S505" s="136"/>
      <c r="T505" s="26"/>
      <c r="U505" s="45"/>
      <c r="V505" s="26"/>
      <c r="W505" s="26"/>
    </row>
    <row r="506" spans="1:23" x14ac:dyDescent="0.35">
      <c r="A506" s="26"/>
      <c r="B506" s="35"/>
      <c r="C506" s="26"/>
      <c r="D506" s="26"/>
      <c r="E506" s="44"/>
      <c r="F506" s="26"/>
      <c r="G506" s="26"/>
      <c r="H506" s="147"/>
      <c r="I506" s="26"/>
      <c r="J506" s="26"/>
      <c r="K506" s="26"/>
      <c r="L506" s="26"/>
      <c r="M506" s="26"/>
      <c r="N506" s="148"/>
      <c r="O506" s="26"/>
      <c r="P506" s="26"/>
      <c r="Q506" s="26"/>
      <c r="R506" s="84"/>
      <c r="S506" s="136"/>
      <c r="T506" s="26"/>
      <c r="U506" s="45"/>
      <c r="V506" s="26"/>
      <c r="W506" s="26"/>
    </row>
    <row r="507" spans="1:23" x14ac:dyDescent="0.35">
      <c r="A507" s="26"/>
      <c r="B507" s="35"/>
      <c r="C507" s="26"/>
      <c r="D507" s="26"/>
      <c r="E507" s="44"/>
      <c r="F507" s="26"/>
      <c r="G507" s="26"/>
      <c r="H507" s="147"/>
      <c r="I507" s="26"/>
      <c r="J507" s="26"/>
      <c r="K507" s="26"/>
      <c r="L507" s="26"/>
      <c r="M507" s="26"/>
      <c r="N507" s="148"/>
      <c r="O507" s="26"/>
      <c r="P507" s="26"/>
      <c r="Q507" s="26"/>
      <c r="R507" s="84"/>
      <c r="S507" s="136"/>
      <c r="T507" s="26"/>
      <c r="U507" s="45"/>
      <c r="V507" s="26"/>
      <c r="W507" s="26"/>
    </row>
    <row r="508" spans="1:23" x14ac:dyDescent="0.35">
      <c r="A508" s="26"/>
      <c r="B508" s="35"/>
      <c r="C508" s="26"/>
      <c r="D508" s="26"/>
      <c r="E508" s="44"/>
      <c r="F508" s="26"/>
      <c r="G508" s="26"/>
      <c r="H508" s="147"/>
      <c r="I508" s="26"/>
      <c r="J508" s="26"/>
      <c r="K508" s="26"/>
      <c r="L508" s="26"/>
      <c r="M508" s="26"/>
      <c r="N508" s="148"/>
      <c r="O508" s="26"/>
      <c r="P508" s="26"/>
      <c r="Q508" s="26"/>
      <c r="R508" s="84"/>
      <c r="S508" s="136"/>
      <c r="T508" s="26"/>
      <c r="U508" s="45"/>
      <c r="V508" s="26"/>
      <c r="W508" s="26"/>
    </row>
    <row r="509" spans="1:23" x14ac:dyDescent="0.35">
      <c r="A509" s="26"/>
      <c r="B509" s="35"/>
      <c r="C509" s="26"/>
      <c r="D509" s="26"/>
      <c r="E509" s="44"/>
      <c r="F509" s="26"/>
      <c r="G509" s="26"/>
      <c r="H509" s="147"/>
      <c r="I509" s="26"/>
      <c r="J509" s="26"/>
      <c r="K509" s="26"/>
      <c r="L509" s="26"/>
      <c r="M509" s="26"/>
      <c r="N509" s="148"/>
      <c r="O509" s="26"/>
      <c r="P509" s="26"/>
      <c r="Q509" s="26"/>
      <c r="R509" s="84"/>
      <c r="S509" s="136"/>
      <c r="T509" s="26"/>
      <c r="U509" s="45"/>
      <c r="V509" s="26"/>
      <c r="W509" s="26"/>
    </row>
    <row r="510" spans="1:23" x14ac:dyDescent="0.35">
      <c r="A510" s="26"/>
      <c r="B510" s="35"/>
      <c r="C510" s="26"/>
      <c r="D510" s="26"/>
      <c r="E510" s="44"/>
      <c r="F510" s="26"/>
      <c r="G510" s="26"/>
      <c r="H510" s="147"/>
      <c r="I510" s="26"/>
      <c r="J510" s="26"/>
      <c r="K510" s="26"/>
      <c r="L510" s="26"/>
      <c r="M510" s="26"/>
      <c r="N510" s="148"/>
      <c r="O510" s="26"/>
      <c r="P510" s="26"/>
      <c r="Q510" s="26"/>
      <c r="R510" s="84"/>
      <c r="S510" s="136"/>
      <c r="T510" s="26"/>
      <c r="U510" s="45"/>
      <c r="V510" s="26"/>
      <c r="W510" s="26"/>
    </row>
    <row r="511" spans="1:23" x14ac:dyDescent="0.35">
      <c r="A511" s="26"/>
      <c r="B511" s="35"/>
      <c r="C511" s="26"/>
      <c r="D511" s="26"/>
      <c r="E511" s="44"/>
      <c r="F511" s="26"/>
      <c r="G511" s="26"/>
      <c r="H511" s="147"/>
      <c r="I511" s="26"/>
      <c r="J511" s="26"/>
      <c r="K511" s="26"/>
      <c r="L511" s="26"/>
      <c r="M511" s="26"/>
      <c r="N511" s="148"/>
      <c r="O511" s="26"/>
      <c r="P511" s="26"/>
      <c r="Q511" s="26"/>
      <c r="R511" s="84"/>
      <c r="S511" s="136"/>
      <c r="T511" s="26"/>
      <c r="U511" s="45"/>
      <c r="V511" s="26"/>
      <c r="W511" s="26"/>
    </row>
    <row r="512" spans="1:23" x14ac:dyDescent="0.35">
      <c r="A512" s="26"/>
      <c r="B512" s="35"/>
      <c r="C512" s="26"/>
      <c r="D512" s="26"/>
      <c r="E512" s="44"/>
      <c r="F512" s="26"/>
      <c r="G512" s="26"/>
      <c r="H512" s="147"/>
      <c r="I512" s="26"/>
      <c r="J512" s="26"/>
      <c r="K512" s="26"/>
      <c r="L512" s="26"/>
      <c r="M512" s="26"/>
      <c r="N512" s="148"/>
      <c r="O512" s="26"/>
      <c r="P512" s="26"/>
      <c r="Q512" s="26"/>
      <c r="R512" s="84"/>
      <c r="S512" s="136"/>
      <c r="T512" s="26"/>
      <c r="U512" s="45"/>
      <c r="V512" s="26"/>
      <c r="W512" s="26"/>
    </row>
    <row r="513" spans="1:23" x14ac:dyDescent="0.35">
      <c r="A513" s="26"/>
      <c r="B513" s="35"/>
      <c r="C513" s="26"/>
      <c r="D513" s="26"/>
      <c r="E513" s="44"/>
      <c r="F513" s="26"/>
      <c r="G513" s="26"/>
      <c r="H513" s="147"/>
      <c r="I513" s="26"/>
      <c r="J513" s="26"/>
      <c r="K513" s="26"/>
      <c r="L513" s="26"/>
      <c r="M513" s="26"/>
      <c r="N513" s="148"/>
      <c r="O513" s="26"/>
      <c r="P513" s="26"/>
      <c r="Q513" s="26"/>
      <c r="R513" s="84"/>
      <c r="S513" s="136"/>
      <c r="T513" s="26"/>
      <c r="U513" s="45"/>
      <c r="V513" s="26"/>
      <c r="W513" s="26"/>
    </row>
    <row r="514" spans="1:23" x14ac:dyDescent="0.35">
      <c r="A514" s="26"/>
      <c r="B514" s="35"/>
      <c r="C514" s="26"/>
      <c r="D514" s="26"/>
      <c r="E514" s="44"/>
      <c r="F514" s="26"/>
      <c r="G514" s="26"/>
      <c r="H514" s="147"/>
      <c r="I514" s="26"/>
      <c r="J514" s="26"/>
      <c r="K514" s="26"/>
      <c r="L514" s="26"/>
      <c r="M514" s="26"/>
      <c r="N514" s="148"/>
      <c r="O514" s="26"/>
      <c r="P514" s="26"/>
      <c r="Q514" s="26"/>
      <c r="R514" s="84"/>
      <c r="S514" s="136"/>
      <c r="T514" s="26"/>
      <c r="U514" s="45"/>
      <c r="V514" s="26"/>
      <c r="W514" s="26"/>
    </row>
    <row r="515" spans="1:23" x14ac:dyDescent="0.35">
      <c r="A515" s="26"/>
      <c r="B515" s="35"/>
      <c r="C515" s="26"/>
      <c r="D515" s="26"/>
      <c r="E515" s="44"/>
      <c r="F515" s="26"/>
      <c r="G515" s="26"/>
      <c r="H515" s="147"/>
      <c r="I515" s="26"/>
      <c r="J515" s="26"/>
      <c r="K515" s="26"/>
      <c r="L515" s="26"/>
      <c r="M515" s="26"/>
      <c r="N515" s="148"/>
      <c r="O515" s="26"/>
      <c r="P515" s="26"/>
      <c r="Q515" s="26"/>
      <c r="R515" s="84"/>
      <c r="S515" s="136"/>
      <c r="T515" s="26"/>
      <c r="U515" s="45"/>
      <c r="V515" s="26"/>
      <c r="W515" s="26"/>
    </row>
    <row r="516" spans="1:23" x14ac:dyDescent="0.35">
      <c r="A516" s="26"/>
      <c r="B516" s="35"/>
      <c r="C516" s="26"/>
      <c r="D516" s="26"/>
      <c r="E516" s="44"/>
      <c r="F516" s="26"/>
      <c r="G516" s="26"/>
      <c r="H516" s="147"/>
      <c r="I516" s="26"/>
      <c r="J516" s="26"/>
      <c r="K516" s="26"/>
      <c r="L516" s="26"/>
      <c r="M516" s="26"/>
      <c r="N516" s="148"/>
      <c r="O516" s="26"/>
      <c r="P516" s="26"/>
      <c r="Q516" s="26"/>
      <c r="R516" s="84"/>
      <c r="S516" s="136"/>
      <c r="T516" s="26"/>
      <c r="U516" s="45"/>
      <c r="V516" s="26"/>
      <c r="W516" s="26"/>
    </row>
    <row r="517" spans="1:23" x14ac:dyDescent="0.35">
      <c r="A517" s="26"/>
      <c r="B517" s="35"/>
      <c r="C517" s="26"/>
      <c r="D517" s="26"/>
      <c r="E517" s="44"/>
      <c r="F517" s="26"/>
      <c r="G517" s="26"/>
      <c r="H517" s="147"/>
      <c r="I517" s="26"/>
      <c r="J517" s="26"/>
      <c r="K517" s="26"/>
      <c r="L517" s="26"/>
      <c r="M517" s="26"/>
      <c r="N517" s="148"/>
      <c r="O517" s="26"/>
      <c r="P517" s="26"/>
      <c r="Q517" s="26"/>
      <c r="R517" s="84"/>
      <c r="S517" s="136"/>
      <c r="T517" s="26"/>
      <c r="U517" s="45"/>
      <c r="V517" s="26"/>
      <c r="W517" s="26"/>
    </row>
    <row r="518" spans="1:23" x14ac:dyDescent="0.35">
      <c r="A518" s="26"/>
      <c r="B518" s="35"/>
      <c r="C518" s="26"/>
      <c r="D518" s="26"/>
      <c r="E518" s="44"/>
      <c r="F518" s="26"/>
      <c r="G518" s="26"/>
      <c r="H518" s="147"/>
      <c r="I518" s="26"/>
      <c r="J518" s="26"/>
      <c r="K518" s="26"/>
      <c r="L518" s="26"/>
      <c r="M518" s="26"/>
      <c r="N518" s="148"/>
      <c r="O518" s="26"/>
      <c r="P518" s="26"/>
      <c r="Q518" s="26"/>
      <c r="R518" s="84"/>
      <c r="S518" s="136"/>
      <c r="T518" s="26"/>
      <c r="U518" s="45"/>
      <c r="V518" s="26"/>
      <c r="W518" s="26"/>
    </row>
    <row r="519" spans="1:23" x14ac:dyDescent="0.35">
      <c r="A519" s="26"/>
      <c r="B519" s="35"/>
      <c r="C519" s="26"/>
      <c r="D519" s="26"/>
      <c r="E519" s="44"/>
      <c r="F519" s="26"/>
      <c r="G519" s="26"/>
      <c r="H519" s="147"/>
      <c r="I519" s="26"/>
      <c r="J519" s="26"/>
      <c r="K519" s="26"/>
      <c r="L519" s="26"/>
      <c r="M519" s="26"/>
      <c r="N519" s="148"/>
      <c r="O519" s="26"/>
      <c r="P519" s="26"/>
      <c r="Q519" s="26"/>
      <c r="R519" s="84"/>
      <c r="S519" s="136"/>
      <c r="T519" s="26"/>
      <c r="U519" s="45"/>
      <c r="V519" s="26"/>
      <c r="W519" s="26"/>
    </row>
    <row r="520" spans="1:23" x14ac:dyDescent="0.35">
      <c r="A520" s="26"/>
      <c r="B520" s="35"/>
      <c r="C520" s="26"/>
      <c r="D520" s="26"/>
      <c r="E520" s="44"/>
      <c r="F520" s="26"/>
      <c r="G520" s="26"/>
      <c r="H520" s="147"/>
      <c r="I520" s="26"/>
      <c r="J520" s="26"/>
      <c r="K520" s="26"/>
      <c r="L520" s="26"/>
      <c r="M520" s="26"/>
      <c r="N520" s="148"/>
      <c r="O520" s="26"/>
      <c r="P520" s="26"/>
      <c r="Q520" s="26"/>
      <c r="R520" s="84"/>
      <c r="S520" s="136"/>
      <c r="T520" s="26"/>
      <c r="U520" s="45"/>
      <c r="V520" s="26"/>
      <c r="W520" s="26"/>
    </row>
    <row r="521" spans="1:23" x14ac:dyDescent="0.35">
      <c r="A521" s="26"/>
      <c r="B521" s="35"/>
      <c r="C521" s="26"/>
      <c r="D521" s="26"/>
      <c r="E521" s="44"/>
      <c r="F521" s="26"/>
      <c r="G521" s="26"/>
      <c r="H521" s="147"/>
      <c r="I521" s="26"/>
      <c r="J521" s="26"/>
      <c r="K521" s="26"/>
      <c r="L521" s="26"/>
      <c r="M521" s="26"/>
      <c r="N521" s="148"/>
      <c r="O521" s="26"/>
      <c r="P521" s="26"/>
      <c r="Q521" s="26"/>
      <c r="R521" s="84"/>
      <c r="S521" s="136"/>
      <c r="T521" s="26"/>
      <c r="U521" s="45"/>
      <c r="V521" s="26"/>
      <c r="W521" s="26"/>
    </row>
    <row r="522" spans="1:23" x14ac:dyDescent="0.35">
      <c r="A522" s="26"/>
      <c r="B522" s="35"/>
      <c r="C522" s="26"/>
      <c r="D522" s="26"/>
      <c r="E522" s="44"/>
      <c r="F522" s="26"/>
      <c r="G522" s="26"/>
      <c r="H522" s="147"/>
      <c r="I522" s="26"/>
      <c r="J522" s="26"/>
      <c r="K522" s="26"/>
      <c r="L522" s="26"/>
      <c r="M522" s="26"/>
      <c r="N522" s="148"/>
      <c r="O522" s="26"/>
      <c r="P522" s="26"/>
      <c r="Q522" s="26"/>
      <c r="R522" s="84"/>
      <c r="S522" s="136"/>
      <c r="T522" s="26"/>
      <c r="U522" s="45"/>
      <c r="V522" s="26"/>
      <c r="W522" s="26"/>
    </row>
    <row r="523" spans="1:23" x14ac:dyDescent="0.35">
      <c r="A523" s="26"/>
      <c r="B523" s="35"/>
      <c r="C523" s="26"/>
      <c r="D523" s="26"/>
      <c r="E523" s="44"/>
      <c r="F523" s="26"/>
      <c r="G523" s="26"/>
      <c r="H523" s="147"/>
      <c r="I523" s="26"/>
      <c r="J523" s="26"/>
      <c r="K523" s="26"/>
      <c r="L523" s="26"/>
      <c r="M523" s="26"/>
      <c r="N523" s="148"/>
      <c r="O523" s="26"/>
      <c r="P523" s="26"/>
      <c r="Q523" s="26"/>
      <c r="R523" s="84"/>
      <c r="S523" s="136"/>
      <c r="T523" s="26"/>
      <c r="U523" s="45"/>
      <c r="V523" s="26"/>
      <c r="W523" s="26"/>
    </row>
    <row r="524" spans="1:23" x14ac:dyDescent="0.35">
      <c r="A524" s="26"/>
      <c r="B524" s="35"/>
      <c r="C524" s="26"/>
      <c r="D524" s="26"/>
      <c r="E524" s="44"/>
      <c r="F524" s="26"/>
      <c r="G524" s="26"/>
      <c r="H524" s="147"/>
      <c r="I524" s="26"/>
      <c r="J524" s="26"/>
      <c r="K524" s="26"/>
      <c r="L524" s="26"/>
      <c r="M524" s="26"/>
      <c r="N524" s="148"/>
      <c r="O524" s="26"/>
      <c r="P524" s="26"/>
      <c r="Q524" s="26"/>
      <c r="R524" s="84"/>
      <c r="S524" s="136"/>
      <c r="T524" s="26"/>
      <c r="U524" s="45"/>
      <c r="V524" s="26"/>
      <c r="W524" s="26"/>
    </row>
    <row r="525" spans="1:23" x14ac:dyDescent="0.35">
      <c r="A525" s="26"/>
      <c r="B525" s="35"/>
      <c r="C525" s="26"/>
      <c r="D525" s="26"/>
      <c r="E525" s="44"/>
      <c r="F525" s="26"/>
      <c r="G525" s="26"/>
      <c r="H525" s="147"/>
      <c r="I525" s="26"/>
      <c r="J525" s="26"/>
      <c r="K525" s="26"/>
      <c r="L525" s="26"/>
      <c r="M525" s="26"/>
      <c r="N525" s="148"/>
      <c r="O525" s="26"/>
      <c r="P525" s="26"/>
      <c r="Q525" s="26"/>
      <c r="R525" s="84"/>
      <c r="S525" s="136"/>
      <c r="T525" s="26"/>
      <c r="U525" s="45"/>
      <c r="V525" s="26"/>
      <c r="W525" s="26"/>
    </row>
    <row r="526" spans="1:23" x14ac:dyDescent="0.35">
      <c r="A526" s="26"/>
      <c r="B526" s="35"/>
      <c r="C526" s="26"/>
      <c r="D526" s="26"/>
      <c r="E526" s="44"/>
      <c r="F526" s="26"/>
      <c r="G526" s="26"/>
      <c r="H526" s="147"/>
      <c r="I526" s="26"/>
      <c r="J526" s="26"/>
      <c r="K526" s="26"/>
      <c r="L526" s="26"/>
      <c r="M526" s="26"/>
      <c r="N526" s="148"/>
      <c r="O526" s="26"/>
      <c r="P526" s="26"/>
      <c r="Q526" s="26"/>
      <c r="R526" s="84"/>
      <c r="S526" s="136"/>
      <c r="T526" s="26"/>
      <c r="U526" s="45"/>
      <c r="V526" s="26"/>
      <c r="W526" s="26"/>
    </row>
    <row r="527" spans="1:23" x14ac:dyDescent="0.35">
      <c r="A527" s="26"/>
      <c r="B527" s="35"/>
      <c r="C527" s="26"/>
      <c r="D527" s="26"/>
      <c r="E527" s="44"/>
      <c r="F527" s="26"/>
      <c r="G527" s="26"/>
      <c r="H527" s="147"/>
      <c r="I527" s="26"/>
      <c r="J527" s="26"/>
      <c r="K527" s="26"/>
      <c r="L527" s="26"/>
      <c r="M527" s="26"/>
      <c r="N527" s="148"/>
      <c r="O527" s="26"/>
      <c r="P527" s="26"/>
      <c r="Q527" s="26"/>
      <c r="R527" s="84"/>
      <c r="S527" s="136"/>
      <c r="T527" s="26"/>
      <c r="U527" s="45"/>
      <c r="V527" s="26"/>
      <c r="W527" s="26"/>
    </row>
    <row r="528" spans="1:23" x14ac:dyDescent="0.35">
      <c r="A528" s="26"/>
      <c r="B528" s="35"/>
      <c r="C528" s="26"/>
      <c r="D528" s="26"/>
      <c r="E528" s="44"/>
      <c r="F528" s="26"/>
      <c r="G528" s="26"/>
      <c r="H528" s="147"/>
      <c r="I528" s="26"/>
      <c r="J528" s="26"/>
      <c r="K528" s="26"/>
      <c r="L528" s="26"/>
      <c r="M528" s="26"/>
      <c r="N528" s="148"/>
      <c r="O528" s="26"/>
      <c r="P528" s="26"/>
      <c r="Q528" s="26"/>
      <c r="R528" s="84"/>
      <c r="S528" s="136"/>
      <c r="T528" s="26"/>
      <c r="U528" s="45"/>
      <c r="V528" s="26"/>
      <c r="W528" s="26"/>
    </row>
    <row r="529" spans="1:23" x14ac:dyDescent="0.35">
      <c r="A529" s="26"/>
      <c r="B529" s="35"/>
      <c r="C529" s="26"/>
      <c r="D529" s="26"/>
      <c r="E529" s="44"/>
      <c r="F529" s="26"/>
      <c r="G529" s="26"/>
      <c r="H529" s="147"/>
      <c r="I529" s="26"/>
      <c r="J529" s="26"/>
      <c r="K529" s="26"/>
      <c r="L529" s="26"/>
      <c r="M529" s="26"/>
      <c r="N529" s="148"/>
      <c r="O529" s="26"/>
      <c r="P529" s="26"/>
      <c r="Q529" s="26"/>
      <c r="R529" s="84"/>
      <c r="S529" s="136"/>
      <c r="T529" s="26"/>
      <c r="U529" s="45"/>
      <c r="V529" s="26"/>
      <c r="W529" s="26"/>
    </row>
    <row r="530" spans="1:23" x14ac:dyDescent="0.35">
      <c r="A530" s="26"/>
      <c r="B530" s="35"/>
      <c r="C530" s="26"/>
      <c r="D530" s="26"/>
      <c r="E530" s="44"/>
      <c r="F530" s="26"/>
      <c r="G530" s="26"/>
      <c r="H530" s="147"/>
      <c r="I530" s="26"/>
      <c r="J530" s="26"/>
      <c r="K530" s="26"/>
      <c r="L530" s="26"/>
      <c r="M530" s="26"/>
      <c r="N530" s="148"/>
      <c r="O530" s="26"/>
      <c r="P530" s="26"/>
      <c r="Q530" s="26"/>
      <c r="R530" s="84"/>
      <c r="S530" s="136"/>
      <c r="T530" s="26"/>
      <c r="U530" s="45"/>
      <c r="V530" s="26"/>
      <c r="W530" s="26"/>
    </row>
    <row r="531" spans="1:23" x14ac:dyDescent="0.35">
      <c r="A531" s="26"/>
      <c r="B531" s="35"/>
      <c r="C531" s="26"/>
      <c r="D531" s="26"/>
      <c r="E531" s="44"/>
      <c r="F531" s="26"/>
      <c r="G531" s="26"/>
      <c r="H531" s="147"/>
      <c r="I531" s="26"/>
      <c r="J531" s="26"/>
      <c r="K531" s="26"/>
      <c r="L531" s="26"/>
      <c r="M531" s="26"/>
      <c r="N531" s="148"/>
      <c r="O531" s="26"/>
      <c r="P531" s="26"/>
      <c r="Q531" s="26"/>
      <c r="R531" s="84"/>
      <c r="S531" s="136"/>
      <c r="T531" s="26"/>
      <c r="U531" s="45"/>
      <c r="V531" s="26"/>
      <c r="W531" s="26"/>
    </row>
    <row r="532" spans="1:23" x14ac:dyDescent="0.35">
      <c r="A532" s="26"/>
      <c r="B532" s="35"/>
      <c r="C532" s="26"/>
      <c r="D532" s="26"/>
      <c r="E532" s="44"/>
      <c r="F532" s="26"/>
      <c r="G532" s="26"/>
      <c r="H532" s="147"/>
      <c r="I532" s="26"/>
      <c r="J532" s="26"/>
      <c r="K532" s="26"/>
      <c r="L532" s="26"/>
      <c r="M532" s="26"/>
      <c r="N532" s="148"/>
      <c r="O532" s="26"/>
      <c r="P532" s="26"/>
      <c r="Q532" s="26"/>
      <c r="R532" s="84"/>
      <c r="S532" s="136"/>
      <c r="T532" s="26"/>
      <c r="U532" s="45"/>
      <c r="V532" s="26"/>
      <c r="W532" s="26"/>
    </row>
    <row r="533" spans="1:23" x14ac:dyDescent="0.35">
      <c r="A533" s="26"/>
      <c r="B533" s="35"/>
      <c r="C533" s="26"/>
      <c r="D533" s="26"/>
      <c r="E533" s="44"/>
      <c r="F533" s="26"/>
      <c r="G533" s="26"/>
      <c r="H533" s="147"/>
      <c r="I533" s="26"/>
      <c r="J533" s="26"/>
      <c r="K533" s="26"/>
      <c r="L533" s="26"/>
      <c r="M533" s="26"/>
      <c r="N533" s="148"/>
      <c r="O533" s="26"/>
      <c r="P533" s="26"/>
      <c r="Q533" s="26"/>
      <c r="R533" s="84"/>
      <c r="S533" s="136"/>
      <c r="T533" s="26"/>
      <c r="U533" s="45"/>
      <c r="V533" s="26"/>
      <c r="W533" s="26"/>
    </row>
    <row r="534" spans="1:23" x14ac:dyDescent="0.35">
      <c r="A534" s="26"/>
      <c r="B534" s="35"/>
      <c r="C534" s="26"/>
      <c r="D534" s="26"/>
      <c r="E534" s="44"/>
      <c r="F534" s="26"/>
      <c r="G534" s="26"/>
      <c r="H534" s="147"/>
      <c r="I534" s="26"/>
      <c r="J534" s="26"/>
      <c r="K534" s="26"/>
      <c r="L534" s="26"/>
      <c r="M534" s="26"/>
      <c r="N534" s="148"/>
      <c r="O534" s="26"/>
      <c r="P534" s="26"/>
      <c r="Q534" s="26"/>
      <c r="R534" s="84"/>
      <c r="S534" s="136"/>
      <c r="T534" s="26"/>
      <c r="U534" s="45"/>
      <c r="V534" s="26"/>
      <c r="W534" s="26"/>
    </row>
    <row r="535" spans="1:23" x14ac:dyDescent="0.35">
      <c r="A535" s="26"/>
      <c r="B535" s="35"/>
      <c r="C535" s="26"/>
      <c r="D535" s="26"/>
      <c r="E535" s="44"/>
      <c r="F535" s="26"/>
      <c r="G535" s="26"/>
      <c r="H535" s="147"/>
      <c r="I535" s="26"/>
      <c r="J535" s="26"/>
      <c r="K535" s="26"/>
      <c r="L535" s="26"/>
      <c r="M535" s="26"/>
      <c r="N535" s="148"/>
      <c r="O535" s="26"/>
      <c r="P535" s="26"/>
      <c r="Q535" s="26"/>
      <c r="R535" s="84"/>
      <c r="S535" s="136"/>
      <c r="T535" s="26"/>
      <c r="U535" s="45"/>
      <c r="V535" s="26"/>
      <c r="W535" s="26"/>
    </row>
    <row r="536" spans="1:23" x14ac:dyDescent="0.35">
      <c r="A536" s="26"/>
      <c r="B536" s="35"/>
      <c r="C536" s="26"/>
      <c r="D536" s="26"/>
      <c r="E536" s="44"/>
      <c r="F536" s="26"/>
      <c r="G536" s="26"/>
      <c r="H536" s="147"/>
      <c r="I536" s="26"/>
      <c r="J536" s="26"/>
      <c r="K536" s="26"/>
      <c r="L536" s="26"/>
      <c r="M536" s="26"/>
      <c r="N536" s="148"/>
      <c r="O536" s="26"/>
      <c r="P536" s="26"/>
      <c r="Q536" s="26"/>
      <c r="R536" s="84"/>
      <c r="S536" s="136"/>
      <c r="T536" s="26"/>
      <c r="U536" s="45"/>
      <c r="V536" s="26"/>
      <c r="W536" s="26"/>
    </row>
    <row r="537" spans="1:23" x14ac:dyDescent="0.35">
      <c r="A537" s="26"/>
      <c r="B537" s="35"/>
      <c r="C537" s="26"/>
      <c r="D537" s="26"/>
      <c r="E537" s="44"/>
      <c r="F537" s="26"/>
      <c r="G537" s="26"/>
      <c r="H537" s="147"/>
      <c r="I537" s="26"/>
      <c r="J537" s="26"/>
      <c r="K537" s="26"/>
      <c r="L537" s="26"/>
      <c r="M537" s="26"/>
      <c r="N537" s="148"/>
      <c r="O537" s="26"/>
      <c r="P537" s="26"/>
      <c r="Q537" s="26"/>
      <c r="R537" s="84"/>
      <c r="S537" s="136"/>
      <c r="T537" s="26"/>
      <c r="U537" s="45"/>
      <c r="V537" s="26"/>
      <c r="W537" s="26"/>
    </row>
    <row r="538" spans="1:23" x14ac:dyDescent="0.35">
      <c r="A538" s="26"/>
      <c r="B538" s="35"/>
      <c r="C538" s="26"/>
      <c r="D538" s="26"/>
      <c r="E538" s="44"/>
      <c r="F538" s="26"/>
      <c r="G538" s="26"/>
      <c r="H538" s="147"/>
      <c r="I538" s="26"/>
      <c r="J538" s="26"/>
      <c r="K538" s="26"/>
      <c r="L538" s="26"/>
      <c r="M538" s="26"/>
      <c r="N538" s="148"/>
      <c r="O538" s="26"/>
      <c r="P538" s="26"/>
      <c r="Q538" s="26"/>
      <c r="R538" s="84"/>
      <c r="S538" s="136"/>
      <c r="T538" s="26"/>
      <c r="U538" s="45"/>
      <c r="V538" s="26"/>
      <c r="W538" s="26"/>
    </row>
    <row r="539" spans="1:23" x14ac:dyDescent="0.35">
      <c r="A539" s="26"/>
      <c r="B539" s="35"/>
      <c r="C539" s="26"/>
      <c r="D539" s="26"/>
      <c r="E539" s="44"/>
      <c r="F539" s="26"/>
      <c r="G539" s="26"/>
      <c r="H539" s="147"/>
      <c r="I539" s="26"/>
      <c r="J539" s="26"/>
      <c r="K539" s="26"/>
      <c r="L539" s="26"/>
      <c r="M539" s="26"/>
      <c r="N539" s="148"/>
      <c r="O539" s="26"/>
      <c r="P539" s="26"/>
      <c r="Q539" s="26"/>
      <c r="R539" s="84"/>
      <c r="S539" s="136"/>
      <c r="T539" s="26"/>
      <c r="U539" s="45"/>
      <c r="V539" s="26"/>
      <c r="W539" s="26"/>
    </row>
    <row r="540" spans="1:23" x14ac:dyDescent="0.35">
      <c r="A540" s="26"/>
      <c r="B540" s="35"/>
      <c r="C540" s="26"/>
      <c r="D540" s="26"/>
      <c r="E540" s="44"/>
      <c r="F540" s="26"/>
      <c r="G540" s="26"/>
      <c r="H540" s="147"/>
      <c r="I540" s="26"/>
      <c r="J540" s="26"/>
      <c r="K540" s="26"/>
      <c r="L540" s="26"/>
      <c r="M540" s="26"/>
      <c r="N540" s="148"/>
      <c r="O540" s="26"/>
      <c r="P540" s="26"/>
      <c r="Q540" s="26"/>
      <c r="R540" s="84"/>
      <c r="S540" s="136"/>
      <c r="T540" s="26"/>
      <c r="U540" s="45"/>
      <c r="V540" s="26"/>
      <c r="W540" s="26"/>
    </row>
    <row r="541" spans="1:23" x14ac:dyDescent="0.35">
      <c r="A541" s="26"/>
      <c r="B541" s="35"/>
      <c r="C541" s="26"/>
      <c r="D541" s="26"/>
      <c r="E541" s="44"/>
      <c r="F541" s="26"/>
      <c r="G541" s="26"/>
      <c r="H541" s="147"/>
      <c r="I541" s="26"/>
      <c r="J541" s="26"/>
      <c r="K541" s="26"/>
      <c r="L541" s="26"/>
      <c r="M541" s="26"/>
      <c r="N541" s="148"/>
      <c r="O541" s="26"/>
      <c r="P541" s="26"/>
      <c r="Q541" s="26"/>
      <c r="R541" s="84"/>
      <c r="S541" s="136"/>
      <c r="T541" s="26"/>
      <c r="U541" s="45"/>
      <c r="V541" s="26"/>
      <c r="W541" s="26"/>
    </row>
    <row r="542" spans="1:23" x14ac:dyDescent="0.35">
      <c r="A542" s="26"/>
      <c r="B542" s="35"/>
      <c r="C542" s="26"/>
      <c r="D542" s="26"/>
      <c r="E542" s="44"/>
      <c r="F542" s="26"/>
      <c r="G542" s="26"/>
      <c r="H542" s="147"/>
      <c r="I542" s="26"/>
      <c r="J542" s="26"/>
      <c r="K542" s="26"/>
      <c r="L542" s="26"/>
      <c r="M542" s="26"/>
      <c r="N542" s="148"/>
      <c r="O542" s="26"/>
      <c r="P542" s="26"/>
      <c r="Q542" s="26"/>
      <c r="R542" s="84"/>
      <c r="S542" s="136"/>
      <c r="T542" s="26"/>
      <c r="U542" s="45"/>
      <c r="V542" s="26"/>
      <c r="W542" s="26"/>
    </row>
    <row r="543" spans="1:23" x14ac:dyDescent="0.35">
      <c r="A543" s="26"/>
      <c r="B543" s="35"/>
      <c r="C543" s="26"/>
      <c r="D543" s="26"/>
      <c r="E543" s="44"/>
      <c r="F543" s="26"/>
      <c r="G543" s="26"/>
      <c r="H543" s="147"/>
      <c r="I543" s="26"/>
      <c r="J543" s="26"/>
      <c r="K543" s="26"/>
      <c r="L543" s="26"/>
      <c r="M543" s="26"/>
      <c r="N543" s="148"/>
      <c r="O543" s="26"/>
      <c r="P543" s="26"/>
      <c r="Q543" s="26"/>
      <c r="R543" s="84"/>
      <c r="S543" s="136"/>
      <c r="T543" s="26"/>
      <c r="U543" s="45"/>
      <c r="V543" s="26"/>
      <c r="W543" s="26"/>
    </row>
    <row r="544" spans="1:23" x14ac:dyDescent="0.35">
      <c r="A544" s="26"/>
      <c r="B544" s="35"/>
      <c r="C544" s="26"/>
      <c r="D544" s="26"/>
      <c r="E544" s="44"/>
      <c r="F544" s="26"/>
      <c r="G544" s="26"/>
      <c r="H544" s="147"/>
      <c r="I544" s="26"/>
      <c r="J544" s="26"/>
      <c r="K544" s="26"/>
      <c r="L544" s="26"/>
      <c r="M544" s="26"/>
      <c r="N544" s="148"/>
      <c r="O544" s="26"/>
      <c r="P544" s="26"/>
      <c r="Q544" s="26"/>
      <c r="R544" s="84"/>
      <c r="S544" s="136"/>
      <c r="T544" s="26"/>
      <c r="U544" s="45"/>
      <c r="V544" s="26"/>
      <c r="W544" s="26"/>
    </row>
    <row r="545" spans="1:23" x14ac:dyDescent="0.35">
      <c r="A545" s="26"/>
      <c r="B545" s="35"/>
      <c r="C545" s="26"/>
      <c r="D545" s="26"/>
      <c r="E545" s="44"/>
      <c r="F545" s="26"/>
      <c r="G545" s="26"/>
      <c r="H545" s="147"/>
      <c r="I545" s="26"/>
      <c r="J545" s="26"/>
      <c r="K545" s="26"/>
      <c r="L545" s="26"/>
      <c r="M545" s="26"/>
      <c r="N545" s="148"/>
      <c r="O545" s="26"/>
      <c r="P545" s="26"/>
      <c r="Q545" s="26"/>
      <c r="R545" s="84"/>
      <c r="S545" s="136"/>
      <c r="T545" s="26"/>
      <c r="U545" s="45"/>
      <c r="V545" s="26"/>
      <c r="W545" s="26"/>
    </row>
    <row r="546" spans="1:23" x14ac:dyDescent="0.35">
      <c r="A546" s="26"/>
      <c r="B546" s="35"/>
      <c r="C546" s="26"/>
      <c r="D546" s="26"/>
      <c r="E546" s="44"/>
      <c r="F546" s="26"/>
      <c r="G546" s="26"/>
      <c r="H546" s="147"/>
      <c r="I546" s="26"/>
      <c r="J546" s="26"/>
      <c r="K546" s="26"/>
      <c r="L546" s="26"/>
      <c r="M546" s="26"/>
      <c r="N546" s="148"/>
      <c r="O546" s="26"/>
      <c r="P546" s="26"/>
      <c r="Q546" s="26"/>
      <c r="R546" s="84"/>
      <c r="S546" s="136"/>
      <c r="T546" s="26"/>
      <c r="U546" s="45"/>
      <c r="V546" s="26"/>
      <c r="W546" s="26"/>
    </row>
    <row r="547" spans="1:23" x14ac:dyDescent="0.35">
      <c r="A547" s="26"/>
      <c r="B547" s="35"/>
      <c r="C547" s="26"/>
      <c r="D547" s="26"/>
      <c r="E547" s="44"/>
      <c r="F547" s="26"/>
      <c r="G547" s="26"/>
      <c r="H547" s="147"/>
      <c r="I547" s="26"/>
      <c r="J547" s="26"/>
      <c r="K547" s="26"/>
      <c r="L547" s="26"/>
      <c r="M547" s="26"/>
      <c r="N547" s="148"/>
      <c r="O547" s="26"/>
      <c r="P547" s="26"/>
      <c r="Q547" s="26"/>
      <c r="R547" s="84"/>
      <c r="S547" s="136"/>
      <c r="T547" s="26"/>
      <c r="U547" s="45"/>
      <c r="V547" s="26"/>
      <c r="W547" s="26"/>
    </row>
    <row r="548" spans="1:23" x14ac:dyDescent="0.35">
      <c r="A548" s="26"/>
      <c r="B548" s="35"/>
      <c r="C548" s="26"/>
      <c r="D548" s="26"/>
      <c r="E548" s="44"/>
      <c r="F548" s="26"/>
      <c r="G548" s="26"/>
      <c r="H548" s="147"/>
      <c r="I548" s="26"/>
      <c r="J548" s="26"/>
      <c r="K548" s="26"/>
      <c r="L548" s="26"/>
      <c r="M548" s="26"/>
      <c r="N548" s="148"/>
      <c r="O548" s="26"/>
      <c r="P548" s="26"/>
      <c r="Q548" s="26"/>
      <c r="R548" s="84"/>
      <c r="S548" s="136"/>
      <c r="T548" s="26"/>
      <c r="U548" s="45"/>
      <c r="V548" s="26"/>
      <c r="W548" s="26"/>
    </row>
    <row r="549" spans="1:23" x14ac:dyDescent="0.35">
      <c r="A549" s="26"/>
      <c r="B549" s="35"/>
      <c r="C549" s="26"/>
      <c r="D549" s="26"/>
      <c r="E549" s="44"/>
      <c r="F549" s="26"/>
      <c r="G549" s="26"/>
      <c r="H549" s="147"/>
      <c r="I549" s="26"/>
      <c r="J549" s="26"/>
      <c r="K549" s="26"/>
      <c r="L549" s="26"/>
      <c r="M549" s="26"/>
      <c r="N549" s="148"/>
      <c r="O549" s="26"/>
      <c r="P549" s="26"/>
      <c r="Q549" s="26"/>
      <c r="R549" s="84"/>
      <c r="S549" s="136"/>
      <c r="T549" s="26"/>
      <c r="U549" s="45"/>
      <c r="V549" s="26"/>
      <c r="W549" s="26"/>
    </row>
    <row r="550" spans="1:23" x14ac:dyDescent="0.35">
      <c r="A550" s="26"/>
      <c r="B550" s="35"/>
      <c r="C550" s="26"/>
      <c r="D550" s="26"/>
      <c r="E550" s="44"/>
      <c r="F550" s="26"/>
      <c r="G550" s="26"/>
      <c r="H550" s="147"/>
      <c r="I550" s="26"/>
      <c r="J550" s="26"/>
      <c r="K550" s="26"/>
      <c r="L550" s="26"/>
      <c r="M550" s="26"/>
      <c r="N550" s="148"/>
      <c r="O550" s="26"/>
      <c r="P550" s="26"/>
      <c r="Q550" s="26"/>
      <c r="R550" s="84"/>
      <c r="S550" s="136"/>
      <c r="T550" s="26"/>
      <c r="U550" s="45"/>
      <c r="V550" s="26"/>
      <c r="W550" s="26"/>
    </row>
    <row r="551" spans="1:23" x14ac:dyDescent="0.35">
      <c r="A551" s="26"/>
      <c r="B551" s="35"/>
      <c r="C551" s="26"/>
      <c r="D551" s="26"/>
      <c r="E551" s="44"/>
      <c r="F551" s="26"/>
      <c r="G551" s="26"/>
      <c r="H551" s="147"/>
      <c r="I551" s="26"/>
      <c r="J551" s="26"/>
      <c r="K551" s="26"/>
      <c r="L551" s="26"/>
      <c r="M551" s="26"/>
      <c r="N551" s="148"/>
      <c r="O551" s="26"/>
      <c r="P551" s="26"/>
      <c r="Q551" s="26"/>
      <c r="R551" s="84"/>
      <c r="S551" s="136"/>
      <c r="T551" s="26"/>
      <c r="U551" s="45"/>
      <c r="V551" s="26"/>
      <c r="W551" s="26"/>
    </row>
    <row r="552" spans="1:23" x14ac:dyDescent="0.35">
      <c r="A552" s="26"/>
      <c r="B552" s="35"/>
      <c r="C552" s="26"/>
      <c r="D552" s="26"/>
      <c r="E552" s="44"/>
      <c r="F552" s="26"/>
      <c r="G552" s="26"/>
      <c r="H552" s="147"/>
      <c r="I552" s="26"/>
      <c r="J552" s="26"/>
      <c r="K552" s="26"/>
      <c r="L552" s="26"/>
      <c r="M552" s="26"/>
      <c r="N552" s="148"/>
      <c r="O552" s="26"/>
      <c r="P552" s="26"/>
      <c r="Q552" s="26"/>
      <c r="R552" s="84"/>
      <c r="S552" s="136"/>
      <c r="T552" s="26"/>
      <c r="U552" s="45"/>
      <c r="V552" s="26"/>
      <c r="W552" s="26"/>
    </row>
    <row r="553" spans="1:23" x14ac:dyDescent="0.35">
      <c r="A553" s="26"/>
      <c r="B553" s="35"/>
      <c r="C553" s="26"/>
      <c r="D553" s="26"/>
      <c r="E553" s="44"/>
      <c r="F553" s="26"/>
      <c r="G553" s="26"/>
      <c r="H553" s="147"/>
      <c r="I553" s="26"/>
      <c r="J553" s="26"/>
      <c r="K553" s="26"/>
      <c r="L553" s="26"/>
      <c r="M553" s="26"/>
      <c r="N553" s="148"/>
      <c r="O553" s="26"/>
      <c r="P553" s="26"/>
      <c r="Q553" s="26"/>
      <c r="R553" s="84"/>
      <c r="S553" s="136"/>
      <c r="T553" s="26"/>
      <c r="U553" s="45"/>
      <c r="V553" s="26"/>
      <c r="W553" s="26"/>
    </row>
    <row r="554" spans="1:23" x14ac:dyDescent="0.35">
      <c r="A554" s="26"/>
      <c r="B554" s="35"/>
      <c r="C554" s="26"/>
      <c r="D554" s="26"/>
      <c r="E554" s="44"/>
      <c r="F554" s="26"/>
      <c r="G554" s="26"/>
      <c r="H554" s="147"/>
      <c r="I554" s="26"/>
      <c r="J554" s="26"/>
      <c r="K554" s="26"/>
      <c r="L554" s="26"/>
      <c r="M554" s="26"/>
      <c r="N554" s="148"/>
      <c r="O554" s="26"/>
      <c r="P554" s="26"/>
      <c r="Q554" s="26"/>
      <c r="R554" s="84"/>
      <c r="S554" s="136"/>
      <c r="T554" s="26"/>
      <c r="U554" s="45"/>
      <c r="V554" s="26"/>
      <c r="W554" s="26"/>
    </row>
    <row r="555" spans="1:23" x14ac:dyDescent="0.35">
      <c r="A555" s="26"/>
      <c r="B555" s="35"/>
      <c r="C555" s="26"/>
      <c r="D555" s="26"/>
      <c r="E555" s="44"/>
      <c r="F555" s="26"/>
      <c r="G555" s="26"/>
      <c r="H555" s="147"/>
      <c r="I555" s="26"/>
      <c r="J555" s="26"/>
      <c r="K555" s="26"/>
      <c r="L555" s="26"/>
      <c r="M555" s="26"/>
      <c r="N555" s="148"/>
      <c r="O555" s="26"/>
      <c r="P555" s="26"/>
      <c r="Q555" s="26"/>
      <c r="R555" s="84"/>
      <c r="S555" s="136"/>
      <c r="T555" s="26"/>
      <c r="U555" s="45"/>
      <c r="V555" s="26"/>
      <c r="W555" s="26"/>
    </row>
    <row r="556" spans="1:23" x14ac:dyDescent="0.35">
      <c r="A556" s="26"/>
      <c r="B556" s="35"/>
      <c r="C556" s="26"/>
      <c r="D556" s="26"/>
      <c r="E556" s="44"/>
      <c r="F556" s="26"/>
      <c r="G556" s="26"/>
      <c r="H556" s="147"/>
      <c r="I556" s="26"/>
      <c r="J556" s="26"/>
      <c r="K556" s="26"/>
      <c r="L556" s="26"/>
      <c r="M556" s="26"/>
      <c r="N556" s="148"/>
      <c r="O556" s="26"/>
      <c r="P556" s="26"/>
      <c r="Q556" s="26"/>
      <c r="R556" s="84"/>
      <c r="S556" s="136"/>
      <c r="T556" s="26"/>
      <c r="U556" s="45"/>
      <c r="V556" s="26"/>
      <c r="W556" s="26"/>
    </row>
    <row r="557" spans="1:23" x14ac:dyDescent="0.35">
      <c r="A557" s="26"/>
      <c r="B557" s="35"/>
      <c r="C557" s="26"/>
      <c r="D557" s="26"/>
      <c r="E557" s="44"/>
      <c r="F557" s="26"/>
      <c r="G557" s="26"/>
      <c r="H557" s="147"/>
      <c r="I557" s="26"/>
      <c r="J557" s="26"/>
      <c r="K557" s="26"/>
      <c r="L557" s="26"/>
      <c r="M557" s="26"/>
      <c r="N557" s="148"/>
      <c r="O557" s="26"/>
      <c r="P557" s="26"/>
      <c r="Q557" s="26"/>
      <c r="R557" s="84"/>
      <c r="S557" s="136"/>
      <c r="T557" s="26"/>
      <c r="U557" s="45"/>
      <c r="V557" s="26"/>
      <c r="W557" s="26"/>
    </row>
    <row r="558" spans="1:23" x14ac:dyDescent="0.35">
      <c r="A558" s="26"/>
      <c r="B558" s="35"/>
      <c r="C558" s="26"/>
      <c r="D558" s="26"/>
      <c r="E558" s="44"/>
      <c r="F558" s="26"/>
      <c r="G558" s="26"/>
      <c r="H558" s="147"/>
      <c r="I558" s="26"/>
      <c r="J558" s="26"/>
      <c r="K558" s="26"/>
      <c r="L558" s="26"/>
      <c r="M558" s="26"/>
      <c r="N558" s="148"/>
      <c r="O558" s="26"/>
      <c r="P558" s="26"/>
      <c r="Q558" s="26"/>
      <c r="R558" s="84"/>
      <c r="S558" s="136"/>
      <c r="T558" s="26"/>
      <c r="U558" s="45"/>
      <c r="V558" s="26"/>
      <c r="W558" s="26"/>
    </row>
    <row r="559" spans="1:23" x14ac:dyDescent="0.35">
      <c r="A559" s="26"/>
      <c r="B559" s="35"/>
      <c r="C559" s="26"/>
      <c r="D559" s="26"/>
      <c r="E559" s="44"/>
      <c r="F559" s="26"/>
      <c r="G559" s="26"/>
      <c r="H559" s="147"/>
      <c r="I559" s="26"/>
      <c r="J559" s="26"/>
      <c r="K559" s="26"/>
      <c r="L559" s="26"/>
      <c r="M559" s="26"/>
      <c r="N559" s="148"/>
      <c r="O559" s="26"/>
      <c r="P559" s="26"/>
      <c r="Q559" s="26"/>
      <c r="R559" s="84"/>
      <c r="S559" s="136"/>
      <c r="T559" s="26"/>
      <c r="U559" s="45"/>
      <c r="V559" s="26"/>
      <c r="W559" s="26"/>
    </row>
    <row r="560" spans="1:23" x14ac:dyDescent="0.35">
      <c r="A560" s="26"/>
      <c r="B560" s="35"/>
      <c r="C560" s="26"/>
      <c r="D560" s="26"/>
      <c r="E560" s="44"/>
      <c r="F560" s="26"/>
      <c r="G560" s="26"/>
      <c r="H560" s="147"/>
      <c r="I560" s="26"/>
      <c r="J560" s="26"/>
      <c r="K560" s="26"/>
      <c r="L560" s="26"/>
      <c r="M560" s="26"/>
      <c r="N560" s="148"/>
      <c r="O560" s="26"/>
      <c r="P560" s="26"/>
      <c r="Q560" s="26"/>
      <c r="R560" s="84"/>
      <c r="S560" s="136"/>
      <c r="T560" s="26"/>
      <c r="U560" s="45"/>
      <c r="V560" s="26"/>
      <c r="W560" s="26"/>
    </row>
    <row r="561" spans="1:23" x14ac:dyDescent="0.35">
      <c r="A561" s="26"/>
      <c r="B561" s="35"/>
      <c r="C561" s="26"/>
      <c r="D561" s="26"/>
      <c r="E561" s="44"/>
      <c r="F561" s="26"/>
      <c r="G561" s="26"/>
      <c r="H561" s="147"/>
      <c r="I561" s="26"/>
      <c r="J561" s="26"/>
      <c r="K561" s="26"/>
      <c r="L561" s="26"/>
      <c r="M561" s="26"/>
      <c r="N561" s="148"/>
      <c r="O561" s="26"/>
      <c r="P561" s="26"/>
      <c r="Q561" s="26"/>
      <c r="R561" s="84"/>
      <c r="S561" s="136"/>
      <c r="T561" s="26"/>
      <c r="U561" s="45"/>
      <c r="V561" s="26"/>
      <c r="W561" s="26"/>
    </row>
    <row r="562" spans="1:23" x14ac:dyDescent="0.35">
      <c r="A562" s="26"/>
      <c r="B562" s="35"/>
      <c r="C562" s="26"/>
      <c r="D562" s="26"/>
      <c r="E562" s="44"/>
      <c r="F562" s="26"/>
      <c r="G562" s="26"/>
      <c r="H562" s="147"/>
      <c r="I562" s="26"/>
      <c r="J562" s="26"/>
      <c r="K562" s="26"/>
      <c r="L562" s="26"/>
      <c r="M562" s="26"/>
      <c r="N562" s="148"/>
      <c r="O562" s="26"/>
      <c r="P562" s="26"/>
      <c r="Q562" s="26"/>
      <c r="R562" s="84"/>
      <c r="S562" s="136"/>
      <c r="T562" s="26"/>
      <c r="U562" s="45"/>
      <c r="V562" s="26"/>
      <c r="W562" s="26"/>
    </row>
    <row r="563" spans="1:23" x14ac:dyDescent="0.35">
      <c r="A563" s="26"/>
      <c r="B563" s="35"/>
      <c r="C563" s="26"/>
      <c r="D563" s="26"/>
      <c r="E563" s="44"/>
      <c r="F563" s="26"/>
      <c r="G563" s="26"/>
      <c r="H563" s="147"/>
      <c r="I563" s="26"/>
      <c r="J563" s="26"/>
      <c r="K563" s="26"/>
      <c r="L563" s="26"/>
      <c r="M563" s="26"/>
      <c r="N563" s="148"/>
      <c r="O563" s="26"/>
      <c r="P563" s="26"/>
      <c r="Q563" s="26"/>
      <c r="R563" s="84"/>
      <c r="S563" s="136"/>
      <c r="T563" s="26"/>
      <c r="U563" s="45"/>
      <c r="V563" s="26"/>
      <c r="W563" s="26"/>
    </row>
    <row r="564" spans="1:23" x14ac:dyDescent="0.35">
      <c r="A564" s="26"/>
      <c r="B564" s="35"/>
      <c r="C564" s="26"/>
      <c r="D564" s="26"/>
      <c r="E564" s="44"/>
      <c r="F564" s="26"/>
      <c r="G564" s="26"/>
      <c r="H564" s="147"/>
      <c r="I564" s="26"/>
      <c r="J564" s="26"/>
      <c r="K564" s="26"/>
      <c r="L564" s="26"/>
      <c r="M564" s="26"/>
      <c r="N564" s="148"/>
      <c r="O564" s="26"/>
      <c r="P564" s="26"/>
      <c r="Q564" s="26"/>
      <c r="R564" s="84"/>
      <c r="S564" s="136"/>
      <c r="T564" s="26"/>
      <c r="U564" s="45"/>
      <c r="V564" s="26"/>
      <c r="W564" s="26"/>
    </row>
    <row r="565" spans="1:23" x14ac:dyDescent="0.35">
      <c r="A565" s="26"/>
      <c r="B565" s="35"/>
      <c r="C565" s="26"/>
      <c r="D565" s="26"/>
      <c r="E565" s="44"/>
      <c r="F565" s="26"/>
      <c r="G565" s="26"/>
      <c r="H565" s="147"/>
      <c r="I565" s="26"/>
      <c r="J565" s="26"/>
      <c r="K565" s="26"/>
      <c r="L565" s="26"/>
      <c r="M565" s="26"/>
      <c r="N565" s="148"/>
      <c r="O565" s="26"/>
      <c r="P565" s="26"/>
      <c r="Q565" s="26"/>
      <c r="R565" s="84"/>
      <c r="S565" s="136"/>
      <c r="T565" s="26"/>
      <c r="U565" s="45"/>
      <c r="V565" s="26"/>
      <c r="W565" s="26"/>
    </row>
    <row r="566" spans="1:23" x14ac:dyDescent="0.35">
      <c r="A566" s="26"/>
      <c r="B566" s="35"/>
      <c r="C566" s="26"/>
      <c r="D566" s="26"/>
      <c r="E566" s="44"/>
      <c r="F566" s="26"/>
      <c r="G566" s="26"/>
      <c r="H566" s="147"/>
      <c r="I566" s="26"/>
      <c r="J566" s="26"/>
      <c r="K566" s="26"/>
      <c r="L566" s="26"/>
      <c r="M566" s="26"/>
      <c r="N566" s="148"/>
      <c r="O566" s="26"/>
      <c r="P566" s="26"/>
      <c r="Q566" s="26"/>
      <c r="R566" s="84"/>
      <c r="S566" s="136"/>
      <c r="T566" s="26"/>
      <c r="U566" s="45"/>
      <c r="V566" s="26"/>
      <c r="W566" s="26"/>
    </row>
    <row r="567" spans="1:23" x14ac:dyDescent="0.35">
      <c r="A567" s="26"/>
      <c r="B567" s="35"/>
      <c r="C567" s="26"/>
      <c r="D567" s="26"/>
      <c r="E567" s="44"/>
      <c r="F567" s="26"/>
      <c r="G567" s="26"/>
      <c r="H567" s="147"/>
      <c r="I567" s="26"/>
      <c r="J567" s="26"/>
      <c r="K567" s="26"/>
      <c r="L567" s="26"/>
      <c r="M567" s="26"/>
      <c r="N567" s="148"/>
      <c r="O567" s="26"/>
      <c r="P567" s="26"/>
      <c r="Q567" s="26"/>
      <c r="R567" s="84"/>
      <c r="S567" s="136"/>
      <c r="T567" s="26"/>
      <c r="U567" s="45"/>
      <c r="V567" s="26"/>
      <c r="W567" s="26"/>
    </row>
    <row r="568" spans="1:23" x14ac:dyDescent="0.35">
      <c r="A568" s="26"/>
      <c r="B568" s="35"/>
      <c r="C568" s="26"/>
      <c r="D568" s="26"/>
      <c r="E568" s="44"/>
      <c r="F568" s="26"/>
      <c r="G568" s="26"/>
      <c r="H568" s="147"/>
      <c r="I568" s="26"/>
      <c r="J568" s="26"/>
      <c r="K568" s="26"/>
      <c r="L568" s="26"/>
      <c r="M568" s="26"/>
      <c r="N568" s="148"/>
      <c r="O568" s="26"/>
      <c r="P568" s="26"/>
      <c r="Q568" s="26"/>
      <c r="R568" s="84"/>
      <c r="S568" s="136"/>
      <c r="T568" s="26"/>
      <c r="U568" s="45"/>
      <c r="V568" s="26"/>
      <c r="W568" s="26"/>
    </row>
    <row r="569" spans="1:23" x14ac:dyDescent="0.35">
      <c r="A569" s="26"/>
      <c r="B569" s="35"/>
      <c r="C569" s="26"/>
      <c r="D569" s="26"/>
      <c r="E569" s="44"/>
      <c r="F569" s="26"/>
      <c r="G569" s="26"/>
      <c r="H569" s="147"/>
      <c r="I569" s="26"/>
      <c r="J569" s="26"/>
      <c r="K569" s="26"/>
      <c r="L569" s="26"/>
      <c r="M569" s="26"/>
      <c r="N569" s="148"/>
      <c r="O569" s="26"/>
      <c r="P569" s="26"/>
      <c r="Q569" s="26"/>
      <c r="R569" s="84"/>
      <c r="S569" s="136"/>
      <c r="T569" s="26"/>
      <c r="U569" s="45"/>
      <c r="V569" s="26"/>
      <c r="W569" s="26"/>
    </row>
    <row r="570" spans="1:23" x14ac:dyDescent="0.35">
      <c r="A570" s="26"/>
      <c r="B570" s="35"/>
      <c r="C570" s="26"/>
      <c r="D570" s="26"/>
      <c r="E570" s="44"/>
      <c r="F570" s="26"/>
      <c r="G570" s="26"/>
      <c r="H570" s="147"/>
      <c r="I570" s="26"/>
      <c r="J570" s="26"/>
      <c r="K570" s="26"/>
      <c r="L570" s="26"/>
      <c r="M570" s="26"/>
      <c r="N570" s="148"/>
      <c r="O570" s="26"/>
      <c r="P570" s="26"/>
      <c r="Q570" s="26"/>
      <c r="R570" s="84"/>
      <c r="S570" s="136"/>
      <c r="T570" s="26"/>
      <c r="U570" s="45"/>
      <c r="V570" s="26"/>
      <c r="W570" s="26"/>
    </row>
    <row r="571" spans="1:23" x14ac:dyDescent="0.35">
      <c r="A571" s="26"/>
      <c r="B571" s="35"/>
      <c r="C571" s="26"/>
      <c r="D571" s="26"/>
      <c r="E571" s="44"/>
      <c r="F571" s="26"/>
      <c r="G571" s="26"/>
      <c r="H571" s="147"/>
      <c r="I571" s="26"/>
      <c r="J571" s="26"/>
      <c r="K571" s="26"/>
      <c r="L571" s="26"/>
      <c r="M571" s="26"/>
      <c r="N571" s="148"/>
      <c r="O571" s="26"/>
      <c r="P571" s="26"/>
      <c r="Q571" s="26"/>
      <c r="R571" s="84"/>
      <c r="S571" s="136"/>
      <c r="T571" s="26"/>
      <c r="U571" s="45"/>
      <c r="V571" s="26"/>
      <c r="W571" s="26"/>
    </row>
    <row r="572" spans="1:23" x14ac:dyDescent="0.35">
      <c r="A572" s="26"/>
      <c r="B572" s="35"/>
      <c r="C572" s="26"/>
      <c r="D572" s="26"/>
      <c r="E572" s="44"/>
      <c r="F572" s="26"/>
      <c r="G572" s="26"/>
      <c r="H572" s="147"/>
      <c r="I572" s="26"/>
      <c r="J572" s="26"/>
      <c r="K572" s="26"/>
      <c r="L572" s="26"/>
      <c r="M572" s="26"/>
      <c r="N572" s="148"/>
      <c r="O572" s="26"/>
      <c r="P572" s="26"/>
      <c r="Q572" s="26"/>
      <c r="R572" s="84"/>
      <c r="S572" s="136"/>
      <c r="T572" s="26"/>
      <c r="U572" s="45"/>
      <c r="V572" s="26"/>
      <c r="W572" s="26"/>
    </row>
    <row r="573" spans="1:23" x14ac:dyDescent="0.35">
      <c r="A573" s="26"/>
      <c r="B573" s="35"/>
      <c r="C573" s="26"/>
      <c r="D573" s="26"/>
      <c r="E573" s="44"/>
      <c r="F573" s="26"/>
      <c r="G573" s="26"/>
      <c r="H573" s="147"/>
      <c r="I573" s="26"/>
      <c r="J573" s="26"/>
      <c r="K573" s="26"/>
      <c r="L573" s="26"/>
      <c r="M573" s="26"/>
      <c r="N573" s="148"/>
      <c r="O573" s="26"/>
      <c r="P573" s="26"/>
      <c r="Q573" s="26"/>
      <c r="R573" s="84"/>
      <c r="S573" s="136"/>
      <c r="T573" s="26"/>
      <c r="U573" s="45"/>
      <c r="V573" s="26"/>
      <c r="W573" s="26"/>
    </row>
    <row r="574" spans="1:23" x14ac:dyDescent="0.35">
      <c r="A574" s="26"/>
      <c r="B574" s="35"/>
      <c r="C574" s="26"/>
      <c r="D574" s="26"/>
      <c r="E574" s="44"/>
      <c r="F574" s="26"/>
      <c r="G574" s="26"/>
      <c r="H574" s="147"/>
      <c r="I574" s="26"/>
      <c r="J574" s="26"/>
      <c r="K574" s="26"/>
      <c r="L574" s="26"/>
      <c r="M574" s="26"/>
      <c r="N574" s="148"/>
      <c r="O574" s="26"/>
      <c r="P574" s="26"/>
      <c r="Q574" s="26"/>
      <c r="R574" s="84"/>
      <c r="S574" s="136"/>
      <c r="T574" s="26"/>
      <c r="U574" s="45"/>
      <c r="V574" s="26"/>
      <c r="W574" s="26"/>
    </row>
    <row r="575" spans="1:23" x14ac:dyDescent="0.35">
      <c r="A575" s="26"/>
      <c r="B575" s="35"/>
      <c r="C575" s="26"/>
      <c r="D575" s="26"/>
      <c r="E575" s="44"/>
      <c r="F575" s="26"/>
      <c r="G575" s="26"/>
      <c r="H575" s="147"/>
      <c r="I575" s="26"/>
      <c r="J575" s="26"/>
      <c r="K575" s="26"/>
      <c r="L575" s="26"/>
      <c r="M575" s="26"/>
      <c r="N575" s="148"/>
      <c r="O575" s="26"/>
      <c r="P575" s="26"/>
      <c r="Q575" s="26"/>
      <c r="R575" s="84"/>
      <c r="S575" s="136"/>
      <c r="T575" s="26"/>
      <c r="U575" s="45"/>
      <c r="V575" s="26"/>
      <c r="W575" s="26"/>
    </row>
    <row r="576" spans="1:23" x14ac:dyDescent="0.35">
      <c r="A576" s="26"/>
      <c r="B576" s="35"/>
      <c r="C576" s="26"/>
      <c r="D576" s="26"/>
      <c r="E576" s="44"/>
      <c r="F576" s="26"/>
      <c r="G576" s="26"/>
      <c r="H576" s="147"/>
      <c r="I576" s="26"/>
      <c r="J576" s="26"/>
      <c r="K576" s="26"/>
      <c r="L576" s="26"/>
      <c r="M576" s="26"/>
      <c r="N576" s="148"/>
      <c r="O576" s="26"/>
      <c r="P576" s="26"/>
      <c r="Q576" s="26"/>
      <c r="R576" s="84"/>
      <c r="S576" s="136"/>
      <c r="T576" s="26"/>
      <c r="U576" s="45"/>
      <c r="V576" s="26"/>
      <c r="W576" s="26"/>
    </row>
    <row r="577" spans="1:23" x14ac:dyDescent="0.35">
      <c r="A577" s="26"/>
      <c r="B577" s="35"/>
      <c r="C577" s="26"/>
      <c r="D577" s="26"/>
      <c r="E577" s="44"/>
      <c r="F577" s="26"/>
      <c r="G577" s="26"/>
      <c r="H577" s="147"/>
      <c r="I577" s="26"/>
      <c r="J577" s="26"/>
      <c r="K577" s="26"/>
      <c r="L577" s="26"/>
      <c r="M577" s="26"/>
      <c r="N577" s="148"/>
      <c r="O577" s="26"/>
      <c r="P577" s="26"/>
      <c r="Q577" s="26"/>
      <c r="R577" s="84"/>
      <c r="S577" s="136"/>
      <c r="T577" s="26"/>
      <c r="U577" s="45"/>
      <c r="V577" s="26"/>
      <c r="W577" s="26"/>
    </row>
    <row r="578" spans="1:23" x14ac:dyDescent="0.35">
      <c r="A578" s="26"/>
      <c r="B578" s="35"/>
      <c r="C578" s="26"/>
      <c r="D578" s="26"/>
      <c r="E578" s="44"/>
      <c r="F578" s="26"/>
      <c r="G578" s="26"/>
      <c r="H578" s="147"/>
      <c r="I578" s="26"/>
      <c r="J578" s="26"/>
      <c r="K578" s="26"/>
      <c r="L578" s="26"/>
      <c r="M578" s="26"/>
      <c r="N578" s="148"/>
      <c r="O578" s="26"/>
      <c r="P578" s="26"/>
      <c r="Q578" s="26"/>
      <c r="R578" s="84"/>
      <c r="S578" s="136"/>
      <c r="T578" s="26"/>
      <c r="U578" s="45"/>
      <c r="V578" s="26"/>
      <c r="W578" s="26"/>
    </row>
    <row r="579" spans="1:23" x14ac:dyDescent="0.35">
      <c r="A579" s="26"/>
      <c r="B579" s="35"/>
      <c r="C579" s="26"/>
      <c r="D579" s="26"/>
      <c r="E579" s="44"/>
      <c r="F579" s="26"/>
      <c r="G579" s="26"/>
      <c r="H579" s="147"/>
      <c r="I579" s="26"/>
      <c r="J579" s="26"/>
      <c r="K579" s="26"/>
      <c r="L579" s="26"/>
      <c r="M579" s="26"/>
      <c r="N579" s="148"/>
      <c r="O579" s="26"/>
      <c r="P579" s="26"/>
      <c r="Q579" s="26"/>
      <c r="R579" s="84"/>
      <c r="S579" s="136"/>
      <c r="T579" s="26"/>
      <c r="U579" s="45"/>
      <c r="V579" s="26"/>
      <c r="W579" s="26"/>
    </row>
    <row r="580" spans="1:23" x14ac:dyDescent="0.35">
      <c r="A580" s="26"/>
      <c r="B580" s="35"/>
      <c r="C580" s="26"/>
      <c r="D580" s="26"/>
      <c r="E580" s="44"/>
      <c r="F580" s="26"/>
      <c r="G580" s="26"/>
      <c r="H580" s="147"/>
      <c r="I580" s="26"/>
      <c r="J580" s="26"/>
      <c r="K580" s="26"/>
      <c r="L580" s="26"/>
      <c r="M580" s="26"/>
      <c r="N580" s="148"/>
      <c r="O580" s="26"/>
      <c r="P580" s="26"/>
      <c r="Q580" s="26"/>
      <c r="R580" s="84"/>
      <c r="S580" s="136"/>
      <c r="T580" s="26"/>
      <c r="U580" s="45"/>
      <c r="V580" s="26"/>
      <c r="W580" s="26"/>
    </row>
    <row r="581" spans="1:23" x14ac:dyDescent="0.35">
      <c r="A581" s="26"/>
      <c r="B581" s="35"/>
      <c r="C581" s="26"/>
      <c r="D581" s="26"/>
      <c r="E581" s="44"/>
      <c r="F581" s="26"/>
      <c r="G581" s="26"/>
      <c r="H581" s="147"/>
      <c r="I581" s="26"/>
      <c r="J581" s="26"/>
      <c r="K581" s="26"/>
      <c r="L581" s="26"/>
      <c r="M581" s="26"/>
      <c r="N581" s="148"/>
      <c r="O581" s="26"/>
      <c r="P581" s="26"/>
      <c r="Q581" s="26"/>
      <c r="R581" s="84"/>
      <c r="S581" s="136"/>
      <c r="T581" s="26"/>
      <c r="U581" s="45"/>
      <c r="V581" s="26"/>
      <c r="W581" s="26"/>
    </row>
    <row r="582" spans="1:23" x14ac:dyDescent="0.35">
      <c r="A582" s="26"/>
      <c r="B582" s="35"/>
      <c r="C582" s="26"/>
      <c r="D582" s="26"/>
      <c r="E582" s="44"/>
      <c r="F582" s="26"/>
      <c r="G582" s="26"/>
      <c r="H582" s="147"/>
      <c r="I582" s="26"/>
      <c r="J582" s="26"/>
      <c r="K582" s="26"/>
      <c r="L582" s="26"/>
      <c r="M582" s="26"/>
      <c r="N582" s="148"/>
      <c r="O582" s="26"/>
      <c r="P582" s="26"/>
      <c r="Q582" s="26"/>
      <c r="R582" s="84"/>
      <c r="S582" s="136"/>
      <c r="T582" s="26"/>
      <c r="U582" s="45"/>
      <c r="V582" s="26"/>
      <c r="W582" s="26"/>
    </row>
    <row r="583" spans="1:23" x14ac:dyDescent="0.35">
      <c r="A583" s="26"/>
      <c r="B583" s="35"/>
      <c r="C583" s="26"/>
      <c r="D583" s="26"/>
      <c r="E583" s="44"/>
      <c r="F583" s="26"/>
      <c r="G583" s="26"/>
      <c r="H583" s="147"/>
      <c r="I583" s="26"/>
      <c r="J583" s="26"/>
      <c r="K583" s="26"/>
      <c r="L583" s="26"/>
      <c r="M583" s="26"/>
      <c r="N583" s="148"/>
      <c r="O583" s="26"/>
      <c r="P583" s="26"/>
      <c r="Q583" s="26"/>
      <c r="R583" s="84"/>
      <c r="S583" s="136"/>
      <c r="T583" s="26"/>
      <c r="U583" s="45"/>
      <c r="V583" s="26"/>
      <c r="W583" s="26"/>
    </row>
    <row r="584" spans="1:23" x14ac:dyDescent="0.35">
      <c r="A584" s="26"/>
      <c r="B584" s="35"/>
      <c r="C584" s="26"/>
      <c r="D584" s="26"/>
      <c r="E584" s="44"/>
      <c r="F584" s="26"/>
      <c r="G584" s="26"/>
      <c r="H584" s="147"/>
      <c r="I584" s="26"/>
      <c r="J584" s="26"/>
      <c r="K584" s="26"/>
      <c r="L584" s="26"/>
      <c r="M584" s="26"/>
      <c r="N584" s="148"/>
      <c r="O584" s="26"/>
      <c r="P584" s="26"/>
      <c r="Q584" s="26"/>
      <c r="R584" s="84"/>
      <c r="S584" s="136"/>
      <c r="T584" s="26"/>
      <c r="U584" s="45"/>
      <c r="V584" s="26"/>
      <c r="W584" s="26"/>
    </row>
    <row r="585" spans="1:23" x14ac:dyDescent="0.35">
      <c r="A585" s="26"/>
      <c r="B585" s="35"/>
      <c r="C585" s="26"/>
      <c r="D585" s="26"/>
      <c r="E585" s="44"/>
      <c r="F585" s="26"/>
      <c r="G585" s="26"/>
      <c r="H585" s="147"/>
      <c r="I585" s="26"/>
      <c r="J585" s="26"/>
      <c r="K585" s="26"/>
      <c r="L585" s="26"/>
      <c r="M585" s="26"/>
      <c r="N585" s="148"/>
      <c r="O585" s="26"/>
      <c r="P585" s="26"/>
      <c r="Q585" s="26"/>
      <c r="R585" s="84"/>
      <c r="S585" s="136"/>
      <c r="T585" s="26"/>
      <c r="U585" s="45"/>
      <c r="V585" s="26"/>
      <c r="W585" s="26"/>
    </row>
    <row r="586" spans="1:23" x14ac:dyDescent="0.35">
      <c r="A586" s="26"/>
      <c r="B586" s="35"/>
      <c r="C586" s="26"/>
      <c r="D586" s="26"/>
      <c r="E586" s="44"/>
      <c r="F586" s="26"/>
      <c r="G586" s="26"/>
      <c r="H586" s="147"/>
      <c r="I586" s="26"/>
      <c r="J586" s="26"/>
      <c r="K586" s="26"/>
      <c r="L586" s="26"/>
      <c r="M586" s="26"/>
      <c r="N586" s="148"/>
      <c r="O586" s="26"/>
      <c r="P586" s="26"/>
      <c r="Q586" s="26"/>
      <c r="R586" s="84"/>
      <c r="S586" s="136"/>
      <c r="T586" s="26"/>
      <c r="U586" s="45"/>
      <c r="V586" s="26"/>
      <c r="W586" s="26"/>
    </row>
    <row r="587" spans="1:23" x14ac:dyDescent="0.35">
      <c r="A587" s="26"/>
      <c r="B587" s="35"/>
      <c r="C587" s="26"/>
      <c r="D587" s="26"/>
      <c r="E587" s="44"/>
      <c r="F587" s="26"/>
      <c r="G587" s="26"/>
      <c r="H587" s="147"/>
      <c r="I587" s="26"/>
      <c r="J587" s="26"/>
      <c r="K587" s="26"/>
      <c r="L587" s="26"/>
      <c r="M587" s="26"/>
      <c r="N587" s="148"/>
      <c r="O587" s="26"/>
      <c r="P587" s="26"/>
      <c r="Q587" s="26"/>
      <c r="R587" s="84"/>
      <c r="S587" s="136"/>
      <c r="T587" s="26"/>
      <c r="U587" s="45"/>
      <c r="V587" s="26"/>
      <c r="W587" s="26"/>
    </row>
    <row r="588" spans="1:23" x14ac:dyDescent="0.35">
      <c r="A588" s="26"/>
      <c r="B588" s="35"/>
      <c r="C588" s="26"/>
      <c r="D588" s="26"/>
      <c r="E588" s="44"/>
      <c r="F588" s="26"/>
      <c r="G588" s="26"/>
      <c r="H588" s="147"/>
      <c r="I588" s="26"/>
      <c r="J588" s="26"/>
      <c r="K588" s="26"/>
      <c r="L588" s="26"/>
      <c r="M588" s="26"/>
      <c r="N588" s="148"/>
      <c r="O588" s="26"/>
      <c r="P588" s="26"/>
      <c r="Q588" s="26"/>
      <c r="R588" s="84"/>
      <c r="S588" s="136"/>
      <c r="T588" s="26"/>
      <c r="U588" s="45"/>
      <c r="V588" s="26"/>
      <c r="W588" s="26"/>
    </row>
    <row r="589" spans="1:23" x14ac:dyDescent="0.35">
      <c r="A589" s="26"/>
      <c r="B589" s="35"/>
      <c r="C589" s="26"/>
      <c r="D589" s="26"/>
      <c r="E589" s="44"/>
      <c r="F589" s="26"/>
      <c r="G589" s="26"/>
      <c r="H589" s="147"/>
      <c r="I589" s="26"/>
      <c r="J589" s="26"/>
      <c r="K589" s="26"/>
      <c r="L589" s="26"/>
      <c r="M589" s="26"/>
      <c r="N589" s="148"/>
      <c r="O589" s="26"/>
      <c r="P589" s="26"/>
      <c r="Q589" s="26"/>
      <c r="R589" s="84"/>
      <c r="S589" s="136"/>
      <c r="T589" s="26"/>
      <c r="U589" s="45"/>
      <c r="V589" s="26"/>
      <c r="W589" s="26"/>
    </row>
    <row r="590" spans="1:23" x14ac:dyDescent="0.35">
      <c r="A590" s="26"/>
      <c r="B590" s="35"/>
      <c r="C590" s="26"/>
      <c r="D590" s="26"/>
      <c r="E590" s="44"/>
      <c r="F590" s="26"/>
      <c r="G590" s="26"/>
      <c r="H590" s="147"/>
      <c r="I590" s="26"/>
      <c r="J590" s="26"/>
      <c r="K590" s="26"/>
      <c r="L590" s="26"/>
      <c r="M590" s="26"/>
      <c r="N590" s="148"/>
      <c r="O590" s="26"/>
      <c r="P590" s="26"/>
      <c r="Q590" s="26"/>
      <c r="R590" s="84"/>
      <c r="S590" s="136"/>
      <c r="T590" s="26"/>
      <c r="U590" s="45"/>
      <c r="V590" s="26"/>
      <c r="W590" s="26"/>
    </row>
    <row r="591" spans="1:23" x14ac:dyDescent="0.35">
      <c r="A591" s="26"/>
      <c r="B591" s="35"/>
      <c r="C591" s="26"/>
      <c r="D591" s="26"/>
      <c r="E591" s="44"/>
      <c r="F591" s="26"/>
      <c r="G591" s="26"/>
      <c r="H591" s="147"/>
      <c r="I591" s="26"/>
      <c r="J591" s="26"/>
      <c r="K591" s="26"/>
      <c r="L591" s="26"/>
      <c r="M591" s="26"/>
      <c r="N591" s="148"/>
      <c r="O591" s="26"/>
      <c r="P591" s="26"/>
      <c r="Q591" s="26"/>
      <c r="R591" s="84"/>
      <c r="S591" s="136"/>
      <c r="T591" s="26"/>
      <c r="U591" s="45"/>
      <c r="V591" s="26"/>
      <c r="W591" s="26"/>
    </row>
    <row r="592" spans="1:23" x14ac:dyDescent="0.35">
      <c r="A592" s="26"/>
      <c r="B592" s="35"/>
      <c r="C592" s="26"/>
      <c r="D592" s="26"/>
      <c r="E592" s="44"/>
      <c r="F592" s="26"/>
      <c r="G592" s="26"/>
      <c r="H592" s="147"/>
      <c r="I592" s="26"/>
      <c r="J592" s="26"/>
      <c r="K592" s="26"/>
      <c r="L592" s="26"/>
      <c r="M592" s="26"/>
      <c r="N592" s="148"/>
      <c r="O592" s="26"/>
      <c r="P592" s="26"/>
      <c r="Q592" s="26"/>
      <c r="R592" s="84"/>
      <c r="S592" s="136"/>
      <c r="T592" s="26"/>
      <c r="U592" s="45"/>
      <c r="V592" s="26"/>
      <c r="W592" s="26"/>
    </row>
    <row r="593" spans="1:23" x14ac:dyDescent="0.35">
      <c r="A593" s="26"/>
      <c r="B593" s="35"/>
      <c r="C593" s="26"/>
      <c r="D593" s="26"/>
      <c r="E593" s="44"/>
      <c r="F593" s="26"/>
      <c r="G593" s="26"/>
      <c r="H593" s="147"/>
      <c r="I593" s="26"/>
      <c r="J593" s="26"/>
      <c r="K593" s="26"/>
      <c r="L593" s="26"/>
      <c r="M593" s="26"/>
      <c r="N593" s="148"/>
      <c r="O593" s="26"/>
      <c r="P593" s="26"/>
      <c r="Q593" s="26"/>
      <c r="R593" s="84"/>
      <c r="S593" s="136"/>
      <c r="T593" s="26"/>
      <c r="U593" s="45"/>
      <c r="V593" s="26"/>
      <c r="W593" s="26"/>
    </row>
    <row r="594" spans="1:23" x14ac:dyDescent="0.35">
      <c r="A594" s="26"/>
      <c r="B594" s="35"/>
      <c r="C594" s="26"/>
      <c r="D594" s="26"/>
      <c r="E594" s="44"/>
      <c r="F594" s="26"/>
      <c r="G594" s="26"/>
      <c r="H594" s="147"/>
      <c r="I594" s="26"/>
      <c r="J594" s="26"/>
      <c r="K594" s="26"/>
      <c r="L594" s="26"/>
      <c r="M594" s="26"/>
      <c r="N594" s="148"/>
      <c r="O594" s="26"/>
      <c r="P594" s="26"/>
      <c r="Q594" s="26"/>
      <c r="R594" s="84"/>
      <c r="S594" s="136"/>
      <c r="T594" s="26"/>
      <c r="U594" s="45"/>
      <c r="V594" s="26"/>
      <c r="W594" s="26"/>
    </row>
    <row r="595" spans="1:23" x14ac:dyDescent="0.35">
      <c r="A595" s="26"/>
      <c r="B595" s="35"/>
      <c r="C595" s="26"/>
      <c r="D595" s="26"/>
      <c r="E595" s="44"/>
      <c r="F595" s="26"/>
      <c r="G595" s="26"/>
      <c r="H595" s="147"/>
      <c r="I595" s="26"/>
      <c r="J595" s="26"/>
      <c r="K595" s="26"/>
      <c r="L595" s="26"/>
      <c r="M595" s="26"/>
      <c r="N595" s="148"/>
      <c r="O595" s="26"/>
      <c r="P595" s="26"/>
      <c r="Q595" s="26"/>
      <c r="R595" s="84"/>
      <c r="S595" s="136"/>
      <c r="T595" s="26"/>
      <c r="U595" s="45"/>
      <c r="V595" s="26"/>
      <c r="W595" s="26"/>
    </row>
    <row r="596" spans="1:23" x14ac:dyDescent="0.35">
      <c r="A596" s="26"/>
      <c r="B596" s="35"/>
      <c r="C596" s="26"/>
      <c r="D596" s="26"/>
      <c r="E596" s="44"/>
      <c r="F596" s="26"/>
      <c r="G596" s="26"/>
      <c r="H596" s="147"/>
      <c r="I596" s="26"/>
      <c r="J596" s="26"/>
      <c r="K596" s="26"/>
      <c r="L596" s="26"/>
      <c r="M596" s="26"/>
      <c r="N596" s="148"/>
      <c r="O596" s="26"/>
      <c r="P596" s="26"/>
      <c r="Q596" s="26"/>
      <c r="R596" s="84"/>
      <c r="S596" s="136"/>
      <c r="T596" s="26"/>
      <c r="U596" s="45"/>
      <c r="V596" s="26"/>
      <c r="W596" s="26"/>
    </row>
    <row r="597" spans="1:23" x14ac:dyDescent="0.35">
      <c r="A597" s="26"/>
      <c r="B597" s="35"/>
      <c r="C597" s="26"/>
      <c r="D597" s="26"/>
      <c r="E597" s="44"/>
      <c r="F597" s="26"/>
      <c r="G597" s="26"/>
      <c r="H597" s="147"/>
      <c r="I597" s="26"/>
      <c r="J597" s="26"/>
      <c r="K597" s="26"/>
      <c r="L597" s="26"/>
      <c r="M597" s="26"/>
      <c r="N597" s="148"/>
      <c r="O597" s="26"/>
      <c r="P597" s="26"/>
      <c r="Q597" s="26"/>
      <c r="R597" s="84"/>
      <c r="S597" s="136"/>
      <c r="T597" s="26"/>
      <c r="U597" s="45"/>
      <c r="V597" s="26"/>
      <c r="W597" s="26"/>
    </row>
    <row r="598" spans="1:23" x14ac:dyDescent="0.35">
      <c r="A598" s="26"/>
      <c r="B598" s="35"/>
      <c r="C598" s="26"/>
      <c r="D598" s="26"/>
      <c r="E598" s="44"/>
      <c r="F598" s="26"/>
      <c r="G598" s="26"/>
      <c r="H598" s="147"/>
      <c r="I598" s="26"/>
      <c r="J598" s="26"/>
      <c r="K598" s="26"/>
      <c r="L598" s="26"/>
      <c r="M598" s="26"/>
      <c r="N598" s="148"/>
      <c r="O598" s="26"/>
      <c r="P598" s="26"/>
      <c r="Q598" s="26"/>
      <c r="R598" s="84"/>
      <c r="S598" s="136"/>
      <c r="T598" s="26"/>
      <c r="U598" s="45"/>
      <c r="V598" s="26"/>
      <c r="W598" s="26"/>
    </row>
    <row r="599" spans="1:23" x14ac:dyDescent="0.35">
      <c r="A599" s="26"/>
      <c r="B599" s="35"/>
      <c r="C599" s="26"/>
      <c r="D599" s="26"/>
      <c r="E599" s="44"/>
      <c r="F599" s="26"/>
      <c r="G599" s="26"/>
      <c r="H599" s="147"/>
      <c r="I599" s="26"/>
      <c r="J599" s="26"/>
      <c r="K599" s="26"/>
      <c r="L599" s="26"/>
      <c r="M599" s="26"/>
      <c r="N599" s="148"/>
      <c r="O599" s="26"/>
      <c r="P599" s="26"/>
      <c r="Q599" s="26"/>
      <c r="R599" s="84"/>
      <c r="S599" s="136"/>
      <c r="T599" s="26"/>
      <c r="U599" s="45"/>
      <c r="V599" s="26"/>
      <c r="W599" s="26"/>
    </row>
    <row r="600" spans="1:23" x14ac:dyDescent="0.35">
      <c r="A600" s="26"/>
      <c r="B600" s="35"/>
      <c r="C600" s="26"/>
      <c r="D600" s="26"/>
      <c r="E600" s="44"/>
      <c r="F600" s="26"/>
      <c r="G600" s="26"/>
      <c r="H600" s="147"/>
      <c r="I600" s="26"/>
      <c r="J600" s="26"/>
      <c r="K600" s="26"/>
      <c r="L600" s="26"/>
      <c r="M600" s="26"/>
      <c r="N600" s="148"/>
      <c r="O600" s="26"/>
      <c r="P600" s="26"/>
      <c r="Q600" s="26"/>
      <c r="R600" s="84"/>
      <c r="S600" s="136"/>
      <c r="T600" s="26"/>
      <c r="U600" s="45"/>
      <c r="V600" s="26"/>
      <c r="W600" s="26"/>
    </row>
    <row r="601" spans="1:23" x14ac:dyDescent="0.35">
      <c r="A601" s="26"/>
      <c r="B601" s="35"/>
      <c r="C601" s="26"/>
      <c r="D601" s="26"/>
      <c r="E601" s="44"/>
      <c r="F601" s="26"/>
      <c r="G601" s="26"/>
      <c r="H601" s="147"/>
      <c r="I601" s="26"/>
      <c r="J601" s="26"/>
      <c r="K601" s="26"/>
      <c r="L601" s="26"/>
      <c r="M601" s="26"/>
      <c r="N601" s="148"/>
      <c r="O601" s="26"/>
      <c r="P601" s="26"/>
      <c r="Q601" s="26"/>
      <c r="R601" s="84"/>
      <c r="S601" s="136"/>
      <c r="T601" s="26"/>
      <c r="U601" s="45"/>
      <c r="V601" s="26"/>
      <c r="W601" s="26"/>
    </row>
    <row r="602" spans="1:23" x14ac:dyDescent="0.35">
      <c r="A602" s="26"/>
      <c r="B602" s="35"/>
      <c r="C602" s="26"/>
      <c r="D602" s="26"/>
      <c r="E602" s="44"/>
      <c r="F602" s="26"/>
      <c r="G602" s="26"/>
      <c r="H602" s="147"/>
      <c r="I602" s="26"/>
      <c r="J602" s="26"/>
      <c r="K602" s="26"/>
      <c r="L602" s="26"/>
      <c r="M602" s="26"/>
      <c r="N602" s="148"/>
      <c r="O602" s="26"/>
      <c r="P602" s="26"/>
      <c r="Q602" s="26"/>
      <c r="R602" s="84"/>
      <c r="S602" s="136"/>
      <c r="T602" s="26"/>
      <c r="U602" s="45"/>
      <c r="V602" s="26"/>
      <c r="W602" s="26"/>
    </row>
    <row r="603" spans="1:23" x14ac:dyDescent="0.35">
      <c r="A603" s="26"/>
      <c r="B603" s="35"/>
      <c r="C603" s="26"/>
      <c r="D603" s="26"/>
      <c r="E603" s="44"/>
      <c r="F603" s="26"/>
      <c r="G603" s="26"/>
      <c r="H603" s="147"/>
      <c r="I603" s="26"/>
      <c r="J603" s="26"/>
      <c r="K603" s="26"/>
      <c r="L603" s="26"/>
      <c r="M603" s="26"/>
      <c r="N603" s="148"/>
      <c r="O603" s="26"/>
      <c r="P603" s="26"/>
      <c r="Q603" s="26"/>
      <c r="R603" s="84"/>
      <c r="S603" s="136"/>
      <c r="T603" s="26"/>
      <c r="U603" s="45"/>
      <c r="V603" s="26"/>
      <c r="W603" s="26"/>
    </row>
    <row r="604" spans="1:23" x14ac:dyDescent="0.35">
      <c r="A604" s="26"/>
      <c r="B604" s="35"/>
      <c r="C604" s="26"/>
      <c r="D604" s="26"/>
      <c r="E604" s="44"/>
      <c r="F604" s="26"/>
      <c r="G604" s="26"/>
      <c r="H604" s="147"/>
      <c r="I604" s="26"/>
      <c r="J604" s="26"/>
      <c r="K604" s="26"/>
      <c r="L604" s="26"/>
      <c r="M604" s="26"/>
      <c r="N604" s="148"/>
      <c r="O604" s="26"/>
      <c r="P604" s="26"/>
      <c r="Q604" s="26"/>
      <c r="R604" s="84"/>
      <c r="S604" s="136"/>
      <c r="T604" s="26"/>
      <c r="U604" s="45"/>
      <c r="V604" s="26"/>
      <c r="W604" s="26"/>
    </row>
    <row r="605" spans="1:23" x14ac:dyDescent="0.35">
      <c r="A605" s="26"/>
      <c r="B605" s="35"/>
      <c r="C605" s="26"/>
      <c r="D605" s="26"/>
      <c r="E605" s="44"/>
      <c r="F605" s="26"/>
      <c r="G605" s="26"/>
      <c r="H605" s="147"/>
      <c r="I605" s="26"/>
      <c r="J605" s="26"/>
      <c r="K605" s="26"/>
      <c r="L605" s="26"/>
      <c r="M605" s="26"/>
      <c r="N605" s="148"/>
      <c r="O605" s="26"/>
      <c r="P605" s="26"/>
      <c r="Q605" s="26"/>
      <c r="R605" s="84"/>
      <c r="S605" s="136"/>
      <c r="T605" s="26"/>
      <c r="U605" s="45"/>
      <c r="V605" s="26"/>
      <c r="W605" s="26"/>
    </row>
    <row r="606" spans="1:23" x14ac:dyDescent="0.35">
      <c r="A606" s="26"/>
      <c r="B606" s="35"/>
      <c r="C606" s="26"/>
      <c r="D606" s="26"/>
      <c r="E606" s="44"/>
      <c r="F606" s="26"/>
      <c r="G606" s="26"/>
      <c r="H606" s="147"/>
      <c r="I606" s="26"/>
      <c r="J606" s="26"/>
      <c r="K606" s="26"/>
      <c r="L606" s="26"/>
      <c r="M606" s="26"/>
      <c r="N606" s="148"/>
      <c r="O606" s="26"/>
      <c r="P606" s="26"/>
      <c r="Q606" s="26"/>
      <c r="R606" s="84"/>
      <c r="S606" s="136"/>
      <c r="T606" s="26"/>
      <c r="U606" s="45"/>
      <c r="V606" s="26"/>
      <c r="W606" s="26"/>
    </row>
    <row r="607" spans="1:23" x14ac:dyDescent="0.35">
      <c r="A607" s="26"/>
      <c r="B607" s="35"/>
      <c r="C607" s="26"/>
      <c r="D607" s="26"/>
      <c r="E607" s="44"/>
      <c r="F607" s="26"/>
      <c r="G607" s="26"/>
      <c r="H607" s="147"/>
      <c r="I607" s="26"/>
      <c r="J607" s="26"/>
      <c r="K607" s="26"/>
      <c r="L607" s="26"/>
      <c r="M607" s="26"/>
      <c r="N607" s="148"/>
      <c r="O607" s="26"/>
      <c r="P607" s="26"/>
      <c r="Q607" s="26"/>
      <c r="R607" s="84"/>
      <c r="S607" s="136"/>
      <c r="T607" s="26"/>
      <c r="U607" s="45"/>
      <c r="V607" s="26"/>
      <c r="W607" s="26"/>
    </row>
    <row r="608" spans="1:23" x14ac:dyDescent="0.35">
      <c r="A608" s="26"/>
      <c r="B608" s="35"/>
      <c r="C608" s="26"/>
      <c r="D608" s="26"/>
      <c r="E608" s="44"/>
      <c r="F608" s="26"/>
      <c r="G608" s="26"/>
      <c r="H608" s="147"/>
      <c r="I608" s="26"/>
      <c r="J608" s="26"/>
      <c r="K608" s="26"/>
      <c r="L608" s="26"/>
      <c r="M608" s="26"/>
      <c r="N608" s="148"/>
      <c r="O608" s="26"/>
      <c r="P608" s="26"/>
      <c r="Q608" s="26"/>
      <c r="R608" s="84"/>
      <c r="S608" s="136"/>
      <c r="T608" s="26"/>
      <c r="U608" s="45"/>
      <c r="V608" s="26"/>
      <c r="W608" s="26"/>
    </row>
    <row r="609" spans="1:23" x14ac:dyDescent="0.35">
      <c r="A609" s="26"/>
      <c r="B609" s="35"/>
      <c r="C609" s="26"/>
      <c r="D609" s="26"/>
      <c r="E609" s="44"/>
      <c r="F609" s="26"/>
      <c r="G609" s="26"/>
      <c r="H609" s="147"/>
      <c r="I609" s="26"/>
      <c r="J609" s="26"/>
      <c r="K609" s="26"/>
      <c r="L609" s="26"/>
      <c r="M609" s="26"/>
      <c r="N609" s="148"/>
      <c r="O609" s="26"/>
      <c r="P609" s="26"/>
      <c r="Q609" s="26"/>
      <c r="R609" s="84"/>
      <c r="S609" s="136"/>
      <c r="T609" s="26"/>
      <c r="U609" s="45"/>
      <c r="V609" s="26"/>
      <c r="W609" s="26"/>
    </row>
    <row r="610" spans="1:23" x14ac:dyDescent="0.35">
      <c r="A610" s="26"/>
      <c r="B610" s="35"/>
      <c r="C610" s="26"/>
      <c r="D610" s="26"/>
      <c r="E610" s="44"/>
      <c r="F610" s="26"/>
      <c r="G610" s="26"/>
      <c r="H610" s="147"/>
      <c r="I610" s="26"/>
      <c r="J610" s="26"/>
      <c r="K610" s="26"/>
      <c r="L610" s="26"/>
      <c r="M610" s="26"/>
      <c r="N610" s="148"/>
      <c r="O610" s="26"/>
      <c r="P610" s="26"/>
      <c r="Q610" s="26"/>
      <c r="R610" s="84"/>
      <c r="S610" s="136"/>
      <c r="T610" s="26"/>
      <c r="U610" s="45"/>
      <c r="V610" s="26"/>
      <c r="W610" s="26"/>
    </row>
    <row r="611" spans="1:23" x14ac:dyDescent="0.35">
      <c r="A611" s="26"/>
      <c r="B611" s="35"/>
      <c r="C611" s="26"/>
      <c r="D611" s="26"/>
      <c r="E611" s="44"/>
      <c r="F611" s="26"/>
      <c r="G611" s="26"/>
      <c r="H611" s="147"/>
      <c r="I611" s="26"/>
      <c r="J611" s="26"/>
      <c r="K611" s="26"/>
      <c r="L611" s="26"/>
      <c r="M611" s="26"/>
      <c r="N611" s="148"/>
      <c r="O611" s="26"/>
      <c r="P611" s="26"/>
      <c r="Q611" s="26"/>
      <c r="R611" s="84"/>
      <c r="S611" s="136"/>
      <c r="T611" s="26"/>
      <c r="U611" s="45"/>
      <c r="V611" s="26"/>
      <c r="W611" s="26"/>
    </row>
    <row r="612" spans="1:23" x14ac:dyDescent="0.35">
      <c r="A612" s="26"/>
      <c r="B612" s="35"/>
      <c r="C612" s="26"/>
      <c r="D612" s="26"/>
      <c r="E612" s="44"/>
      <c r="F612" s="26"/>
      <c r="G612" s="26"/>
      <c r="H612" s="147"/>
      <c r="I612" s="26"/>
      <c r="J612" s="26"/>
      <c r="K612" s="26"/>
      <c r="L612" s="26"/>
      <c r="M612" s="26"/>
      <c r="N612" s="148"/>
      <c r="O612" s="26"/>
      <c r="P612" s="26"/>
      <c r="Q612" s="26"/>
      <c r="R612" s="84"/>
      <c r="S612" s="136"/>
      <c r="T612" s="26"/>
      <c r="U612" s="45"/>
      <c r="V612" s="26"/>
      <c r="W612" s="26"/>
    </row>
    <row r="613" spans="1:23" x14ac:dyDescent="0.35">
      <c r="A613" s="26"/>
      <c r="B613" s="35"/>
      <c r="C613" s="26"/>
      <c r="D613" s="26"/>
      <c r="E613" s="44"/>
      <c r="F613" s="26"/>
      <c r="G613" s="26"/>
      <c r="H613" s="147"/>
      <c r="I613" s="26"/>
      <c r="J613" s="26"/>
      <c r="K613" s="26"/>
      <c r="L613" s="26"/>
      <c r="M613" s="26"/>
      <c r="N613" s="148"/>
      <c r="O613" s="26"/>
      <c r="P613" s="26"/>
      <c r="Q613" s="26"/>
      <c r="R613" s="84"/>
      <c r="S613" s="136"/>
      <c r="T613" s="26"/>
      <c r="U613" s="45"/>
      <c r="V613" s="26"/>
      <c r="W613" s="26"/>
    </row>
    <row r="614" spans="1:23" x14ac:dyDescent="0.35">
      <c r="A614" s="26"/>
      <c r="B614" s="35"/>
      <c r="C614" s="26"/>
      <c r="D614" s="26"/>
      <c r="E614" s="44"/>
      <c r="F614" s="26"/>
      <c r="G614" s="26"/>
      <c r="H614" s="147"/>
      <c r="I614" s="26"/>
      <c r="J614" s="26"/>
      <c r="K614" s="26"/>
      <c r="L614" s="26"/>
      <c r="M614" s="26"/>
      <c r="N614" s="148"/>
      <c r="O614" s="26"/>
      <c r="P614" s="26"/>
      <c r="Q614" s="26"/>
      <c r="R614" s="84"/>
      <c r="S614" s="136"/>
      <c r="T614" s="26"/>
      <c r="U614" s="45"/>
      <c r="V614" s="26"/>
      <c r="W614" s="26"/>
    </row>
    <row r="615" spans="1:23" x14ac:dyDescent="0.35">
      <c r="A615" s="26"/>
      <c r="B615" s="35"/>
      <c r="C615" s="26"/>
      <c r="D615" s="26"/>
      <c r="E615" s="44"/>
      <c r="F615" s="26"/>
      <c r="G615" s="26"/>
      <c r="H615" s="147"/>
      <c r="I615" s="26"/>
      <c r="J615" s="26"/>
      <c r="K615" s="26"/>
      <c r="L615" s="26"/>
      <c r="M615" s="26"/>
      <c r="N615" s="148"/>
      <c r="O615" s="26"/>
      <c r="P615" s="26"/>
      <c r="Q615" s="26"/>
      <c r="R615" s="84"/>
      <c r="S615" s="136"/>
      <c r="T615" s="26"/>
      <c r="U615" s="45"/>
      <c r="V615" s="26"/>
      <c r="W615" s="26"/>
    </row>
    <row r="616" spans="1:23" x14ac:dyDescent="0.35">
      <c r="A616" s="26"/>
      <c r="B616" s="35"/>
      <c r="C616" s="26"/>
      <c r="D616" s="26"/>
      <c r="E616" s="44"/>
      <c r="F616" s="26"/>
      <c r="G616" s="26"/>
      <c r="H616" s="147"/>
      <c r="I616" s="26"/>
      <c r="J616" s="26"/>
      <c r="K616" s="26"/>
      <c r="L616" s="26"/>
      <c r="M616" s="26"/>
      <c r="N616" s="148"/>
      <c r="O616" s="26"/>
      <c r="P616" s="26"/>
      <c r="Q616" s="26"/>
      <c r="R616" s="84"/>
      <c r="S616" s="136"/>
      <c r="T616" s="26"/>
      <c r="U616" s="45"/>
      <c r="V616" s="26"/>
      <c r="W616" s="26"/>
    </row>
    <row r="617" spans="1:23" x14ac:dyDescent="0.35">
      <c r="A617" s="26"/>
      <c r="B617" s="35"/>
      <c r="C617" s="26"/>
      <c r="D617" s="26"/>
      <c r="E617" s="44"/>
      <c r="F617" s="26"/>
      <c r="G617" s="26"/>
      <c r="H617" s="147"/>
      <c r="I617" s="26"/>
      <c r="J617" s="26"/>
      <c r="K617" s="26"/>
      <c r="L617" s="26"/>
      <c r="M617" s="26"/>
      <c r="N617" s="148"/>
      <c r="O617" s="26"/>
      <c r="P617" s="26"/>
      <c r="Q617" s="26"/>
      <c r="R617" s="84"/>
      <c r="S617" s="136"/>
      <c r="T617" s="26"/>
      <c r="U617" s="45"/>
      <c r="V617" s="26"/>
      <c r="W617" s="26"/>
    </row>
    <row r="618" spans="1:23" x14ac:dyDescent="0.35">
      <c r="A618" s="26"/>
      <c r="B618" s="35"/>
      <c r="C618" s="26"/>
      <c r="D618" s="26"/>
      <c r="E618" s="44"/>
      <c r="F618" s="26"/>
      <c r="G618" s="26"/>
      <c r="H618" s="147"/>
      <c r="I618" s="26"/>
      <c r="J618" s="26"/>
      <c r="K618" s="26"/>
      <c r="L618" s="26"/>
      <c r="M618" s="26"/>
      <c r="N618" s="148"/>
      <c r="O618" s="26"/>
      <c r="P618" s="26"/>
      <c r="Q618" s="26"/>
      <c r="R618" s="84"/>
      <c r="S618" s="136"/>
      <c r="T618" s="26"/>
      <c r="U618" s="45"/>
      <c r="V618" s="26"/>
      <c r="W618" s="26"/>
    </row>
    <row r="619" spans="1:23" x14ac:dyDescent="0.35">
      <c r="A619" s="26"/>
      <c r="B619" s="35"/>
      <c r="C619" s="26"/>
      <c r="D619" s="26"/>
      <c r="E619" s="44"/>
      <c r="F619" s="26"/>
      <c r="G619" s="26"/>
      <c r="H619" s="147"/>
      <c r="I619" s="26"/>
      <c r="J619" s="26"/>
      <c r="K619" s="26"/>
      <c r="L619" s="26"/>
      <c r="M619" s="26"/>
      <c r="N619" s="148"/>
      <c r="O619" s="26"/>
      <c r="P619" s="26"/>
      <c r="Q619" s="26"/>
      <c r="R619" s="84"/>
      <c r="S619" s="136"/>
      <c r="T619" s="26"/>
      <c r="U619" s="45"/>
      <c r="V619" s="26"/>
      <c r="W619" s="26"/>
    </row>
    <row r="620" spans="1:23" x14ac:dyDescent="0.35">
      <c r="A620" s="26"/>
      <c r="B620" s="35"/>
      <c r="C620" s="26"/>
      <c r="D620" s="26"/>
      <c r="E620" s="44"/>
      <c r="F620" s="26"/>
      <c r="G620" s="26"/>
      <c r="H620" s="147"/>
      <c r="I620" s="26"/>
      <c r="J620" s="26"/>
      <c r="K620" s="26"/>
      <c r="L620" s="26"/>
      <c r="M620" s="26"/>
      <c r="N620" s="148"/>
      <c r="O620" s="26"/>
      <c r="P620" s="26"/>
      <c r="Q620" s="26"/>
      <c r="R620" s="84"/>
      <c r="S620" s="136"/>
      <c r="T620" s="26"/>
      <c r="U620" s="45"/>
      <c r="V620" s="26"/>
      <c r="W620" s="26"/>
    </row>
    <row r="621" spans="1:23" x14ac:dyDescent="0.35">
      <c r="A621" s="26"/>
      <c r="B621" s="35"/>
      <c r="C621" s="26"/>
      <c r="D621" s="26"/>
      <c r="E621" s="44"/>
      <c r="F621" s="26"/>
      <c r="G621" s="26"/>
      <c r="H621" s="147"/>
      <c r="I621" s="26"/>
      <c r="J621" s="26"/>
      <c r="K621" s="26"/>
      <c r="L621" s="26"/>
      <c r="M621" s="26"/>
      <c r="N621" s="148"/>
      <c r="O621" s="26"/>
      <c r="P621" s="26"/>
      <c r="Q621" s="26"/>
      <c r="R621" s="84"/>
      <c r="S621" s="136"/>
      <c r="T621" s="26"/>
      <c r="U621" s="45"/>
      <c r="V621" s="26"/>
      <c r="W621" s="26"/>
    </row>
    <row r="622" spans="1:23" x14ac:dyDescent="0.35">
      <c r="A622" s="26"/>
      <c r="B622" s="35"/>
      <c r="C622" s="26"/>
      <c r="D622" s="26"/>
      <c r="E622" s="44"/>
      <c r="F622" s="26"/>
      <c r="G622" s="26"/>
      <c r="H622" s="147"/>
      <c r="I622" s="26"/>
      <c r="J622" s="26"/>
      <c r="K622" s="26"/>
      <c r="L622" s="26"/>
      <c r="M622" s="26"/>
      <c r="N622" s="148"/>
      <c r="O622" s="26"/>
      <c r="P622" s="26"/>
      <c r="Q622" s="26"/>
      <c r="R622" s="84"/>
      <c r="S622" s="136"/>
      <c r="T622" s="26"/>
      <c r="U622" s="45"/>
      <c r="V622" s="26"/>
      <c r="W622" s="26"/>
    </row>
    <row r="623" spans="1:23" x14ac:dyDescent="0.35">
      <c r="A623" s="26"/>
      <c r="B623" s="35"/>
      <c r="C623" s="26"/>
      <c r="D623" s="26"/>
      <c r="E623" s="44"/>
      <c r="F623" s="26"/>
      <c r="G623" s="26"/>
      <c r="H623" s="147"/>
      <c r="I623" s="26"/>
      <c r="J623" s="26"/>
      <c r="K623" s="26"/>
      <c r="L623" s="26"/>
      <c r="M623" s="26"/>
      <c r="N623" s="148"/>
      <c r="O623" s="26"/>
      <c r="P623" s="26"/>
      <c r="Q623" s="26"/>
      <c r="R623" s="84"/>
      <c r="S623" s="136"/>
      <c r="T623" s="26"/>
      <c r="U623" s="45"/>
      <c r="V623" s="26"/>
      <c r="W623" s="26"/>
    </row>
    <row r="624" spans="1:23" x14ac:dyDescent="0.35">
      <c r="A624" s="26"/>
      <c r="B624" s="35"/>
      <c r="C624" s="26"/>
      <c r="D624" s="26"/>
      <c r="E624" s="44"/>
      <c r="F624" s="26"/>
      <c r="G624" s="26"/>
      <c r="H624" s="147"/>
      <c r="I624" s="26"/>
      <c r="J624" s="26"/>
      <c r="K624" s="26"/>
      <c r="L624" s="26"/>
      <c r="M624" s="26"/>
      <c r="N624" s="148"/>
      <c r="O624" s="26"/>
      <c r="P624" s="26"/>
      <c r="Q624" s="26"/>
      <c r="R624" s="84"/>
      <c r="S624" s="136"/>
      <c r="T624" s="26"/>
      <c r="U624" s="45"/>
      <c r="V624" s="26"/>
      <c r="W624" s="26"/>
    </row>
    <row r="625" spans="1:23" x14ac:dyDescent="0.35">
      <c r="A625" s="26"/>
      <c r="B625" s="35"/>
      <c r="C625" s="26"/>
      <c r="D625" s="26"/>
      <c r="E625" s="44"/>
      <c r="F625" s="26"/>
      <c r="G625" s="26"/>
      <c r="H625" s="147"/>
      <c r="I625" s="26"/>
      <c r="J625" s="26"/>
      <c r="K625" s="26"/>
      <c r="L625" s="26"/>
      <c r="M625" s="26"/>
      <c r="N625" s="148"/>
      <c r="O625" s="26"/>
      <c r="P625" s="26"/>
      <c r="Q625" s="26"/>
      <c r="R625" s="84"/>
      <c r="S625" s="136"/>
      <c r="T625" s="26"/>
      <c r="U625" s="45"/>
      <c r="V625" s="26"/>
      <c r="W625" s="26"/>
    </row>
    <row r="626" spans="1:23" x14ac:dyDescent="0.35">
      <c r="A626" s="26"/>
      <c r="B626" s="35"/>
      <c r="C626" s="26"/>
      <c r="D626" s="26"/>
      <c r="E626" s="44"/>
      <c r="F626" s="26"/>
      <c r="G626" s="26"/>
      <c r="H626" s="147"/>
      <c r="I626" s="26"/>
      <c r="J626" s="26"/>
      <c r="K626" s="26"/>
      <c r="L626" s="26"/>
      <c r="M626" s="26"/>
      <c r="N626" s="148"/>
      <c r="O626" s="26"/>
      <c r="P626" s="26"/>
      <c r="Q626" s="26"/>
      <c r="R626" s="84"/>
      <c r="S626" s="136"/>
      <c r="T626" s="26"/>
      <c r="U626" s="45"/>
      <c r="V626" s="26"/>
      <c r="W626" s="26"/>
    </row>
    <row r="627" spans="1:23" x14ac:dyDescent="0.35">
      <c r="A627" s="26"/>
      <c r="B627" s="35"/>
      <c r="C627" s="26"/>
      <c r="D627" s="26"/>
      <c r="E627" s="44"/>
      <c r="F627" s="26"/>
      <c r="G627" s="26"/>
      <c r="H627" s="147"/>
      <c r="I627" s="26"/>
      <c r="J627" s="26"/>
      <c r="K627" s="26"/>
      <c r="L627" s="26"/>
      <c r="M627" s="26"/>
      <c r="N627" s="148"/>
      <c r="O627" s="26"/>
      <c r="P627" s="26"/>
      <c r="Q627" s="26"/>
      <c r="R627" s="84"/>
      <c r="S627" s="136"/>
      <c r="T627" s="26"/>
      <c r="U627" s="45"/>
      <c r="V627" s="26"/>
      <c r="W627" s="26"/>
    </row>
    <row r="628" spans="1:23" x14ac:dyDescent="0.35">
      <c r="A628" s="26"/>
      <c r="B628" s="35"/>
      <c r="C628" s="26"/>
      <c r="D628" s="26"/>
      <c r="E628" s="44"/>
      <c r="F628" s="26"/>
      <c r="G628" s="26"/>
      <c r="H628" s="147"/>
      <c r="I628" s="26"/>
      <c r="J628" s="26"/>
      <c r="K628" s="26"/>
      <c r="L628" s="26"/>
      <c r="M628" s="26"/>
      <c r="N628" s="148"/>
      <c r="O628" s="26"/>
      <c r="P628" s="26"/>
      <c r="Q628" s="26"/>
      <c r="R628" s="84"/>
      <c r="S628" s="136"/>
      <c r="T628" s="26"/>
      <c r="U628" s="45"/>
      <c r="V628" s="26"/>
      <c r="W628" s="26"/>
    </row>
    <row r="629" spans="1:23" x14ac:dyDescent="0.35">
      <c r="A629" s="26"/>
      <c r="B629" s="35"/>
      <c r="C629" s="26"/>
      <c r="D629" s="26"/>
      <c r="E629" s="44"/>
      <c r="F629" s="26"/>
      <c r="G629" s="26"/>
      <c r="H629" s="147"/>
      <c r="I629" s="26"/>
      <c r="J629" s="26"/>
      <c r="K629" s="26"/>
      <c r="L629" s="26"/>
      <c r="M629" s="26"/>
      <c r="N629" s="148"/>
      <c r="O629" s="26"/>
      <c r="P629" s="26"/>
      <c r="Q629" s="26"/>
      <c r="R629" s="84"/>
      <c r="S629" s="136"/>
      <c r="T629" s="26"/>
      <c r="U629" s="45"/>
      <c r="V629" s="26"/>
      <c r="W629" s="26"/>
    </row>
    <row r="630" spans="1:23" x14ac:dyDescent="0.35">
      <c r="A630" s="26"/>
      <c r="B630" s="35"/>
      <c r="C630" s="26"/>
      <c r="D630" s="26"/>
      <c r="E630" s="44"/>
      <c r="F630" s="26"/>
      <c r="G630" s="26"/>
      <c r="H630" s="147"/>
      <c r="I630" s="26"/>
      <c r="J630" s="26"/>
      <c r="K630" s="26"/>
      <c r="L630" s="26"/>
      <c r="M630" s="26"/>
      <c r="N630" s="148"/>
      <c r="O630" s="26"/>
      <c r="P630" s="26"/>
      <c r="Q630" s="26"/>
      <c r="R630" s="84"/>
      <c r="S630" s="136"/>
      <c r="T630" s="26"/>
      <c r="U630" s="45"/>
      <c r="V630" s="26"/>
      <c r="W630" s="26"/>
    </row>
    <row r="631" spans="1:23" x14ac:dyDescent="0.35">
      <c r="A631" s="26"/>
      <c r="B631" s="35"/>
      <c r="C631" s="26"/>
      <c r="D631" s="26"/>
      <c r="E631" s="44"/>
      <c r="F631" s="26"/>
      <c r="G631" s="26"/>
      <c r="H631" s="147"/>
      <c r="I631" s="26"/>
      <c r="J631" s="26"/>
      <c r="K631" s="26"/>
      <c r="L631" s="26"/>
      <c r="M631" s="26"/>
      <c r="N631" s="148"/>
      <c r="O631" s="26"/>
      <c r="P631" s="26"/>
      <c r="Q631" s="26"/>
      <c r="R631" s="84"/>
      <c r="S631" s="136"/>
      <c r="T631" s="26"/>
      <c r="U631" s="45"/>
      <c r="V631" s="26"/>
      <c r="W631" s="26"/>
    </row>
    <row r="632" spans="1:23" x14ac:dyDescent="0.35">
      <c r="A632" s="26"/>
      <c r="B632" s="35"/>
      <c r="C632" s="26"/>
      <c r="D632" s="26"/>
      <c r="E632" s="44"/>
      <c r="F632" s="26"/>
      <c r="G632" s="26"/>
      <c r="H632" s="147"/>
      <c r="I632" s="26"/>
      <c r="J632" s="26"/>
      <c r="K632" s="26"/>
      <c r="L632" s="26"/>
      <c r="M632" s="26"/>
      <c r="N632" s="148"/>
      <c r="O632" s="26"/>
      <c r="P632" s="26"/>
      <c r="Q632" s="26"/>
      <c r="R632" s="84"/>
      <c r="S632" s="136"/>
      <c r="T632" s="26"/>
      <c r="U632" s="45"/>
      <c r="V632" s="26"/>
      <c r="W632" s="26"/>
    </row>
    <row r="633" spans="1:23" x14ac:dyDescent="0.35">
      <c r="A633" s="26"/>
      <c r="B633" s="35"/>
      <c r="C633" s="26"/>
      <c r="D633" s="26"/>
      <c r="E633" s="44"/>
      <c r="F633" s="26"/>
      <c r="G633" s="26"/>
      <c r="H633" s="147"/>
      <c r="I633" s="26"/>
      <c r="J633" s="26"/>
      <c r="K633" s="26"/>
      <c r="L633" s="26"/>
      <c r="M633" s="26"/>
      <c r="N633" s="148"/>
      <c r="O633" s="26"/>
      <c r="P633" s="26"/>
      <c r="Q633" s="26"/>
      <c r="R633" s="84"/>
      <c r="S633" s="136"/>
      <c r="T633" s="26"/>
      <c r="U633" s="45"/>
      <c r="V633" s="26"/>
      <c r="W633" s="26"/>
    </row>
    <row r="634" spans="1:23" x14ac:dyDescent="0.35">
      <c r="A634" s="26"/>
      <c r="B634" s="35"/>
      <c r="C634" s="26"/>
      <c r="D634" s="26"/>
      <c r="E634" s="44"/>
      <c r="F634" s="26"/>
      <c r="G634" s="26"/>
      <c r="H634" s="147"/>
      <c r="I634" s="26"/>
      <c r="J634" s="26"/>
      <c r="K634" s="26"/>
      <c r="L634" s="26"/>
      <c r="M634" s="26"/>
      <c r="N634" s="148"/>
      <c r="O634" s="26"/>
      <c r="P634" s="26"/>
      <c r="Q634" s="26"/>
      <c r="R634" s="84"/>
      <c r="S634" s="136"/>
      <c r="T634" s="26"/>
      <c r="U634" s="45"/>
      <c r="V634" s="26"/>
      <c r="W634" s="26"/>
    </row>
    <row r="635" spans="1:23" x14ac:dyDescent="0.35">
      <c r="A635" s="26"/>
      <c r="B635" s="35"/>
      <c r="C635" s="26"/>
      <c r="D635" s="26"/>
      <c r="E635" s="44"/>
      <c r="F635" s="26"/>
      <c r="G635" s="26"/>
      <c r="H635" s="147"/>
      <c r="I635" s="26"/>
      <c r="J635" s="26"/>
      <c r="K635" s="26"/>
      <c r="L635" s="26"/>
      <c r="M635" s="26"/>
      <c r="N635" s="148"/>
      <c r="O635" s="26"/>
      <c r="P635" s="26"/>
      <c r="Q635" s="26"/>
      <c r="R635" s="84"/>
      <c r="S635" s="136"/>
      <c r="T635" s="26"/>
      <c r="U635" s="45"/>
      <c r="V635" s="26"/>
      <c r="W635" s="26"/>
    </row>
    <row r="636" spans="1:23" x14ac:dyDescent="0.35">
      <c r="A636" s="26"/>
      <c r="B636" s="35"/>
      <c r="C636" s="26"/>
      <c r="D636" s="26"/>
      <c r="E636" s="44"/>
      <c r="F636" s="26"/>
      <c r="G636" s="26"/>
      <c r="H636" s="147"/>
      <c r="I636" s="26"/>
      <c r="J636" s="26"/>
      <c r="K636" s="26"/>
      <c r="L636" s="26"/>
      <c r="M636" s="26"/>
      <c r="N636" s="148"/>
      <c r="O636" s="26"/>
      <c r="P636" s="26"/>
      <c r="Q636" s="26"/>
      <c r="R636" s="84"/>
      <c r="S636" s="136"/>
      <c r="T636" s="26"/>
      <c r="U636" s="45"/>
      <c r="V636" s="26"/>
      <c r="W636" s="26"/>
    </row>
    <row r="637" spans="1:23" x14ac:dyDescent="0.35">
      <c r="A637" s="26"/>
      <c r="B637" s="35"/>
      <c r="C637" s="26"/>
      <c r="D637" s="26"/>
      <c r="E637" s="44"/>
      <c r="F637" s="26"/>
      <c r="G637" s="26"/>
      <c r="H637" s="147"/>
      <c r="I637" s="26"/>
      <c r="J637" s="26"/>
      <c r="K637" s="26"/>
      <c r="L637" s="26"/>
      <c r="M637" s="26"/>
      <c r="N637" s="148"/>
      <c r="O637" s="26"/>
      <c r="P637" s="26"/>
      <c r="Q637" s="26"/>
      <c r="R637" s="84"/>
      <c r="S637" s="136"/>
      <c r="T637" s="26"/>
      <c r="U637" s="45"/>
      <c r="V637" s="26"/>
      <c r="W637" s="26"/>
    </row>
    <row r="638" spans="1:23" x14ac:dyDescent="0.35">
      <c r="A638" s="26"/>
      <c r="B638" s="35"/>
      <c r="C638" s="26"/>
      <c r="D638" s="26"/>
      <c r="E638" s="44"/>
      <c r="F638" s="26"/>
      <c r="G638" s="26"/>
      <c r="H638" s="147"/>
      <c r="I638" s="26"/>
      <c r="J638" s="26"/>
      <c r="K638" s="26"/>
      <c r="L638" s="26"/>
      <c r="M638" s="26"/>
      <c r="N638" s="148"/>
      <c r="O638" s="26"/>
      <c r="P638" s="26"/>
      <c r="Q638" s="26"/>
      <c r="R638" s="84"/>
      <c r="S638" s="136"/>
      <c r="T638" s="26"/>
      <c r="U638" s="45"/>
      <c r="V638" s="26"/>
      <c r="W638" s="26"/>
    </row>
    <row r="639" spans="1:23" x14ac:dyDescent="0.35">
      <c r="A639" s="26"/>
      <c r="B639" s="35"/>
      <c r="C639" s="26"/>
      <c r="D639" s="26"/>
      <c r="E639" s="44"/>
      <c r="F639" s="26"/>
      <c r="G639" s="26"/>
      <c r="H639" s="147"/>
      <c r="I639" s="26"/>
      <c r="J639" s="26"/>
      <c r="K639" s="26"/>
      <c r="L639" s="26"/>
      <c r="M639" s="26"/>
      <c r="N639" s="148"/>
      <c r="O639" s="26"/>
      <c r="P639" s="26"/>
      <c r="Q639" s="26"/>
      <c r="R639" s="84"/>
      <c r="S639" s="136"/>
      <c r="T639" s="26"/>
      <c r="U639" s="45"/>
      <c r="V639" s="26"/>
      <c r="W639" s="26"/>
    </row>
    <row r="640" spans="1:23" x14ac:dyDescent="0.35">
      <c r="A640" s="26"/>
      <c r="B640" s="35"/>
      <c r="C640" s="26"/>
      <c r="D640" s="26"/>
      <c r="E640" s="44"/>
      <c r="F640" s="26"/>
      <c r="G640" s="26"/>
      <c r="H640" s="147"/>
      <c r="I640" s="26"/>
      <c r="J640" s="26"/>
      <c r="K640" s="26"/>
      <c r="L640" s="26"/>
      <c r="M640" s="26"/>
      <c r="N640" s="148"/>
      <c r="O640" s="26"/>
      <c r="P640" s="26"/>
      <c r="Q640" s="26"/>
      <c r="R640" s="84"/>
      <c r="S640" s="136"/>
      <c r="T640" s="26"/>
      <c r="U640" s="45"/>
      <c r="V640" s="26"/>
      <c r="W640" s="26"/>
    </row>
    <row r="641" spans="1:23" x14ac:dyDescent="0.35">
      <c r="A641" s="26"/>
      <c r="B641" s="35"/>
      <c r="C641" s="26"/>
      <c r="D641" s="26"/>
      <c r="E641" s="44"/>
      <c r="F641" s="26"/>
      <c r="G641" s="26"/>
      <c r="H641" s="147"/>
      <c r="I641" s="26"/>
      <c r="J641" s="26"/>
      <c r="K641" s="26"/>
      <c r="L641" s="26"/>
      <c r="M641" s="26"/>
      <c r="N641" s="148"/>
      <c r="O641" s="26"/>
      <c r="P641" s="26"/>
      <c r="Q641" s="26"/>
      <c r="R641" s="84"/>
      <c r="S641" s="136"/>
      <c r="T641" s="26"/>
      <c r="U641" s="45"/>
      <c r="V641" s="26"/>
      <c r="W641" s="26"/>
    </row>
    <row r="642" spans="1:23" x14ac:dyDescent="0.35">
      <c r="A642" s="26"/>
      <c r="B642" s="35"/>
      <c r="C642" s="26"/>
      <c r="D642" s="26"/>
      <c r="E642" s="44"/>
      <c r="F642" s="26"/>
      <c r="G642" s="26"/>
      <c r="H642" s="147"/>
      <c r="I642" s="26"/>
      <c r="J642" s="26"/>
      <c r="K642" s="26"/>
      <c r="L642" s="26"/>
      <c r="M642" s="26"/>
      <c r="N642" s="148"/>
      <c r="O642" s="26"/>
      <c r="P642" s="26"/>
      <c r="Q642" s="26"/>
      <c r="R642" s="84"/>
      <c r="S642" s="136"/>
      <c r="T642" s="26"/>
      <c r="U642" s="45"/>
      <c r="V642" s="26"/>
      <c r="W642" s="26"/>
    </row>
    <row r="643" spans="1:23" x14ac:dyDescent="0.35">
      <c r="A643" s="26"/>
      <c r="B643" s="35"/>
      <c r="C643" s="26"/>
      <c r="D643" s="26"/>
      <c r="E643" s="44"/>
      <c r="F643" s="26"/>
      <c r="G643" s="26"/>
      <c r="H643" s="147"/>
      <c r="I643" s="26"/>
      <c r="J643" s="26"/>
      <c r="K643" s="26"/>
      <c r="L643" s="26"/>
      <c r="M643" s="26"/>
      <c r="N643" s="148"/>
      <c r="O643" s="26"/>
      <c r="P643" s="26"/>
      <c r="Q643" s="26"/>
      <c r="R643" s="84"/>
      <c r="S643" s="136"/>
      <c r="T643" s="26"/>
      <c r="U643" s="45"/>
      <c r="V643" s="26"/>
      <c r="W643" s="26"/>
    </row>
    <row r="644" spans="1:23" x14ac:dyDescent="0.35">
      <c r="A644" s="26"/>
      <c r="B644" s="35"/>
      <c r="C644" s="26"/>
      <c r="D644" s="26"/>
      <c r="E644" s="44"/>
      <c r="F644" s="26"/>
      <c r="G644" s="26"/>
      <c r="H644" s="147"/>
      <c r="I644" s="26"/>
      <c r="J644" s="26"/>
      <c r="K644" s="26"/>
      <c r="L644" s="26"/>
      <c r="M644" s="26"/>
      <c r="N644" s="148"/>
      <c r="O644" s="26"/>
      <c r="P644" s="26"/>
      <c r="Q644" s="26"/>
      <c r="R644" s="84"/>
      <c r="S644" s="136"/>
      <c r="T644" s="26"/>
      <c r="U644" s="45"/>
      <c r="V644" s="26"/>
      <c r="W644" s="26"/>
    </row>
    <row r="645" spans="1:23" x14ac:dyDescent="0.35">
      <c r="A645" s="26"/>
      <c r="B645" s="35"/>
      <c r="C645" s="26"/>
      <c r="D645" s="26"/>
      <c r="E645" s="44"/>
      <c r="F645" s="26"/>
      <c r="G645" s="26"/>
      <c r="H645" s="147"/>
      <c r="I645" s="26"/>
      <c r="J645" s="26"/>
      <c r="K645" s="26"/>
      <c r="L645" s="26"/>
      <c r="M645" s="26"/>
      <c r="N645" s="148"/>
      <c r="O645" s="26"/>
      <c r="P645" s="26"/>
      <c r="Q645" s="26"/>
      <c r="R645" s="84"/>
      <c r="S645" s="136"/>
      <c r="T645" s="26"/>
      <c r="U645" s="45"/>
      <c r="V645" s="26"/>
      <c r="W645" s="26"/>
    </row>
    <row r="646" spans="1:23" x14ac:dyDescent="0.35">
      <c r="A646" s="26"/>
      <c r="B646" s="35"/>
      <c r="C646" s="26"/>
      <c r="D646" s="26"/>
      <c r="E646" s="44"/>
      <c r="F646" s="26"/>
      <c r="G646" s="26"/>
      <c r="H646" s="147"/>
      <c r="I646" s="26"/>
      <c r="J646" s="26"/>
      <c r="K646" s="26"/>
      <c r="L646" s="26"/>
      <c r="M646" s="26"/>
      <c r="N646" s="148"/>
      <c r="O646" s="26"/>
      <c r="P646" s="26"/>
      <c r="Q646" s="26"/>
      <c r="R646" s="84"/>
      <c r="S646" s="136"/>
      <c r="T646" s="26"/>
      <c r="U646" s="45"/>
      <c r="V646" s="26"/>
      <c r="W646" s="26"/>
    </row>
    <row r="647" spans="1:23" x14ac:dyDescent="0.35">
      <c r="A647" s="26"/>
      <c r="B647" s="35"/>
      <c r="C647" s="26"/>
      <c r="D647" s="26"/>
      <c r="E647" s="44"/>
      <c r="F647" s="26"/>
      <c r="G647" s="26"/>
      <c r="H647" s="147"/>
      <c r="I647" s="26"/>
      <c r="J647" s="26"/>
      <c r="K647" s="26"/>
      <c r="L647" s="26"/>
      <c r="M647" s="26"/>
      <c r="N647" s="148"/>
      <c r="O647" s="26"/>
      <c r="P647" s="26"/>
      <c r="Q647" s="26"/>
      <c r="R647" s="84"/>
      <c r="S647" s="136"/>
      <c r="T647" s="26"/>
      <c r="U647" s="45"/>
      <c r="V647" s="26"/>
      <c r="W647" s="26"/>
    </row>
    <row r="648" spans="1:23" x14ac:dyDescent="0.35">
      <c r="A648" s="26"/>
      <c r="B648" s="35"/>
      <c r="C648" s="26"/>
      <c r="D648" s="26"/>
      <c r="E648" s="44"/>
      <c r="F648" s="26"/>
      <c r="G648" s="26"/>
      <c r="H648" s="147"/>
      <c r="I648" s="26"/>
      <c r="J648" s="26"/>
      <c r="K648" s="26"/>
      <c r="L648" s="26"/>
      <c r="M648" s="26"/>
      <c r="N648" s="148"/>
      <c r="O648" s="26"/>
      <c r="P648" s="26"/>
      <c r="Q648" s="26"/>
      <c r="R648" s="84"/>
      <c r="S648" s="136"/>
      <c r="T648" s="26"/>
      <c r="U648" s="45"/>
      <c r="V648" s="26"/>
      <c r="W648" s="26"/>
    </row>
    <row r="649" spans="1:23" x14ac:dyDescent="0.35">
      <c r="A649" s="26"/>
      <c r="B649" s="35"/>
      <c r="C649" s="26"/>
      <c r="D649" s="26"/>
      <c r="E649" s="44"/>
      <c r="F649" s="26"/>
      <c r="G649" s="26"/>
      <c r="H649" s="147"/>
      <c r="I649" s="26"/>
      <c r="J649" s="26"/>
      <c r="K649" s="26"/>
      <c r="L649" s="26"/>
      <c r="M649" s="26"/>
      <c r="N649" s="148"/>
      <c r="O649" s="26"/>
      <c r="P649" s="26"/>
      <c r="Q649" s="26"/>
      <c r="R649" s="84"/>
      <c r="S649" s="136"/>
      <c r="T649" s="26"/>
      <c r="U649" s="45"/>
      <c r="V649" s="26"/>
      <c r="W649" s="26"/>
    </row>
    <row r="650" spans="1:23" x14ac:dyDescent="0.35">
      <c r="A650" s="26"/>
      <c r="B650" s="35"/>
      <c r="C650" s="26"/>
      <c r="D650" s="26"/>
      <c r="E650" s="44"/>
      <c r="F650" s="26"/>
      <c r="G650" s="26"/>
      <c r="H650" s="147"/>
      <c r="I650" s="26"/>
      <c r="J650" s="26"/>
      <c r="K650" s="26"/>
      <c r="L650" s="26"/>
      <c r="M650" s="26"/>
      <c r="N650" s="148"/>
      <c r="O650" s="26"/>
      <c r="P650" s="26"/>
      <c r="Q650" s="26"/>
      <c r="R650" s="84"/>
      <c r="S650" s="136"/>
      <c r="T650" s="26"/>
      <c r="U650" s="45"/>
      <c r="V650" s="26"/>
      <c r="W650" s="26"/>
    </row>
    <row r="651" spans="1:23" x14ac:dyDescent="0.35">
      <c r="A651" s="26"/>
      <c r="B651" s="35"/>
      <c r="C651" s="26"/>
      <c r="D651" s="26"/>
      <c r="E651" s="44"/>
      <c r="F651" s="26"/>
      <c r="G651" s="26"/>
      <c r="H651" s="147"/>
      <c r="I651" s="26"/>
      <c r="J651" s="26"/>
      <c r="K651" s="26"/>
      <c r="L651" s="26"/>
      <c r="M651" s="26"/>
      <c r="N651" s="148"/>
      <c r="O651" s="26"/>
      <c r="P651" s="26"/>
      <c r="Q651" s="26"/>
      <c r="R651" s="84"/>
      <c r="S651" s="136"/>
      <c r="T651" s="26"/>
      <c r="U651" s="45"/>
      <c r="V651" s="26"/>
      <c r="W651" s="26"/>
    </row>
    <row r="652" spans="1:23" x14ac:dyDescent="0.35">
      <c r="A652" s="26"/>
      <c r="B652" s="35"/>
      <c r="C652" s="26"/>
      <c r="D652" s="26"/>
      <c r="E652" s="44"/>
      <c r="F652" s="26"/>
      <c r="G652" s="26"/>
      <c r="H652" s="147"/>
      <c r="I652" s="26"/>
      <c r="J652" s="26"/>
      <c r="K652" s="26"/>
      <c r="L652" s="26"/>
      <c r="M652" s="26"/>
      <c r="N652" s="148"/>
      <c r="O652" s="26"/>
      <c r="P652" s="26"/>
      <c r="Q652" s="26"/>
      <c r="R652" s="84"/>
      <c r="S652" s="136"/>
      <c r="T652" s="26"/>
      <c r="U652" s="45"/>
      <c r="V652" s="26"/>
      <c r="W652" s="26"/>
    </row>
    <row r="653" spans="1:23" x14ac:dyDescent="0.35">
      <c r="A653" s="26"/>
      <c r="B653" s="35"/>
      <c r="C653" s="26"/>
      <c r="D653" s="26"/>
      <c r="E653" s="44"/>
      <c r="F653" s="26"/>
      <c r="G653" s="26"/>
      <c r="H653" s="147"/>
      <c r="I653" s="26"/>
      <c r="J653" s="26"/>
      <c r="K653" s="26"/>
      <c r="L653" s="26"/>
      <c r="M653" s="26"/>
      <c r="N653" s="148"/>
      <c r="O653" s="26"/>
      <c r="P653" s="26"/>
      <c r="Q653" s="26"/>
      <c r="R653" s="84"/>
      <c r="S653" s="136"/>
      <c r="T653" s="26"/>
      <c r="U653" s="45"/>
      <c r="V653" s="26"/>
      <c r="W653" s="26"/>
    </row>
    <row r="654" spans="1:23" x14ac:dyDescent="0.35">
      <c r="A654" s="26"/>
      <c r="B654" s="35"/>
      <c r="C654" s="26"/>
      <c r="D654" s="26"/>
      <c r="E654" s="44"/>
      <c r="F654" s="26"/>
      <c r="G654" s="26"/>
      <c r="H654" s="147"/>
      <c r="I654" s="26"/>
      <c r="J654" s="26"/>
      <c r="K654" s="26"/>
      <c r="L654" s="26"/>
      <c r="M654" s="26"/>
      <c r="N654" s="148"/>
      <c r="O654" s="26"/>
      <c r="P654" s="26"/>
      <c r="Q654" s="26"/>
      <c r="R654" s="84"/>
      <c r="S654" s="136"/>
      <c r="T654" s="26"/>
      <c r="U654" s="45"/>
      <c r="V654" s="26"/>
      <c r="W654" s="26"/>
    </row>
    <row r="655" spans="1:23" x14ac:dyDescent="0.35">
      <c r="A655" s="26"/>
      <c r="B655" s="35"/>
      <c r="C655" s="26"/>
      <c r="D655" s="26"/>
      <c r="E655" s="44"/>
      <c r="F655" s="26"/>
      <c r="G655" s="26"/>
      <c r="H655" s="147"/>
      <c r="I655" s="26"/>
      <c r="J655" s="26"/>
      <c r="K655" s="26"/>
      <c r="L655" s="26"/>
      <c r="M655" s="26"/>
      <c r="N655" s="148"/>
      <c r="O655" s="26"/>
      <c r="P655" s="26"/>
      <c r="Q655" s="26"/>
      <c r="R655" s="84"/>
      <c r="S655" s="136"/>
      <c r="T655" s="26"/>
      <c r="U655" s="45"/>
      <c r="V655" s="26"/>
      <c r="W655" s="26"/>
    </row>
    <row r="656" spans="1:23" x14ac:dyDescent="0.35">
      <c r="A656" s="26"/>
      <c r="B656" s="35"/>
      <c r="C656" s="26"/>
      <c r="D656" s="26"/>
      <c r="E656" s="44"/>
      <c r="F656" s="26"/>
      <c r="G656" s="26"/>
      <c r="H656" s="147"/>
      <c r="I656" s="26"/>
      <c r="J656" s="26"/>
      <c r="K656" s="26"/>
      <c r="L656" s="26"/>
      <c r="M656" s="26"/>
      <c r="N656" s="148"/>
      <c r="O656" s="26"/>
      <c r="P656" s="26"/>
      <c r="Q656" s="26"/>
      <c r="R656" s="84"/>
      <c r="S656" s="136"/>
      <c r="T656" s="26"/>
      <c r="U656" s="45"/>
      <c r="V656" s="26"/>
      <c r="W656" s="26"/>
    </row>
    <row r="657" spans="1:23" x14ac:dyDescent="0.35">
      <c r="A657" s="26"/>
      <c r="B657" s="35"/>
      <c r="C657" s="26"/>
      <c r="D657" s="26"/>
      <c r="E657" s="44"/>
      <c r="F657" s="26"/>
      <c r="G657" s="26"/>
      <c r="H657" s="147"/>
      <c r="I657" s="26"/>
      <c r="J657" s="26"/>
      <c r="K657" s="26"/>
      <c r="L657" s="26"/>
      <c r="M657" s="26"/>
      <c r="N657" s="148"/>
      <c r="O657" s="26"/>
      <c r="P657" s="26"/>
      <c r="Q657" s="26"/>
      <c r="R657" s="84"/>
      <c r="S657" s="136"/>
      <c r="T657" s="26"/>
      <c r="U657" s="45"/>
      <c r="V657" s="26"/>
      <c r="W657" s="26"/>
    </row>
    <row r="658" spans="1:23" x14ac:dyDescent="0.35">
      <c r="A658" s="26"/>
      <c r="B658" s="35"/>
      <c r="C658" s="26"/>
      <c r="D658" s="26"/>
      <c r="E658" s="44"/>
      <c r="F658" s="26"/>
      <c r="G658" s="26"/>
      <c r="H658" s="147"/>
      <c r="I658" s="26"/>
      <c r="J658" s="26"/>
      <c r="K658" s="26"/>
      <c r="L658" s="26"/>
      <c r="M658" s="26"/>
      <c r="N658" s="148"/>
      <c r="O658" s="26"/>
      <c r="P658" s="26"/>
      <c r="Q658" s="26"/>
      <c r="R658" s="84"/>
      <c r="S658" s="136"/>
      <c r="T658" s="26"/>
      <c r="U658" s="45"/>
      <c r="V658" s="26"/>
      <c r="W658" s="26"/>
    </row>
    <row r="659" spans="1:23" x14ac:dyDescent="0.35">
      <c r="A659" s="26"/>
      <c r="B659" s="35"/>
      <c r="C659" s="26"/>
      <c r="D659" s="26"/>
      <c r="E659" s="44"/>
      <c r="F659" s="26"/>
      <c r="G659" s="26"/>
      <c r="H659" s="147"/>
      <c r="I659" s="26"/>
      <c r="J659" s="26"/>
      <c r="K659" s="26"/>
      <c r="L659" s="26"/>
      <c r="M659" s="26"/>
      <c r="N659" s="148"/>
      <c r="O659" s="26"/>
      <c r="P659" s="26"/>
      <c r="Q659" s="26"/>
      <c r="R659" s="84"/>
      <c r="S659" s="136"/>
      <c r="T659" s="26"/>
      <c r="U659" s="45"/>
      <c r="V659" s="26"/>
      <c r="W659" s="26"/>
    </row>
    <row r="660" spans="1:23" x14ac:dyDescent="0.35">
      <c r="A660" s="26"/>
      <c r="B660" s="35"/>
      <c r="C660" s="26"/>
      <c r="D660" s="26"/>
      <c r="E660" s="44"/>
      <c r="F660" s="26"/>
      <c r="G660" s="26"/>
      <c r="H660" s="147"/>
      <c r="I660" s="26"/>
      <c r="J660" s="26"/>
      <c r="K660" s="26"/>
      <c r="L660" s="26"/>
      <c r="M660" s="26"/>
      <c r="N660" s="148"/>
      <c r="O660" s="26"/>
      <c r="P660" s="26"/>
      <c r="Q660" s="26"/>
      <c r="R660" s="84"/>
      <c r="S660" s="136"/>
      <c r="T660" s="26"/>
      <c r="U660" s="45"/>
      <c r="V660" s="26"/>
      <c r="W660" s="26"/>
    </row>
    <row r="661" spans="1:23" x14ac:dyDescent="0.35">
      <c r="A661" s="26"/>
      <c r="B661" s="35"/>
      <c r="C661" s="26"/>
      <c r="D661" s="26"/>
      <c r="E661" s="44"/>
      <c r="F661" s="26"/>
      <c r="G661" s="26"/>
      <c r="H661" s="147"/>
      <c r="I661" s="26"/>
      <c r="J661" s="26"/>
      <c r="K661" s="26"/>
      <c r="L661" s="26"/>
      <c r="M661" s="26"/>
      <c r="N661" s="148"/>
      <c r="O661" s="26"/>
      <c r="P661" s="26"/>
      <c r="Q661" s="26"/>
      <c r="R661" s="84"/>
      <c r="S661" s="136"/>
      <c r="T661" s="26"/>
      <c r="U661" s="45"/>
      <c r="V661" s="26"/>
      <c r="W661" s="26"/>
    </row>
    <row r="662" spans="1:23" x14ac:dyDescent="0.35">
      <c r="A662" s="26"/>
      <c r="B662" s="35"/>
      <c r="C662" s="26"/>
      <c r="D662" s="26"/>
      <c r="E662" s="44"/>
      <c r="F662" s="26"/>
      <c r="G662" s="26"/>
      <c r="H662" s="147"/>
      <c r="I662" s="26"/>
      <c r="J662" s="26"/>
      <c r="K662" s="26"/>
      <c r="L662" s="26"/>
      <c r="M662" s="26"/>
      <c r="N662" s="148"/>
      <c r="O662" s="26"/>
      <c r="P662" s="26"/>
      <c r="Q662" s="26"/>
      <c r="R662" s="84"/>
      <c r="S662" s="136"/>
      <c r="T662" s="26"/>
      <c r="U662" s="45"/>
      <c r="V662" s="26"/>
      <c r="W662" s="26"/>
    </row>
    <row r="663" spans="1:23" x14ac:dyDescent="0.35">
      <c r="A663" s="26"/>
      <c r="B663" s="35"/>
      <c r="C663" s="26"/>
      <c r="D663" s="26"/>
      <c r="E663" s="44"/>
      <c r="F663" s="26"/>
      <c r="G663" s="26"/>
      <c r="H663" s="147"/>
      <c r="I663" s="26"/>
      <c r="J663" s="26"/>
      <c r="K663" s="26"/>
      <c r="L663" s="26"/>
      <c r="M663" s="26"/>
      <c r="N663" s="148"/>
      <c r="O663" s="26"/>
      <c r="P663" s="26"/>
      <c r="Q663" s="26"/>
      <c r="R663" s="84"/>
      <c r="S663" s="136"/>
      <c r="T663" s="26"/>
      <c r="U663" s="45"/>
      <c r="V663" s="26"/>
      <c r="W663" s="26"/>
    </row>
    <row r="664" spans="1:23" x14ac:dyDescent="0.35">
      <c r="A664" s="26"/>
      <c r="B664" s="35"/>
      <c r="C664" s="26"/>
      <c r="D664" s="26"/>
      <c r="E664" s="44"/>
      <c r="F664" s="26"/>
      <c r="G664" s="26"/>
      <c r="H664" s="147"/>
      <c r="I664" s="26"/>
      <c r="J664" s="26"/>
      <c r="K664" s="26"/>
      <c r="L664" s="26"/>
      <c r="M664" s="26"/>
      <c r="N664" s="148"/>
      <c r="O664" s="26"/>
      <c r="P664" s="26"/>
      <c r="Q664" s="26"/>
      <c r="R664" s="84"/>
      <c r="S664" s="136"/>
      <c r="T664" s="26"/>
      <c r="U664" s="45"/>
      <c r="V664" s="26"/>
      <c r="W664" s="26"/>
    </row>
    <row r="665" spans="1:23" x14ac:dyDescent="0.35">
      <c r="A665" s="26"/>
      <c r="B665" s="35"/>
      <c r="C665" s="26"/>
      <c r="D665" s="26"/>
      <c r="E665" s="44"/>
      <c r="F665" s="26"/>
      <c r="G665" s="26"/>
      <c r="H665" s="147"/>
      <c r="I665" s="26"/>
      <c r="J665" s="26"/>
      <c r="K665" s="26"/>
      <c r="L665" s="26"/>
      <c r="M665" s="26"/>
      <c r="N665" s="148"/>
      <c r="O665" s="26"/>
      <c r="P665" s="26"/>
      <c r="Q665" s="26"/>
      <c r="R665" s="84"/>
      <c r="S665" s="136"/>
      <c r="T665" s="26"/>
      <c r="U665" s="45"/>
      <c r="V665" s="26"/>
      <c r="W665" s="26"/>
    </row>
    <row r="666" spans="1:23" x14ac:dyDescent="0.35">
      <c r="A666" s="26"/>
      <c r="B666" s="35"/>
      <c r="C666" s="26"/>
      <c r="D666" s="26"/>
      <c r="E666" s="44"/>
      <c r="F666" s="26"/>
      <c r="G666" s="26"/>
      <c r="H666" s="147"/>
      <c r="I666" s="26"/>
      <c r="J666" s="26"/>
      <c r="K666" s="26"/>
      <c r="L666" s="26"/>
      <c r="M666" s="26"/>
      <c r="N666" s="148"/>
      <c r="O666" s="26"/>
      <c r="P666" s="26"/>
      <c r="Q666" s="26"/>
      <c r="R666" s="84"/>
      <c r="S666" s="136"/>
      <c r="T666" s="26"/>
      <c r="U666" s="45"/>
      <c r="V666" s="26"/>
      <c r="W666" s="26"/>
    </row>
    <row r="667" spans="1:23" x14ac:dyDescent="0.35">
      <c r="A667" s="26"/>
      <c r="B667" s="35"/>
      <c r="C667" s="26"/>
      <c r="D667" s="26"/>
      <c r="E667" s="44"/>
      <c r="F667" s="26"/>
      <c r="G667" s="26"/>
      <c r="H667" s="147"/>
      <c r="I667" s="26"/>
      <c r="J667" s="26"/>
      <c r="K667" s="26"/>
      <c r="L667" s="26"/>
      <c r="M667" s="26"/>
      <c r="N667" s="148"/>
      <c r="O667" s="26"/>
      <c r="P667" s="26"/>
      <c r="Q667" s="26"/>
      <c r="R667" s="84"/>
      <c r="S667" s="136"/>
      <c r="T667" s="26"/>
      <c r="U667" s="45"/>
      <c r="V667" s="26"/>
      <c r="W667" s="26"/>
    </row>
    <row r="668" spans="1:23" x14ac:dyDescent="0.35">
      <c r="A668" s="26"/>
      <c r="B668" s="35"/>
      <c r="C668" s="26"/>
      <c r="D668" s="26"/>
      <c r="E668" s="44"/>
      <c r="F668" s="26"/>
      <c r="G668" s="26"/>
      <c r="H668" s="147"/>
      <c r="I668" s="26"/>
      <c r="J668" s="26"/>
      <c r="K668" s="26"/>
      <c r="L668" s="26"/>
      <c r="M668" s="26"/>
      <c r="N668" s="148"/>
      <c r="O668" s="26"/>
      <c r="P668" s="26"/>
      <c r="Q668" s="26"/>
      <c r="R668" s="84"/>
      <c r="S668" s="136"/>
      <c r="T668" s="26"/>
      <c r="U668" s="45"/>
      <c r="V668" s="26"/>
      <c r="W668" s="26"/>
    </row>
    <row r="669" spans="1:23" x14ac:dyDescent="0.35">
      <c r="A669" s="26"/>
      <c r="B669" s="35"/>
      <c r="C669" s="26"/>
      <c r="D669" s="26"/>
      <c r="E669" s="44"/>
      <c r="F669" s="26"/>
      <c r="G669" s="26"/>
      <c r="H669" s="147"/>
      <c r="I669" s="26"/>
      <c r="J669" s="26"/>
      <c r="K669" s="26"/>
      <c r="L669" s="26"/>
      <c r="M669" s="26"/>
      <c r="N669" s="148"/>
      <c r="O669" s="26"/>
      <c r="P669" s="26"/>
      <c r="Q669" s="26"/>
      <c r="R669" s="84"/>
      <c r="S669" s="136"/>
      <c r="T669" s="26"/>
      <c r="U669" s="45"/>
      <c r="V669" s="26"/>
      <c r="W669" s="26"/>
    </row>
    <row r="670" spans="1:23" x14ac:dyDescent="0.35">
      <c r="A670" s="26"/>
      <c r="B670" s="35"/>
      <c r="C670" s="26"/>
      <c r="D670" s="26"/>
      <c r="E670" s="44"/>
      <c r="F670" s="26"/>
      <c r="G670" s="26"/>
      <c r="H670" s="147"/>
      <c r="I670" s="26"/>
      <c r="J670" s="26"/>
      <c r="K670" s="26"/>
      <c r="L670" s="26"/>
      <c r="M670" s="26"/>
      <c r="N670" s="148"/>
      <c r="O670" s="26"/>
      <c r="P670" s="26"/>
      <c r="Q670" s="26"/>
      <c r="R670" s="84"/>
      <c r="S670" s="136"/>
      <c r="T670" s="26"/>
      <c r="U670" s="45"/>
      <c r="V670" s="26"/>
      <c r="W670" s="26"/>
    </row>
    <row r="671" spans="1:23" x14ac:dyDescent="0.35">
      <c r="A671" s="26"/>
      <c r="B671" s="35"/>
      <c r="C671" s="26"/>
      <c r="D671" s="26"/>
      <c r="E671" s="44"/>
      <c r="F671" s="26"/>
      <c r="G671" s="26"/>
      <c r="H671" s="147"/>
      <c r="I671" s="26"/>
      <c r="J671" s="26"/>
      <c r="K671" s="26"/>
      <c r="L671" s="26"/>
      <c r="M671" s="26"/>
      <c r="N671" s="148"/>
      <c r="O671" s="26"/>
      <c r="P671" s="26"/>
      <c r="Q671" s="26"/>
      <c r="R671" s="84"/>
      <c r="S671" s="136"/>
      <c r="T671" s="26"/>
      <c r="U671" s="45"/>
      <c r="V671" s="26"/>
      <c r="W671" s="26"/>
    </row>
    <row r="672" spans="1:23" x14ac:dyDescent="0.35">
      <c r="A672" s="26"/>
      <c r="B672" s="35"/>
      <c r="C672" s="26"/>
      <c r="D672" s="26"/>
      <c r="E672" s="44"/>
      <c r="F672" s="26"/>
      <c r="G672" s="26"/>
      <c r="H672" s="147"/>
      <c r="I672" s="26"/>
      <c r="J672" s="26"/>
      <c r="K672" s="26"/>
      <c r="L672" s="26"/>
      <c r="M672" s="26"/>
      <c r="N672" s="148"/>
      <c r="O672" s="26"/>
      <c r="P672" s="26"/>
      <c r="Q672" s="26"/>
      <c r="R672" s="84"/>
      <c r="S672" s="136"/>
      <c r="T672" s="26"/>
      <c r="U672" s="45"/>
      <c r="V672" s="26"/>
      <c r="W672" s="26"/>
    </row>
    <row r="673" spans="1:23" x14ac:dyDescent="0.35">
      <c r="A673" s="26"/>
      <c r="B673" s="35"/>
      <c r="C673" s="26"/>
      <c r="D673" s="26"/>
      <c r="E673" s="44"/>
      <c r="F673" s="26"/>
      <c r="G673" s="26"/>
      <c r="H673" s="147"/>
      <c r="I673" s="26"/>
      <c r="J673" s="26"/>
      <c r="K673" s="26"/>
      <c r="L673" s="26"/>
      <c r="M673" s="26"/>
      <c r="N673" s="148"/>
      <c r="O673" s="26"/>
      <c r="P673" s="26"/>
      <c r="Q673" s="26"/>
      <c r="R673" s="84"/>
      <c r="S673" s="136"/>
      <c r="T673" s="26"/>
      <c r="U673" s="45"/>
      <c r="V673" s="26"/>
      <c r="W673" s="26"/>
    </row>
    <row r="674" spans="1:23" x14ac:dyDescent="0.35">
      <c r="A674" s="26"/>
      <c r="B674" s="35"/>
      <c r="C674" s="26"/>
      <c r="D674" s="26"/>
      <c r="E674" s="44"/>
      <c r="F674" s="26"/>
      <c r="G674" s="26"/>
      <c r="H674" s="147"/>
      <c r="I674" s="26"/>
      <c r="J674" s="26"/>
      <c r="K674" s="26"/>
      <c r="L674" s="26"/>
      <c r="M674" s="26"/>
      <c r="N674" s="148"/>
      <c r="O674" s="26"/>
      <c r="P674" s="26"/>
      <c r="Q674" s="26"/>
      <c r="R674" s="84"/>
      <c r="S674" s="136"/>
      <c r="T674" s="26"/>
      <c r="U674" s="45"/>
      <c r="V674" s="26"/>
      <c r="W674" s="26"/>
    </row>
    <row r="675" spans="1:23" x14ac:dyDescent="0.35">
      <c r="A675" s="26"/>
      <c r="B675" s="35"/>
      <c r="C675" s="26"/>
      <c r="D675" s="26"/>
      <c r="E675" s="44"/>
      <c r="F675" s="26"/>
      <c r="G675" s="26"/>
      <c r="H675" s="147"/>
      <c r="I675" s="26"/>
      <c r="J675" s="26"/>
      <c r="K675" s="26"/>
      <c r="L675" s="26"/>
      <c r="M675" s="26"/>
      <c r="N675" s="148"/>
      <c r="O675" s="26"/>
      <c r="P675" s="26"/>
      <c r="Q675" s="26"/>
      <c r="R675" s="84"/>
      <c r="S675" s="136"/>
      <c r="T675" s="26"/>
      <c r="U675" s="45"/>
      <c r="V675" s="26"/>
      <c r="W675" s="26"/>
    </row>
    <row r="676" spans="1:23" x14ac:dyDescent="0.35">
      <c r="A676" s="26"/>
      <c r="B676" s="35"/>
      <c r="C676" s="26"/>
      <c r="D676" s="26"/>
      <c r="E676" s="44"/>
      <c r="F676" s="26"/>
      <c r="G676" s="26"/>
      <c r="H676" s="147"/>
      <c r="I676" s="26"/>
      <c r="J676" s="26"/>
      <c r="K676" s="26"/>
      <c r="L676" s="26"/>
      <c r="M676" s="26"/>
      <c r="N676" s="148"/>
      <c r="O676" s="26"/>
      <c r="P676" s="26"/>
      <c r="Q676" s="26"/>
      <c r="R676" s="84"/>
      <c r="S676" s="136"/>
      <c r="T676" s="26"/>
      <c r="U676" s="45"/>
      <c r="V676" s="26"/>
      <c r="W676" s="26"/>
    </row>
    <row r="677" spans="1:23" x14ac:dyDescent="0.35">
      <c r="A677" s="26"/>
      <c r="B677" s="35"/>
      <c r="C677" s="26"/>
      <c r="D677" s="26"/>
      <c r="E677" s="44"/>
      <c r="F677" s="26"/>
      <c r="G677" s="26"/>
      <c r="H677" s="147"/>
      <c r="I677" s="26"/>
      <c r="J677" s="26"/>
      <c r="K677" s="26"/>
      <c r="L677" s="26"/>
      <c r="M677" s="26"/>
      <c r="N677" s="148"/>
      <c r="O677" s="26"/>
      <c r="P677" s="26"/>
      <c r="Q677" s="26"/>
      <c r="R677" s="84"/>
      <c r="S677" s="136"/>
      <c r="T677" s="26"/>
      <c r="U677" s="45"/>
      <c r="V677" s="26"/>
      <c r="W677" s="26"/>
    </row>
    <row r="678" spans="1:23" x14ac:dyDescent="0.35">
      <c r="A678" s="26"/>
      <c r="B678" s="35"/>
      <c r="C678" s="26"/>
      <c r="D678" s="26"/>
      <c r="E678" s="44"/>
      <c r="F678" s="26"/>
      <c r="G678" s="26"/>
      <c r="H678" s="147"/>
      <c r="I678" s="26"/>
      <c r="J678" s="26"/>
      <c r="K678" s="26"/>
      <c r="L678" s="26"/>
      <c r="M678" s="26"/>
      <c r="N678" s="148"/>
      <c r="O678" s="26"/>
      <c r="P678" s="26"/>
      <c r="Q678" s="26"/>
      <c r="R678" s="84"/>
      <c r="S678" s="136"/>
      <c r="T678" s="26"/>
      <c r="U678" s="45"/>
      <c r="V678" s="26"/>
      <c r="W678" s="26"/>
    </row>
    <row r="679" spans="1:23" x14ac:dyDescent="0.35">
      <c r="A679" s="26"/>
      <c r="B679" s="35"/>
      <c r="C679" s="26"/>
      <c r="D679" s="26"/>
      <c r="E679" s="44"/>
      <c r="F679" s="26"/>
      <c r="G679" s="26"/>
      <c r="H679" s="147"/>
      <c r="I679" s="26"/>
      <c r="J679" s="26"/>
      <c r="K679" s="26"/>
      <c r="L679" s="26"/>
      <c r="M679" s="26"/>
      <c r="N679" s="148"/>
      <c r="O679" s="26"/>
      <c r="P679" s="26"/>
      <c r="Q679" s="26"/>
      <c r="R679" s="84"/>
      <c r="S679" s="136"/>
      <c r="T679" s="26"/>
      <c r="U679" s="45"/>
      <c r="V679" s="26"/>
      <c r="W679" s="26"/>
    </row>
    <row r="680" spans="1:23" x14ac:dyDescent="0.35">
      <c r="A680" s="26"/>
      <c r="B680" s="35"/>
      <c r="C680" s="26"/>
      <c r="D680" s="26"/>
      <c r="E680" s="44"/>
      <c r="F680" s="26"/>
      <c r="G680" s="26"/>
      <c r="H680" s="147"/>
      <c r="I680" s="26"/>
      <c r="J680" s="26"/>
      <c r="K680" s="26"/>
      <c r="L680" s="26"/>
      <c r="M680" s="26"/>
      <c r="N680" s="148"/>
      <c r="O680" s="26"/>
      <c r="P680" s="26"/>
      <c r="Q680" s="26"/>
      <c r="R680" s="84"/>
      <c r="S680" s="136"/>
      <c r="T680" s="26"/>
      <c r="U680" s="45"/>
      <c r="V680" s="26"/>
      <c r="W680" s="26"/>
    </row>
    <row r="681" spans="1:23" x14ac:dyDescent="0.35">
      <c r="A681" s="26"/>
      <c r="B681" s="35"/>
      <c r="C681" s="26"/>
      <c r="D681" s="26"/>
      <c r="E681" s="44"/>
      <c r="F681" s="26"/>
      <c r="G681" s="26"/>
      <c r="H681" s="147"/>
      <c r="I681" s="26"/>
      <c r="J681" s="26"/>
      <c r="K681" s="26"/>
      <c r="L681" s="26"/>
      <c r="M681" s="26"/>
      <c r="N681" s="148"/>
      <c r="O681" s="26"/>
      <c r="P681" s="26"/>
      <c r="Q681" s="26"/>
      <c r="R681" s="84"/>
      <c r="S681" s="136"/>
      <c r="T681" s="26"/>
      <c r="U681" s="45"/>
      <c r="V681" s="26"/>
      <c r="W681" s="26"/>
    </row>
    <row r="682" spans="1:23" x14ac:dyDescent="0.35">
      <c r="A682" s="26"/>
      <c r="B682" s="35"/>
      <c r="C682" s="26"/>
      <c r="D682" s="26"/>
      <c r="E682" s="44"/>
      <c r="F682" s="26"/>
      <c r="G682" s="26"/>
      <c r="H682" s="147"/>
      <c r="I682" s="26"/>
      <c r="J682" s="26"/>
      <c r="K682" s="26"/>
      <c r="L682" s="26"/>
      <c r="M682" s="26"/>
      <c r="N682" s="148"/>
      <c r="O682" s="26"/>
      <c r="P682" s="26"/>
      <c r="Q682" s="26"/>
      <c r="R682" s="84"/>
      <c r="S682" s="136"/>
      <c r="T682" s="26"/>
      <c r="U682" s="45"/>
      <c r="V682" s="26"/>
      <c r="W682" s="26"/>
    </row>
    <row r="683" spans="1:23" x14ac:dyDescent="0.35">
      <c r="A683" s="26"/>
      <c r="B683" s="35"/>
      <c r="C683" s="26"/>
      <c r="D683" s="26"/>
      <c r="E683" s="44"/>
      <c r="F683" s="26"/>
      <c r="G683" s="26"/>
      <c r="H683" s="147"/>
      <c r="I683" s="26"/>
      <c r="J683" s="26"/>
      <c r="K683" s="26"/>
      <c r="L683" s="26"/>
      <c r="M683" s="26"/>
      <c r="N683" s="148"/>
      <c r="O683" s="26"/>
      <c r="P683" s="26"/>
      <c r="Q683" s="26"/>
      <c r="R683" s="84"/>
      <c r="S683" s="136"/>
      <c r="T683" s="26"/>
      <c r="U683" s="45"/>
      <c r="V683" s="26"/>
      <c r="W683" s="26"/>
    </row>
    <row r="684" spans="1:23" x14ac:dyDescent="0.35">
      <c r="A684" s="26"/>
      <c r="B684" s="35"/>
      <c r="C684" s="26"/>
      <c r="D684" s="26"/>
      <c r="E684" s="44"/>
      <c r="F684" s="26"/>
      <c r="G684" s="26"/>
      <c r="H684" s="147"/>
      <c r="I684" s="26"/>
      <c r="J684" s="26"/>
      <c r="K684" s="26"/>
      <c r="L684" s="26"/>
      <c r="M684" s="26"/>
      <c r="N684" s="148"/>
      <c r="O684" s="26"/>
      <c r="P684" s="26"/>
      <c r="Q684" s="26"/>
      <c r="R684" s="84"/>
      <c r="S684" s="136"/>
      <c r="T684" s="26"/>
      <c r="U684" s="45"/>
      <c r="V684" s="26"/>
      <c r="W684" s="26"/>
    </row>
    <row r="685" spans="1:23" x14ac:dyDescent="0.35">
      <c r="A685" s="26"/>
      <c r="B685" s="35"/>
      <c r="C685" s="26"/>
      <c r="D685" s="26"/>
      <c r="E685" s="44"/>
      <c r="F685" s="26"/>
      <c r="G685" s="26"/>
      <c r="H685" s="147"/>
      <c r="I685" s="26"/>
      <c r="J685" s="26"/>
      <c r="K685" s="26"/>
      <c r="L685" s="26"/>
      <c r="M685" s="26"/>
      <c r="N685" s="148"/>
      <c r="O685" s="26"/>
      <c r="P685" s="26"/>
      <c r="Q685" s="26"/>
      <c r="R685" s="84"/>
      <c r="S685" s="136"/>
      <c r="T685" s="26"/>
      <c r="U685" s="45"/>
      <c r="V685" s="26"/>
      <c r="W685" s="26"/>
    </row>
    <row r="686" spans="1:23" x14ac:dyDescent="0.35">
      <c r="A686" s="26"/>
      <c r="B686" s="35"/>
      <c r="C686" s="26"/>
      <c r="D686" s="26"/>
      <c r="E686" s="44"/>
      <c r="F686" s="26"/>
      <c r="G686" s="26"/>
      <c r="H686" s="147"/>
      <c r="I686" s="26"/>
      <c r="J686" s="26"/>
      <c r="K686" s="26"/>
      <c r="L686" s="26"/>
      <c r="M686" s="26"/>
      <c r="N686" s="148"/>
      <c r="O686" s="26"/>
      <c r="P686" s="26"/>
      <c r="Q686" s="26"/>
      <c r="R686" s="84"/>
      <c r="S686" s="136"/>
      <c r="T686" s="26"/>
      <c r="U686" s="45"/>
      <c r="V686" s="26"/>
      <c r="W686" s="26"/>
    </row>
    <row r="687" spans="1:23" x14ac:dyDescent="0.35">
      <c r="A687" s="26"/>
      <c r="B687" s="35"/>
      <c r="C687" s="26"/>
      <c r="D687" s="26"/>
      <c r="E687" s="44"/>
      <c r="F687" s="26"/>
      <c r="G687" s="26"/>
      <c r="H687" s="147"/>
      <c r="I687" s="26"/>
      <c r="J687" s="26"/>
      <c r="K687" s="26"/>
      <c r="L687" s="26"/>
      <c r="M687" s="26"/>
      <c r="N687" s="148"/>
      <c r="O687" s="26"/>
      <c r="P687" s="26"/>
      <c r="Q687" s="26"/>
      <c r="R687" s="84"/>
      <c r="S687" s="136"/>
      <c r="T687" s="26"/>
      <c r="U687" s="45"/>
      <c r="V687" s="26"/>
      <c r="W687" s="26"/>
    </row>
    <row r="688" spans="1:23" x14ac:dyDescent="0.35">
      <c r="A688" s="26"/>
      <c r="B688" s="35"/>
      <c r="C688" s="26"/>
      <c r="D688" s="26"/>
      <c r="E688" s="44"/>
      <c r="F688" s="26"/>
      <c r="G688" s="26"/>
      <c r="H688" s="147"/>
      <c r="I688" s="26"/>
      <c r="J688" s="26"/>
      <c r="K688" s="26"/>
      <c r="L688" s="26"/>
      <c r="M688" s="26"/>
      <c r="N688" s="148"/>
      <c r="O688" s="26"/>
      <c r="P688" s="26"/>
      <c r="Q688" s="26"/>
      <c r="R688" s="84"/>
      <c r="S688" s="136"/>
      <c r="T688" s="26"/>
      <c r="U688" s="45"/>
      <c r="V688" s="26"/>
      <c r="W688" s="26"/>
    </row>
    <row r="689" spans="1:23" x14ac:dyDescent="0.35">
      <c r="A689" s="26"/>
      <c r="B689" s="35"/>
      <c r="C689" s="26"/>
      <c r="D689" s="26"/>
      <c r="E689" s="44"/>
      <c r="F689" s="26"/>
      <c r="G689" s="26"/>
      <c r="H689" s="147"/>
      <c r="I689" s="26"/>
      <c r="J689" s="26"/>
      <c r="K689" s="26"/>
      <c r="L689" s="26"/>
      <c r="M689" s="26"/>
      <c r="N689" s="148"/>
      <c r="O689" s="26"/>
      <c r="P689" s="26"/>
      <c r="Q689" s="26"/>
      <c r="R689" s="84"/>
      <c r="S689" s="136"/>
      <c r="T689" s="26"/>
      <c r="U689" s="45"/>
      <c r="V689" s="26"/>
      <c r="W689" s="26"/>
    </row>
    <row r="690" spans="1:23" x14ac:dyDescent="0.35">
      <c r="A690" s="26"/>
      <c r="B690" s="35"/>
      <c r="C690" s="26"/>
      <c r="D690" s="26"/>
      <c r="E690" s="44"/>
      <c r="F690" s="26"/>
      <c r="G690" s="26"/>
      <c r="H690" s="147"/>
      <c r="I690" s="26"/>
      <c r="J690" s="26"/>
      <c r="K690" s="26"/>
      <c r="L690" s="26"/>
      <c r="M690" s="26"/>
      <c r="N690" s="148"/>
      <c r="O690" s="26"/>
      <c r="P690" s="26"/>
      <c r="Q690" s="26"/>
      <c r="R690" s="84"/>
      <c r="S690" s="136"/>
      <c r="T690" s="26"/>
      <c r="U690" s="45"/>
      <c r="V690" s="26"/>
      <c r="W690" s="26"/>
    </row>
    <row r="691" spans="1:23" x14ac:dyDescent="0.35">
      <c r="A691" s="26"/>
      <c r="B691" s="35"/>
      <c r="C691" s="26"/>
      <c r="D691" s="26"/>
      <c r="E691" s="44"/>
      <c r="F691" s="26"/>
      <c r="G691" s="26"/>
      <c r="H691" s="147"/>
      <c r="I691" s="26"/>
      <c r="J691" s="26"/>
      <c r="K691" s="26"/>
      <c r="L691" s="26"/>
      <c r="M691" s="26"/>
      <c r="N691" s="148"/>
      <c r="O691" s="26"/>
      <c r="P691" s="26"/>
      <c r="Q691" s="26"/>
      <c r="R691" s="84"/>
      <c r="S691" s="136"/>
      <c r="T691" s="26"/>
      <c r="U691" s="45"/>
      <c r="V691" s="26"/>
      <c r="W691" s="26"/>
    </row>
    <row r="692" spans="1:23" x14ac:dyDescent="0.35">
      <c r="A692" s="26"/>
      <c r="B692" s="35"/>
      <c r="C692" s="26"/>
      <c r="D692" s="26"/>
      <c r="E692" s="44"/>
      <c r="F692" s="26"/>
      <c r="G692" s="26"/>
      <c r="H692" s="147"/>
      <c r="I692" s="26"/>
      <c r="J692" s="26"/>
      <c r="K692" s="26"/>
      <c r="L692" s="26"/>
      <c r="M692" s="26"/>
      <c r="N692" s="148"/>
      <c r="O692" s="26"/>
      <c r="P692" s="26"/>
      <c r="Q692" s="26"/>
      <c r="R692" s="84"/>
      <c r="S692" s="136"/>
      <c r="T692" s="26"/>
      <c r="U692" s="45"/>
      <c r="V692" s="26"/>
      <c r="W692" s="26"/>
    </row>
    <row r="693" spans="1:23" x14ac:dyDescent="0.35">
      <c r="A693" s="26"/>
      <c r="B693" s="35"/>
      <c r="C693" s="26"/>
      <c r="D693" s="26"/>
      <c r="E693" s="44"/>
      <c r="F693" s="26"/>
      <c r="G693" s="26"/>
      <c r="H693" s="147"/>
      <c r="I693" s="26"/>
      <c r="J693" s="26"/>
      <c r="K693" s="26"/>
      <c r="L693" s="26"/>
      <c r="M693" s="26"/>
      <c r="N693" s="148"/>
      <c r="O693" s="26"/>
      <c r="P693" s="26"/>
      <c r="Q693" s="26"/>
      <c r="R693" s="84"/>
      <c r="S693" s="136"/>
      <c r="T693" s="26"/>
      <c r="U693" s="45"/>
      <c r="V693" s="26"/>
      <c r="W693" s="26"/>
    </row>
    <row r="694" spans="1:23" x14ac:dyDescent="0.35">
      <c r="A694" s="26"/>
      <c r="B694" s="35"/>
      <c r="C694" s="26"/>
      <c r="D694" s="26"/>
      <c r="E694" s="44"/>
      <c r="F694" s="26"/>
      <c r="G694" s="26"/>
      <c r="H694" s="147"/>
      <c r="I694" s="26"/>
      <c r="J694" s="26"/>
      <c r="K694" s="26"/>
      <c r="L694" s="26"/>
      <c r="M694" s="26"/>
      <c r="N694" s="148"/>
      <c r="O694" s="26"/>
      <c r="P694" s="26"/>
      <c r="Q694" s="26"/>
      <c r="R694" s="84"/>
      <c r="S694" s="136"/>
      <c r="T694" s="26"/>
      <c r="U694" s="45"/>
      <c r="V694" s="26"/>
      <c r="W694" s="26"/>
    </row>
    <row r="695" spans="1:23" x14ac:dyDescent="0.35">
      <c r="A695" s="26"/>
      <c r="B695" s="35"/>
      <c r="C695" s="26"/>
      <c r="D695" s="26"/>
      <c r="E695" s="44"/>
      <c r="F695" s="26"/>
      <c r="G695" s="26"/>
      <c r="H695" s="147"/>
      <c r="I695" s="26"/>
      <c r="J695" s="26"/>
      <c r="K695" s="26"/>
      <c r="L695" s="26"/>
      <c r="M695" s="26"/>
      <c r="N695" s="148"/>
      <c r="O695" s="26"/>
      <c r="P695" s="26"/>
      <c r="Q695" s="26"/>
      <c r="R695" s="84"/>
      <c r="S695" s="136"/>
      <c r="T695" s="26"/>
      <c r="U695" s="45"/>
      <c r="V695" s="26"/>
      <c r="W695" s="26"/>
    </row>
    <row r="696" spans="1:23" x14ac:dyDescent="0.35">
      <c r="A696" s="26"/>
      <c r="B696" s="35"/>
      <c r="C696" s="26"/>
      <c r="D696" s="26"/>
      <c r="E696" s="44"/>
      <c r="F696" s="26"/>
      <c r="G696" s="26"/>
      <c r="H696" s="147"/>
      <c r="I696" s="26"/>
      <c r="J696" s="26"/>
      <c r="K696" s="26"/>
      <c r="L696" s="26"/>
      <c r="M696" s="26"/>
      <c r="N696" s="148"/>
      <c r="O696" s="26"/>
      <c r="P696" s="26"/>
      <c r="Q696" s="26"/>
      <c r="R696" s="84"/>
      <c r="S696" s="136"/>
      <c r="T696" s="26"/>
      <c r="U696" s="45"/>
      <c r="V696" s="26"/>
      <c r="W696" s="26"/>
    </row>
    <row r="697" spans="1:23" x14ac:dyDescent="0.35">
      <c r="A697" s="26"/>
      <c r="B697" s="35"/>
      <c r="C697" s="26"/>
      <c r="D697" s="26"/>
      <c r="E697" s="44"/>
      <c r="F697" s="26"/>
      <c r="G697" s="26"/>
      <c r="H697" s="147"/>
      <c r="I697" s="26"/>
      <c r="J697" s="26"/>
      <c r="K697" s="26"/>
      <c r="L697" s="26"/>
      <c r="M697" s="26"/>
      <c r="N697" s="148"/>
      <c r="O697" s="26"/>
      <c r="P697" s="26"/>
      <c r="Q697" s="26"/>
      <c r="R697" s="84"/>
      <c r="S697" s="136"/>
      <c r="T697" s="26"/>
      <c r="U697" s="45"/>
      <c r="V697" s="26"/>
      <c r="W697" s="26"/>
    </row>
    <row r="698" spans="1:23" x14ac:dyDescent="0.35">
      <c r="A698" s="26"/>
      <c r="B698" s="35"/>
      <c r="C698" s="26"/>
      <c r="D698" s="26"/>
      <c r="E698" s="44"/>
      <c r="F698" s="26"/>
      <c r="G698" s="26"/>
      <c r="H698" s="147"/>
      <c r="I698" s="26"/>
      <c r="J698" s="26"/>
      <c r="K698" s="26"/>
      <c r="L698" s="26"/>
      <c r="M698" s="26"/>
      <c r="N698" s="148"/>
      <c r="O698" s="26"/>
      <c r="P698" s="26"/>
      <c r="Q698" s="26"/>
      <c r="R698" s="84"/>
      <c r="S698" s="136"/>
      <c r="T698" s="26"/>
      <c r="U698" s="45"/>
      <c r="V698" s="26"/>
      <c r="W698" s="26"/>
    </row>
    <row r="699" spans="1:23" x14ac:dyDescent="0.35">
      <c r="A699" s="26"/>
      <c r="B699" s="35"/>
      <c r="C699" s="26"/>
      <c r="D699" s="26"/>
      <c r="E699" s="44"/>
      <c r="F699" s="26"/>
      <c r="G699" s="26"/>
      <c r="H699" s="147"/>
      <c r="I699" s="26"/>
      <c r="J699" s="26"/>
      <c r="K699" s="26"/>
      <c r="L699" s="26"/>
      <c r="M699" s="26"/>
      <c r="N699" s="148"/>
      <c r="O699" s="26"/>
      <c r="P699" s="26"/>
      <c r="Q699" s="26"/>
      <c r="R699" s="84"/>
      <c r="S699" s="136"/>
      <c r="T699" s="26"/>
      <c r="U699" s="45"/>
      <c r="V699" s="26"/>
      <c r="W699" s="26"/>
    </row>
    <row r="700" spans="1:23" x14ac:dyDescent="0.35">
      <c r="A700" s="26"/>
      <c r="B700" s="35"/>
      <c r="C700" s="26"/>
      <c r="D700" s="26"/>
      <c r="E700" s="44"/>
      <c r="F700" s="26"/>
      <c r="G700" s="26"/>
      <c r="H700" s="147"/>
      <c r="I700" s="26"/>
      <c r="J700" s="26"/>
      <c r="K700" s="26"/>
      <c r="L700" s="26"/>
      <c r="M700" s="26"/>
      <c r="N700" s="148"/>
      <c r="O700" s="26"/>
      <c r="P700" s="26"/>
      <c r="Q700" s="26"/>
      <c r="R700" s="84"/>
      <c r="S700" s="136"/>
      <c r="T700" s="26"/>
      <c r="U700" s="45"/>
      <c r="V700" s="26"/>
      <c r="W700" s="26"/>
    </row>
    <row r="701" spans="1:23" x14ac:dyDescent="0.35">
      <c r="A701" s="26"/>
      <c r="B701" s="35"/>
      <c r="C701" s="26"/>
      <c r="D701" s="26"/>
      <c r="E701" s="44"/>
      <c r="F701" s="26"/>
      <c r="G701" s="26"/>
      <c r="H701" s="147"/>
      <c r="I701" s="26"/>
      <c r="J701" s="26"/>
      <c r="K701" s="26"/>
      <c r="L701" s="26"/>
      <c r="M701" s="26"/>
      <c r="N701" s="148"/>
      <c r="O701" s="26"/>
      <c r="P701" s="26"/>
      <c r="Q701" s="26"/>
      <c r="R701" s="84"/>
      <c r="S701" s="136"/>
      <c r="T701" s="26"/>
      <c r="U701" s="45"/>
      <c r="V701" s="26"/>
      <c r="W701" s="26"/>
    </row>
    <row r="702" spans="1:23" x14ac:dyDescent="0.35">
      <c r="A702" s="26"/>
      <c r="B702" s="35"/>
      <c r="C702" s="26"/>
      <c r="D702" s="26"/>
      <c r="E702" s="44"/>
      <c r="F702" s="26"/>
      <c r="G702" s="26"/>
      <c r="H702" s="147"/>
      <c r="I702" s="26"/>
      <c r="J702" s="26"/>
      <c r="K702" s="26"/>
      <c r="L702" s="26"/>
      <c r="M702" s="26"/>
      <c r="N702" s="148"/>
      <c r="O702" s="26"/>
      <c r="P702" s="26"/>
      <c r="Q702" s="26"/>
      <c r="R702" s="84"/>
      <c r="S702" s="136"/>
      <c r="T702" s="26"/>
      <c r="U702" s="45"/>
      <c r="V702" s="26"/>
      <c r="W702" s="26"/>
    </row>
    <row r="703" spans="1:23" x14ac:dyDescent="0.35">
      <c r="A703" s="26"/>
      <c r="B703" s="35"/>
      <c r="C703" s="26"/>
      <c r="D703" s="26"/>
      <c r="E703" s="44"/>
      <c r="F703" s="26"/>
      <c r="G703" s="26"/>
      <c r="H703" s="147"/>
      <c r="I703" s="26"/>
      <c r="J703" s="26"/>
      <c r="K703" s="26"/>
      <c r="L703" s="26"/>
      <c r="M703" s="26"/>
      <c r="N703" s="148"/>
      <c r="O703" s="26"/>
      <c r="P703" s="26"/>
      <c r="Q703" s="26"/>
      <c r="R703" s="84"/>
      <c r="S703" s="136"/>
      <c r="T703" s="26"/>
      <c r="U703" s="45"/>
      <c r="V703" s="26"/>
      <c r="W703" s="26"/>
    </row>
    <row r="704" spans="1:23" x14ac:dyDescent="0.35">
      <c r="A704" s="26"/>
      <c r="B704" s="35"/>
      <c r="C704" s="26"/>
      <c r="D704" s="26"/>
      <c r="E704" s="44"/>
      <c r="F704" s="26"/>
      <c r="G704" s="26"/>
      <c r="H704" s="147"/>
      <c r="I704" s="26"/>
      <c r="J704" s="26"/>
      <c r="K704" s="26"/>
      <c r="L704" s="26"/>
      <c r="M704" s="26"/>
      <c r="N704" s="148"/>
      <c r="O704" s="26"/>
      <c r="P704" s="26"/>
      <c r="Q704" s="26"/>
      <c r="R704" s="84"/>
      <c r="S704" s="136"/>
      <c r="T704" s="26"/>
      <c r="U704" s="45"/>
      <c r="V704" s="26"/>
      <c r="W704" s="26"/>
    </row>
    <row r="705" spans="1:23" x14ac:dyDescent="0.35">
      <c r="A705" s="26"/>
      <c r="B705" s="35"/>
      <c r="C705" s="26"/>
      <c r="D705" s="26"/>
      <c r="E705" s="44"/>
      <c r="F705" s="26"/>
      <c r="G705" s="26"/>
      <c r="H705" s="147"/>
      <c r="I705" s="26"/>
      <c r="J705" s="26"/>
      <c r="K705" s="26"/>
      <c r="L705" s="26"/>
      <c r="M705" s="26"/>
      <c r="N705" s="148"/>
      <c r="O705" s="26"/>
      <c r="P705" s="26"/>
      <c r="Q705" s="26"/>
      <c r="R705" s="84"/>
      <c r="S705" s="136"/>
      <c r="T705" s="26"/>
      <c r="U705" s="45"/>
      <c r="V705" s="26"/>
      <c r="W705" s="26"/>
    </row>
    <row r="706" spans="1:23" x14ac:dyDescent="0.35">
      <c r="A706" s="26"/>
      <c r="B706" s="35"/>
      <c r="C706" s="26"/>
      <c r="D706" s="26"/>
      <c r="E706" s="44"/>
      <c r="F706" s="26"/>
      <c r="G706" s="26"/>
      <c r="H706" s="147"/>
      <c r="I706" s="26"/>
      <c r="J706" s="26"/>
      <c r="K706" s="26"/>
      <c r="L706" s="26"/>
      <c r="M706" s="26"/>
      <c r="N706" s="148"/>
      <c r="O706" s="26"/>
      <c r="P706" s="26"/>
      <c r="Q706" s="26"/>
      <c r="R706" s="84"/>
      <c r="S706" s="136"/>
      <c r="T706" s="26"/>
      <c r="U706" s="45"/>
      <c r="V706" s="26"/>
      <c r="W706" s="26"/>
    </row>
    <row r="707" spans="1:23" x14ac:dyDescent="0.35">
      <c r="A707" s="26"/>
      <c r="B707" s="35"/>
      <c r="C707" s="26"/>
      <c r="D707" s="26"/>
      <c r="E707" s="44"/>
      <c r="F707" s="26"/>
      <c r="G707" s="26"/>
      <c r="H707" s="147"/>
      <c r="I707" s="26"/>
      <c r="J707" s="26"/>
      <c r="K707" s="26"/>
      <c r="L707" s="26"/>
      <c r="M707" s="26"/>
      <c r="N707" s="148"/>
      <c r="O707" s="26"/>
      <c r="P707" s="26"/>
      <c r="Q707" s="26"/>
      <c r="R707" s="84"/>
      <c r="S707" s="136"/>
      <c r="T707" s="26"/>
      <c r="U707" s="45"/>
      <c r="V707" s="26"/>
      <c r="W707" s="26"/>
    </row>
    <row r="708" spans="1:23" x14ac:dyDescent="0.35">
      <c r="A708" s="26"/>
      <c r="B708" s="35"/>
      <c r="C708" s="26"/>
      <c r="D708" s="26"/>
      <c r="E708" s="44"/>
      <c r="F708" s="26"/>
      <c r="G708" s="26"/>
      <c r="H708" s="147"/>
      <c r="I708" s="26"/>
      <c r="J708" s="26"/>
      <c r="K708" s="26"/>
      <c r="L708" s="26"/>
      <c r="M708" s="26"/>
      <c r="N708" s="148"/>
      <c r="O708" s="26"/>
      <c r="P708" s="26"/>
      <c r="Q708" s="26"/>
      <c r="R708" s="84"/>
      <c r="S708" s="136"/>
      <c r="T708" s="26"/>
      <c r="U708" s="45"/>
      <c r="V708" s="26"/>
      <c r="W708" s="26"/>
    </row>
    <row r="709" spans="1:23" x14ac:dyDescent="0.35">
      <c r="A709" s="26"/>
      <c r="B709" s="35"/>
      <c r="C709" s="26"/>
      <c r="D709" s="26"/>
      <c r="E709" s="44"/>
      <c r="F709" s="26"/>
      <c r="G709" s="26"/>
      <c r="H709" s="147"/>
      <c r="I709" s="26"/>
      <c r="J709" s="26"/>
      <c r="K709" s="26"/>
      <c r="L709" s="26"/>
      <c r="M709" s="26"/>
      <c r="N709" s="148"/>
      <c r="O709" s="26"/>
      <c r="P709" s="26"/>
      <c r="Q709" s="26"/>
      <c r="R709" s="84"/>
      <c r="S709" s="136"/>
      <c r="T709" s="26"/>
      <c r="U709" s="45"/>
      <c r="V709" s="26"/>
      <c r="W709" s="26"/>
    </row>
    <row r="710" spans="1:23" x14ac:dyDescent="0.35">
      <c r="A710" s="26"/>
      <c r="B710" s="35"/>
      <c r="C710" s="26"/>
      <c r="D710" s="26"/>
      <c r="E710" s="44"/>
      <c r="F710" s="26"/>
      <c r="G710" s="26"/>
      <c r="H710" s="147"/>
      <c r="I710" s="26"/>
      <c r="J710" s="26"/>
      <c r="K710" s="26"/>
      <c r="L710" s="26"/>
      <c r="M710" s="26"/>
      <c r="N710" s="148"/>
      <c r="O710" s="26"/>
      <c r="P710" s="26"/>
      <c r="Q710" s="26"/>
      <c r="R710" s="84"/>
      <c r="S710" s="136"/>
      <c r="T710" s="26"/>
      <c r="U710" s="45"/>
      <c r="V710" s="26"/>
      <c r="W710" s="26"/>
    </row>
    <row r="711" spans="1:23" x14ac:dyDescent="0.35">
      <c r="A711" s="26"/>
      <c r="B711" s="35"/>
      <c r="C711" s="26"/>
      <c r="D711" s="26"/>
      <c r="E711" s="44"/>
      <c r="F711" s="26"/>
      <c r="G711" s="26"/>
      <c r="H711" s="147"/>
      <c r="I711" s="26"/>
      <c r="J711" s="26"/>
      <c r="K711" s="26"/>
      <c r="L711" s="26"/>
      <c r="M711" s="26"/>
      <c r="N711" s="148"/>
      <c r="O711" s="26"/>
      <c r="P711" s="26"/>
      <c r="Q711" s="26"/>
      <c r="R711" s="84"/>
      <c r="S711" s="136"/>
      <c r="T711" s="26"/>
      <c r="U711" s="45"/>
      <c r="V711" s="26"/>
      <c r="W711" s="26"/>
    </row>
    <row r="712" spans="1:23" x14ac:dyDescent="0.35">
      <c r="A712" s="26"/>
      <c r="B712" s="35"/>
      <c r="C712" s="26"/>
      <c r="D712" s="26"/>
      <c r="E712" s="44"/>
      <c r="F712" s="26"/>
      <c r="G712" s="26"/>
      <c r="H712" s="147"/>
      <c r="I712" s="26"/>
      <c r="J712" s="26"/>
      <c r="K712" s="26"/>
      <c r="L712" s="26"/>
      <c r="M712" s="26"/>
      <c r="N712" s="148"/>
      <c r="O712" s="26"/>
      <c r="P712" s="26"/>
      <c r="Q712" s="26"/>
      <c r="R712" s="84"/>
      <c r="S712" s="136"/>
      <c r="T712" s="26"/>
      <c r="U712" s="45"/>
      <c r="V712" s="26"/>
      <c r="W712" s="26"/>
    </row>
    <row r="713" spans="1:23" x14ac:dyDescent="0.35">
      <c r="A713" s="26"/>
      <c r="B713" s="35"/>
      <c r="C713" s="26"/>
      <c r="D713" s="26"/>
      <c r="E713" s="44"/>
      <c r="F713" s="26"/>
      <c r="G713" s="26"/>
      <c r="H713" s="147"/>
      <c r="I713" s="26"/>
      <c r="J713" s="26"/>
      <c r="K713" s="26"/>
      <c r="L713" s="26"/>
      <c r="M713" s="26"/>
      <c r="N713" s="148"/>
      <c r="O713" s="26"/>
      <c r="P713" s="26"/>
      <c r="Q713" s="26"/>
      <c r="R713" s="84"/>
      <c r="S713" s="136"/>
      <c r="T713" s="26"/>
      <c r="U713" s="45"/>
      <c r="V713" s="26"/>
      <c r="W713" s="26"/>
    </row>
    <row r="714" spans="1:23" x14ac:dyDescent="0.35">
      <c r="A714" s="26"/>
      <c r="B714" s="35"/>
      <c r="C714" s="26"/>
      <c r="D714" s="26"/>
      <c r="E714" s="44"/>
      <c r="F714" s="26"/>
      <c r="G714" s="26"/>
      <c r="H714" s="147"/>
      <c r="I714" s="26"/>
      <c r="J714" s="26"/>
      <c r="K714" s="26"/>
      <c r="L714" s="26"/>
      <c r="M714" s="26"/>
      <c r="N714" s="148"/>
      <c r="O714" s="26"/>
      <c r="P714" s="26"/>
      <c r="Q714" s="26"/>
      <c r="R714" s="84"/>
      <c r="S714" s="136"/>
      <c r="T714" s="26"/>
      <c r="U714" s="45"/>
      <c r="V714" s="26"/>
      <c r="W714" s="26"/>
    </row>
    <row r="715" spans="1:23" x14ac:dyDescent="0.35">
      <c r="A715" s="26"/>
      <c r="B715" s="35"/>
      <c r="C715" s="26"/>
      <c r="D715" s="26"/>
      <c r="E715" s="44"/>
      <c r="F715" s="26"/>
      <c r="G715" s="26"/>
      <c r="H715" s="147"/>
      <c r="I715" s="26"/>
      <c r="J715" s="26"/>
      <c r="K715" s="26"/>
      <c r="L715" s="26"/>
      <c r="M715" s="26"/>
      <c r="N715" s="148"/>
      <c r="O715" s="26"/>
      <c r="P715" s="26"/>
      <c r="Q715" s="26"/>
      <c r="R715" s="84"/>
      <c r="S715" s="136"/>
      <c r="T715" s="26"/>
      <c r="U715" s="45"/>
      <c r="V715" s="26"/>
      <c r="W715" s="26"/>
    </row>
    <row r="716" spans="1:23" x14ac:dyDescent="0.35">
      <c r="A716" s="26"/>
      <c r="B716" s="35"/>
      <c r="C716" s="26"/>
      <c r="D716" s="26"/>
      <c r="E716" s="44"/>
      <c r="F716" s="26"/>
      <c r="G716" s="26"/>
      <c r="H716" s="147"/>
      <c r="I716" s="26"/>
      <c r="J716" s="26"/>
      <c r="K716" s="26"/>
      <c r="L716" s="26"/>
      <c r="M716" s="26"/>
      <c r="N716" s="148"/>
      <c r="O716" s="26"/>
      <c r="P716" s="26"/>
      <c r="Q716" s="26"/>
      <c r="R716" s="84"/>
      <c r="S716" s="136"/>
      <c r="T716" s="26"/>
      <c r="U716" s="45"/>
      <c r="V716" s="26"/>
      <c r="W716" s="26"/>
    </row>
    <row r="717" spans="1:23" x14ac:dyDescent="0.35">
      <c r="A717" s="26"/>
      <c r="B717" s="35"/>
      <c r="C717" s="26"/>
      <c r="D717" s="26"/>
      <c r="E717" s="44"/>
      <c r="F717" s="26"/>
      <c r="G717" s="26"/>
      <c r="H717" s="147"/>
      <c r="I717" s="26"/>
      <c r="J717" s="26"/>
      <c r="K717" s="26"/>
      <c r="L717" s="26"/>
      <c r="M717" s="26"/>
      <c r="N717" s="148"/>
      <c r="O717" s="26"/>
      <c r="P717" s="26"/>
      <c r="Q717" s="26"/>
      <c r="R717" s="84"/>
      <c r="S717" s="136"/>
      <c r="T717" s="26"/>
      <c r="U717" s="45"/>
      <c r="V717" s="26"/>
      <c r="W717" s="26"/>
    </row>
    <row r="718" spans="1:23" x14ac:dyDescent="0.35">
      <c r="A718" s="26"/>
      <c r="B718" s="35"/>
      <c r="C718" s="26"/>
      <c r="D718" s="26"/>
      <c r="E718" s="44"/>
      <c r="F718" s="26"/>
      <c r="G718" s="26"/>
      <c r="H718" s="147"/>
      <c r="I718" s="26"/>
      <c r="J718" s="26"/>
      <c r="K718" s="26"/>
      <c r="L718" s="26"/>
      <c r="M718" s="26"/>
      <c r="N718" s="148"/>
      <c r="O718" s="26"/>
      <c r="P718" s="26"/>
      <c r="Q718" s="26"/>
      <c r="R718" s="84"/>
      <c r="S718" s="136"/>
      <c r="T718" s="26"/>
      <c r="U718" s="45"/>
      <c r="V718" s="26"/>
      <c r="W718" s="26"/>
    </row>
    <row r="719" spans="1:23" x14ac:dyDescent="0.35">
      <c r="A719" s="26"/>
      <c r="B719" s="35"/>
      <c r="C719" s="26"/>
      <c r="D719" s="26"/>
      <c r="E719" s="44"/>
      <c r="F719" s="26"/>
      <c r="G719" s="26"/>
      <c r="H719" s="147"/>
      <c r="I719" s="26"/>
      <c r="J719" s="26"/>
      <c r="K719" s="26"/>
      <c r="L719" s="26"/>
      <c r="M719" s="26"/>
      <c r="N719" s="148"/>
      <c r="O719" s="26"/>
      <c r="P719" s="26"/>
      <c r="Q719" s="26"/>
      <c r="R719" s="84"/>
      <c r="S719" s="136"/>
      <c r="T719" s="26"/>
      <c r="U719" s="45"/>
      <c r="V719" s="26"/>
      <c r="W719" s="26"/>
    </row>
    <row r="720" spans="1:23" x14ac:dyDescent="0.35">
      <c r="A720" s="26"/>
      <c r="B720" s="35"/>
      <c r="C720" s="26"/>
      <c r="D720" s="26"/>
      <c r="E720" s="44"/>
      <c r="F720" s="26"/>
      <c r="G720" s="26"/>
      <c r="H720" s="147"/>
      <c r="I720" s="26"/>
      <c r="J720" s="26"/>
      <c r="K720" s="26"/>
      <c r="L720" s="26"/>
      <c r="M720" s="26"/>
      <c r="N720" s="148"/>
      <c r="O720" s="26"/>
      <c r="P720" s="26"/>
      <c r="Q720" s="26"/>
      <c r="R720" s="84"/>
      <c r="S720" s="136"/>
      <c r="T720" s="26"/>
      <c r="U720" s="45"/>
      <c r="V720" s="26"/>
      <c r="W720" s="26"/>
    </row>
    <row r="721" spans="1:23" x14ac:dyDescent="0.35">
      <c r="A721" s="26"/>
      <c r="B721" s="35"/>
      <c r="C721" s="26"/>
      <c r="D721" s="26"/>
      <c r="E721" s="44"/>
      <c r="F721" s="26"/>
      <c r="G721" s="26"/>
      <c r="H721" s="147"/>
      <c r="I721" s="26"/>
      <c r="J721" s="26"/>
      <c r="K721" s="26"/>
      <c r="L721" s="26"/>
      <c r="M721" s="26"/>
      <c r="N721" s="148"/>
      <c r="O721" s="26"/>
      <c r="P721" s="26"/>
      <c r="Q721" s="26"/>
      <c r="R721" s="84"/>
      <c r="S721" s="136"/>
      <c r="T721" s="26"/>
      <c r="U721" s="45"/>
      <c r="V721" s="26"/>
      <c r="W721" s="26"/>
    </row>
    <row r="722" spans="1:23" x14ac:dyDescent="0.35">
      <c r="A722" s="26"/>
      <c r="B722" s="35"/>
      <c r="C722" s="26"/>
      <c r="D722" s="26"/>
      <c r="E722" s="44"/>
      <c r="F722" s="26"/>
      <c r="G722" s="26"/>
      <c r="H722" s="147"/>
      <c r="I722" s="26"/>
      <c r="J722" s="26"/>
      <c r="K722" s="26"/>
      <c r="L722" s="26"/>
      <c r="M722" s="26"/>
      <c r="N722" s="148"/>
      <c r="O722" s="26"/>
      <c r="P722" s="26"/>
      <c r="Q722" s="26"/>
      <c r="R722" s="84"/>
      <c r="S722" s="136"/>
      <c r="T722" s="26"/>
      <c r="U722" s="45"/>
      <c r="V722" s="26"/>
      <c r="W722" s="26"/>
    </row>
    <row r="723" spans="1:23" x14ac:dyDescent="0.35">
      <c r="A723" s="26"/>
      <c r="B723" s="35"/>
      <c r="C723" s="26"/>
      <c r="D723" s="26"/>
      <c r="E723" s="44"/>
      <c r="F723" s="26"/>
      <c r="G723" s="26"/>
      <c r="H723" s="147"/>
      <c r="I723" s="26"/>
      <c r="J723" s="26"/>
      <c r="K723" s="26"/>
      <c r="L723" s="26"/>
      <c r="M723" s="26"/>
      <c r="N723" s="148"/>
      <c r="O723" s="26"/>
      <c r="P723" s="26"/>
      <c r="Q723" s="26"/>
      <c r="R723" s="84"/>
      <c r="S723" s="136"/>
      <c r="T723" s="26"/>
      <c r="U723" s="45"/>
      <c r="V723" s="26"/>
      <c r="W723" s="26"/>
    </row>
    <row r="724" spans="1:23" x14ac:dyDescent="0.35">
      <c r="A724" s="26"/>
      <c r="B724" s="35"/>
      <c r="C724" s="26"/>
      <c r="D724" s="26"/>
      <c r="E724" s="44"/>
      <c r="F724" s="26"/>
      <c r="G724" s="26"/>
      <c r="H724" s="147"/>
      <c r="I724" s="26"/>
      <c r="J724" s="26"/>
      <c r="K724" s="26"/>
      <c r="L724" s="26"/>
      <c r="M724" s="26"/>
      <c r="N724" s="148"/>
      <c r="O724" s="26"/>
      <c r="P724" s="26"/>
      <c r="Q724" s="26"/>
      <c r="R724" s="84"/>
      <c r="S724" s="136"/>
      <c r="T724" s="26"/>
      <c r="U724" s="45"/>
      <c r="V724" s="26"/>
      <c r="W724" s="26"/>
    </row>
    <row r="725" spans="1:23" x14ac:dyDescent="0.35">
      <c r="A725" s="26"/>
      <c r="B725" s="35"/>
      <c r="C725" s="26"/>
      <c r="D725" s="26"/>
      <c r="E725" s="44"/>
      <c r="F725" s="26"/>
      <c r="G725" s="26"/>
      <c r="H725" s="147"/>
      <c r="I725" s="26"/>
      <c r="J725" s="26"/>
      <c r="K725" s="26"/>
      <c r="L725" s="26"/>
      <c r="M725" s="26"/>
      <c r="N725" s="148"/>
      <c r="O725" s="26"/>
      <c r="P725" s="26"/>
      <c r="Q725" s="26"/>
      <c r="R725" s="84"/>
      <c r="S725" s="136"/>
      <c r="T725" s="26"/>
      <c r="U725" s="45"/>
      <c r="V725" s="26"/>
      <c r="W725" s="26"/>
    </row>
    <row r="726" spans="1:23" x14ac:dyDescent="0.35">
      <c r="A726" s="26"/>
      <c r="B726" s="35"/>
      <c r="C726" s="26"/>
      <c r="D726" s="26"/>
      <c r="E726" s="44"/>
      <c r="F726" s="26"/>
      <c r="G726" s="26"/>
      <c r="H726" s="147"/>
      <c r="I726" s="26"/>
      <c r="J726" s="26"/>
      <c r="K726" s="26"/>
      <c r="L726" s="26"/>
      <c r="M726" s="26"/>
      <c r="N726" s="148"/>
      <c r="O726" s="26"/>
      <c r="P726" s="26"/>
      <c r="Q726" s="26"/>
      <c r="R726" s="84"/>
      <c r="S726" s="136"/>
      <c r="T726" s="26"/>
      <c r="U726" s="45"/>
      <c r="V726" s="26"/>
      <c r="W726" s="26"/>
    </row>
    <row r="727" spans="1:23" x14ac:dyDescent="0.35">
      <c r="A727" s="26"/>
      <c r="B727" s="35"/>
      <c r="C727" s="26"/>
      <c r="D727" s="26"/>
      <c r="E727" s="44"/>
      <c r="F727" s="26"/>
      <c r="G727" s="26"/>
      <c r="H727" s="147"/>
      <c r="I727" s="26"/>
      <c r="J727" s="26"/>
      <c r="K727" s="26"/>
      <c r="L727" s="26"/>
      <c r="M727" s="26"/>
      <c r="N727" s="148"/>
      <c r="O727" s="26"/>
      <c r="P727" s="26"/>
      <c r="Q727" s="26"/>
      <c r="R727" s="84"/>
      <c r="S727" s="136"/>
      <c r="T727" s="26"/>
      <c r="U727" s="45"/>
      <c r="V727" s="26"/>
      <c r="W727" s="26"/>
    </row>
    <row r="728" spans="1:23" x14ac:dyDescent="0.35">
      <c r="A728" s="26"/>
      <c r="B728" s="35"/>
      <c r="C728" s="26"/>
      <c r="D728" s="26"/>
      <c r="E728" s="44"/>
      <c r="F728" s="26"/>
      <c r="G728" s="26"/>
      <c r="H728" s="147"/>
      <c r="I728" s="26"/>
      <c r="J728" s="26"/>
      <c r="K728" s="26"/>
      <c r="L728" s="26"/>
      <c r="M728" s="26"/>
      <c r="N728" s="148"/>
      <c r="O728" s="26"/>
      <c r="P728" s="26"/>
      <c r="Q728" s="26"/>
      <c r="R728" s="84"/>
      <c r="S728" s="136"/>
      <c r="T728" s="26"/>
      <c r="U728" s="45"/>
      <c r="V728" s="26"/>
      <c r="W728" s="26"/>
    </row>
    <row r="729" spans="1:23" x14ac:dyDescent="0.35">
      <c r="A729" s="26"/>
      <c r="B729" s="35"/>
      <c r="C729" s="26"/>
      <c r="D729" s="26"/>
      <c r="E729" s="44"/>
      <c r="F729" s="26"/>
      <c r="G729" s="26"/>
      <c r="H729" s="147"/>
      <c r="I729" s="26"/>
      <c r="J729" s="26"/>
      <c r="K729" s="26"/>
      <c r="L729" s="26"/>
      <c r="M729" s="26"/>
      <c r="N729" s="148"/>
      <c r="O729" s="26"/>
      <c r="P729" s="26"/>
      <c r="Q729" s="26"/>
      <c r="R729" s="84"/>
      <c r="S729" s="136"/>
      <c r="T729" s="26"/>
      <c r="U729" s="45"/>
      <c r="V729" s="26"/>
      <c r="W729" s="26"/>
    </row>
    <row r="730" spans="1:23" x14ac:dyDescent="0.35">
      <c r="A730" s="26"/>
      <c r="B730" s="35"/>
      <c r="C730" s="26"/>
      <c r="D730" s="26"/>
      <c r="E730" s="44"/>
      <c r="F730" s="26"/>
      <c r="G730" s="26"/>
      <c r="H730" s="147"/>
      <c r="I730" s="26"/>
      <c r="J730" s="26"/>
      <c r="K730" s="26"/>
      <c r="L730" s="26"/>
      <c r="M730" s="26"/>
      <c r="N730" s="148"/>
      <c r="O730" s="26"/>
      <c r="P730" s="26"/>
      <c r="Q730" s="26"/>
      <c r="R730" s="84"/>
      <c r="S730" s="136"/>
      <c r="T730" s="26"/>
      <c r="U730" s="45"/>
      <c r="V730" s="26"/>
      <c r="W730" s="26"/>
    </row>
    <row r="731" spans="1:23" x14ac:dyDescent="0.35">
      <c r="A731" s="26"/>
      <c r="B731" s="35"/>
      <c r="C731" s="26"/>
      <c r="D731" s="26"/>
      <c r="E731" s="44"/>
      <c r="F731" s="26"/>
      <c r="G731" s="26"/>
      <c r="H731" s="147"/>
      <c r="I731" s="26"/>
      <c r="J731" s="26"/>
      <c r="K731" s="26"/>
      <c r="L731" s="26"/>
      <c r="M731" s="26"/>
      <c r="N731" s="148"/>
      <c r="O731" s="26"/>
      <c r="P731" s="26"/>
      <c r="Q731" s="26"/>
      <c r="R731" s="84"/>
      <c r="S731" s="136"/>
      <c r="T731" s="26"/>
      <c r="U731" s="45"/>
      <c r="V731" s="26"/>
      <c r="W731" s="26"/>
    </row>
    <row r="732" spans="1:23" x14ac:dyDescent="0.35">
      <c r="A732" s="26"/>
      <c r="B732" s="35"/>
      <c r="C732" s="26"/>
      <c r="D732" s="26"/>
      <c r="E732" s="44"/>
      <c r="F732" s="26"/>
      <c r="G732" s="26"/>
      <c r="H732" s="147"/>
      <c r="I732" s="26"/>
      <c r="J732" s="26"/>
      <c r="K732" s="26"/>
      <c r="L732" s="26"/>
      <c r="M732" s="26"/>
      <c r="N732" s="148"/>
      <c r="O732" s="26"/>
      <c r="P732" s="26"/>
      <c r="Q732" s="26"/>
      <c r="R732" s="84"/>
      <c r="S732" s="136"/>
      <c r="T732" s="26"/>
      <c r="U732" s="45"/>
      <c r="V732" s="26"/>
      <c r="W732" s="26"/>
    </row>
    <row r="733" spans="1:23" x14ac:dyDescent="0.35">
      <c r="A733" s="26"/>
      <c r="B733" s="35"/>
      <c r="C733" s="26"/>
      <c r="D733" s="26"/>
      <c r="E733" s="44"/>
      <c r="F733" s="26"/>
      <c r="G733" s="26"/>
      <c r="H733" s="147"/>
      <c r="I733" s="26"/>
      <c r="J733" s="26"/>
      <c r="K733" s="26"/>
      <c r="L733" s="26"/>
      <c r="M733" s="26"/>
      <c r="N733" s="148"/>
      <c r="O733" s="26"/>
      <c r="P733" s="26"/>
      <c r="Q733" s="26"/>
      <c r="R733" s="84"/>
      <c r="S733" s="136"/>
      <c r="T733" s="26"/>
      <c r="U733" s="45"/>
      <c r="V733" s="26"/>
      <c r="W733" s="26"/>
    </row>
    <row r="734" spans="1:23" x14ac:dyDescent="0.35">
      <c r="A734" s="26"/>
      <c r="B734" s="35"/>
      <c r="C734" s="26"/>
      <c r="D734" s="26"/>
      <c r="E734" s="44"/>
      <c r="F734" s="26"/>
      <c r="G734" s="26"/>
      <c r="H734" s="147"/>
      <c r="I734" s="26"/>
      <c r="J734" s="26"/>
      <c r="K734" s="26"/>
      <c r="L734" s="26"/>
      <c r="M734" s="26"/>
      <c r="N734" s="148"/>
      <c r="O734" s="26"/>
      <c r="P734" s="26"/>
      <c r="Q734" s="26"/>
      <c r="R734" s="84"/>
      <c r="S734" s="136"/>
      <c r="T734" s="26"/>
      <c r="U734" s="45"/>
      <c r="V734" s="26"/>
      <c r="W734" s="26"/>
    </row>
    <row r="735" spans="1:23" x14ac:dyDescent="0.35">
      <c r="A735" s="26"/>
      <c r="B735" s="35"/>
      <c r="C735" s="26"/>
      <c r="D735" s="26"/>
      <c r="E735" s="44"/>
      <c r="F735" s="26"/>
      <c r="G735" s="26"/>
      <c r="H735" s="147"/>
      <c r="I735" s="26"/>
      <c r="J735" s="26"/>
      <c r="K735" s="26"/>
      <c r="L735" s="26"/>
      <c r="M735" s="26"/>
      <c r="N735" s="148"/>
      <c r="O735" s="26"/>
      <c r="P735" s="26"/>
      <c r="Q735" s="26"/>
      <c r="R735" s="84"/>
      <c r="S735" s="136"/>
      <c r="T735" s="26"/>
      <c r="U735" s="45"/>
      <c r="V735" s="26"/>
      <c r="W735" s="26"/>
    </row>
    <row r="736" spans="1:23" x14ac:dyDescent="0.35">
      <c r="A736" s="26"/>
      <c r="B736" s="35"/>
      <c r="C736" s="26"/>
      <c r="D736" s="26"/>
      <c r="E736" s="44"/>
      <c r="F736" s="26"/>
      <c r="G736" s="26"/>
      <c r="H736" s="147"/>
      <c r="I736" s="26"/>
      <c r="J736" s="26"/>
      <c r="K736" s="26"/>
      <c r="L736" s="26"/>
      <c r="M736" s="26"/>
      <c r="N736" s="148"/>
      <c r="O736" s="26"/>
      <c r="P736" s="26"/>
      <c r="Q736" s="26"/>
      <c r="R736" s="84"/>
      <c r="S736" s="136"/>
      <c r="T736" s="26"/>
      <c r="U736" s="45"/>
      <c r="V736" s="26"/>
      <c r="W736" s="26"/>
    </row>
    <row r="737" spans="1:23" x14ac:dyDescent="0.35">
      <c r="A737" s="26"/>
      <c r="B737" s="35"/>
      <c r="C737" s="26"/>
      <c r="D737" s="26"/>
      <c r="E737" s="44"/>
      <c r="F737" s="26"/>
      <c r="G737" s="26"/>
      <c r="H737" s="147"/>
      <c r="I737" s="26"/>
      <c r="J737" s="26"/>
      <c r="K737" s="26"/>
      <c r="L737" s="26"/>
      <c r="M737" s="26"/>
      <c r="N737" s="148"/>
      <c r="O737" s="26"/>
      <c r="P737" s="26"/>
      <c r="Q737" s="26"/>
      <c r="R737" s="84"/>
      <c r="S737" s="136"/>
      <c r="T737" s="26"/>
      <c r="U737" s="45"/>
      <c r="V737" s="26"/>
      <c r="W737" s="26"/>
    </row>
    <row r="738" spans="1:23" x14ac:dyDescent="0.35">
      <c r="A738" s="26"/>
      <c r="B738" s="35"/>
      <c r="C738" s="26"/>
      <c r="D738" s="26"/>
      <c r="E738" s="44"/>
      <c r="F738" s="26"/>
      <c r="G738" s="26"/>
      <c r="H738" s="147"/>
      <c r="I738" s="26"/>
      <c r="J738" s="26"/>
      <c r="K738" s="26"/>
      <c r="L738" s="26"/>
      <c r="M738" s="26"/>
      <c r="N738" s="148"/>
      <c r="O738" s="26"/>
      <c r="P738" s="26"/>
      <c r="Q738" s="26"/>
      <c r="R738" s="84"/>
      <c r="S738" s="136"/>
      <c r="T738" s="26"/>
      <c r="U738" s="45"/>
      <c r="V738" s="26"/>
      <c r="W738" s="26"/>
    </row>
    <row r="739" spans="1:23" x14ac:dyDescent="0.35">
      <c r="A739" s="26"/>
      <c r="B739" s="35"/>
      <c r="C739" s="26"/>
      <c r="D739" s="26"/>
      <c r="E739" s="44"/>
      <c r="F739" s="26"/>
      <c r="G739" s="26"/>
      <c r="H739" s="147"/>
      <c r="I739" s="26"/>
      <c r="J739" s="26"/>
      <c r="K739" s="26"/>
      <c r="L739" s="26"/>
      <c r="M739" s="26"/>
      <c r="N739" s="148"/>
      <c r="O739" s="26"/>
      <c r="P739" s="26"/>
      <c r="Q739" s="26"/>
      <c r="R739" s="84"/>
      <c r="S739" s="136"/>
      <c r="T739" s="26"/>
      <c r="U739" s="45"/>
      <c r="V739" s="26"/>
      <c r="W739" s="26"/>
    </row>
    <row r="740" spans="1:23" x14ac:dyDescent="0.35">
      <c r="A740" s="26"/>
      <c r="B740" s="35"/>
      <c r="C740" s="26"/>
      <c r="D740" s="26"/>
      <c r="E740" s="44"/>
      <c r="F740" s="26"/>
      <c r="G740" s="26"/>
      <c r="H740" s="147"/>
      <c r="I740" s="26"/>
      <c r="J740" s="26"/>
      <c r="K740" s="26"/>
      <c r="L740" s="26"/>
      <c r="M740" s="26"/>
      <c r="N740" s="148"/>
      <c r="O740" s="26"/>
      <c r="P740" s="26"/>
      <c r="Q740" s="26"/>
      <c r="R740" s="84"/>
      <c r="S740" s="136"/>
      <c r="T740" s="26"/>
      <c r="U740" s="45"/>
      <c r="V740" s="26"/>
      <c r="W740" s="26"/>
    </row>
    <row r="741" spans="1:23" x14ac:dyDescent="0.35">
      <c r="A741" s="26"/>
      <c r="B741" s="35"/>
      <c r="C741" s="26"/>
      <c r="D741" s="26"/>
      <c r="E741" s="44"/>
      <c r="F741" s="26"/>
      <c r="G741" s="26"/>
      <c r="H741" s="147"/>
      <c r="I741" s="26"/>
      <c r="J741" s="26"/>
      <c r="K741" s="26"/>
      <c r="L741" s="26"/>
      <c r="M741" s="26"/>
      <c r="N741" s="148"/>
      <c r="O741" s="26"/>
      <c r="P741" s="26"/>
      <c r="Q741" s="26"/>
      <c r="R741" s="84"/>
      <c r="S741" s="136"/>
      <c r="T741" s="26"/>
      <c r="U741" s="45"/>
      <c r="V741" s="26"/>
      <c r="W741" s="26"/>
    </row>
    <row r="742" spans="1:23" x14ac:dyDescent="0.35">
      <c r="A742" s="26"/>
      <c r="B742" s="35"/>
      <c r="C742" s="26"/>
      <c r="D742" s="26"/>
      <c r="E742" s="44"/>
      <c r="F742" s="26"/>
      <c r="G742" s="26"/>
      <c r="H742" s="147"/>
      <c r="I742" s="26"/>
      <c r="J742" s="26"/>
      <c r="K742" s="26"/>
      <c r="L742" s="26"/>
      <c r="M742" s="26"/>
      <c r="N742" s="148"/>
      <c r="O742" s="26"/>
      <c r="P742" s="26"/>
      <c r="Q742" s="26"/>
      <c r="R742" s="84"/>
      <c r="S742" s="136"/>
      <c r="T742" s="26"/>
      <c r="U742" s="45"/>
      <c r="V742" s="26"/>
      <c r="W742" s="26"/>
    </row>
    <row r="743" spans="1:23" x14ac:dyDescent="0.35">
      <c r="A743" s="26"/>
      <c r="B743" s="35"/>
      <c r="C743" s="26"/>
      <c r="D743" s="26"/>
      <c r="E743" s="44"/>
      <c r="F743" s="26"/>
      <c r="G743" s="26"/>
      <c r="H743" s="147"/>
      <c r="I743" s="26"/>
      <c r="J743" s="26"/>
      <c r="K743" s="26"/>
      <c r="L743" s="26"/>
      <c r="M743" s="26"/>
      <c r="N743" s="148"/>
      <c r="O743" s="26"/>
      <c r="P743" s="26"/>
      <c r="Q743" s="26"/>
      <c r="R743" s="84"/>
      <c r="S743" s="136"/>
      <c r="T743" s="26"/>
      <c r="U743" s="45"/>
      <c r="V743" s="26"/>
      <c r="W743" s="26"/>
    </row>
    <row r="744" spans="1:23" x14ac:dyDescent="0.35">
      <c r="A744" s="26"/>
      <c r="B744" s="35"/>
      <c r="C744" s="26"/>
      <c r="D744" s="26"/>
      <c r="E744" s="44"/>
      <c r="F744" s="26"/>
      <c r="G744" s="26"/>
      <c r="H744" s="147"/>
      <c r="I744" s="26"/>
      <c r="J744" s="26"/>
      <c r="K744" s="26"/>
      <c r="L744" s="26"/>
      <c r="M744" s="26"/>
      <c r="N744" s="148"/>
      <c r="O744" s="26"/>
      <c r="P744" s="26"/>
      <c r="Q744" s="26"/>
      <c r="R744" s="84"/>
      <c r="S744" s="136"/>
      <c r="T744" s="26"/>
      <c r="U744" s="45"/>
      <c r="V744" s="26"/>
      <c r="W744" s="26"/>
    </row>
    <row r="745" spans="1:23" x14ac:dyDescent="0.35">
      <c r="A745" s="26"/>
      <c r="B745" s="35"/>
      <c r="C745" s="26"/>
      <c r="D745" s="26"/>
      <c r="E745" s="44"/>
      <c r="F745" s="26"/>
      <c r="G745" s="26"/>
      <c r="H745" s="147"/>
      <c r="I745" s="26"/>
      <c r="J745" s="26"/>
      <c r="K745" s="26"/>
      <c r="L745" s="26"/>
      <c r="M745" s="26"/>
      <c r="N745" s="148"/>
      <c r="O745" s="26"/>
      <c r="P745" s="26"/>
      <c r="Q745" s="26"/>
      <c r="R745" s="84"/>
      <c r="S745" s="136"/>
      <c r="T745" s="26"/>
      <c r="U745" s="45"/>
      <c r="V745" s="26"/>
      <c r="W745" s="26"/>
    </row>
    <row r="746" spans="1:23" x14ac:dyDescent="0.35">
      <c r="A746" s="26"/>
      <c r="B746" s="35"/>
      <c r="C746" s="26"/>
      <c r="D746" s="26"/>
      <c r="E746" s="44"/>
      <c r="F746" s="26"/>
      <c r="G746" s="26"/>
      <c r="H746" s="147"/>
      <c r="I746" s="26"/>
      <c r="J746" s="26"/>
      <c r="K746" s="26"/>
      <c r="L746" s="26"/>
      <c r="M746" s="26"/>
      <c r="N746" s="148"/>
      <c r="O746" s="26"/>
      <c r="P746" s="26"/>
      <c r="Q746" s="26"/>
      <c r="R746" s="84"/>
      <c r="S746" s="136"/>
      <c r="T746" s="26"/>
      <c r="U746" s="45"/>
      <c r="V746" s="26"/>
      <c r="W746" s="26"/>
    </row>
    <row r="747" spans="1:23" x14ac:dyDescent="0.35">
      <c r="A747" s="26"/>
      <c r="B747" s="35"/>
      <c r="C747" s="26"/>
      <c r="D747" s="26"/>
      <c r="E747" s="44"/>
      <c r="F747" s="26"/>
      <c r="G747" s="26"/>
      <c r="H747" s="147"/>
      <c r="I747" s="26"/>
      <c r="J747" s="26"/>
      <c r="K747" s="26"/>
      <c r="L747" s="26"/>
      <c r="M747" s="26"/>
      <c r="N747" s="148"/>
      <c r="O747" s="26"/>
      <c r="P747" s="26"/>
      <c r="Q747" s="26"/>
      <c r="R747" s="84"/>
      <c r="S747" s="136"/>
      <c r="T747" s="26"/>
      <c r="U747" s="45"/>
      <c r="V747" s="26"/>
      <c r="W747" s="26"/>
    </row>
    <row r="748" spans="1:23" x14ac:dyDescent="0.35">
      <c r="A748" s="26"/>
      <c r="B748" s="35"/>
      <c r="C748" s="26"/>
      <c r="D748" s="26"/>
      <c r="E748" s="44"/>
      <c r="F748" s="26"/>
      <c r="G748" s="26"/>
      <c r="H748" s="147"/>
      <c r="I748" s="26"/>
      <c r="J748" s="26"/>
      <c r="K748" s="26"/>
      <c r="L748" s="26"/>
      <c r="M748" s="26"/>
      <c r="N748" s="148"/>
      <c r="O748" s="26"/>
      <c r="P748" s="26"/>
      <c r="Q748" s="26"/>
      <c r="R748" s="84"/>
      <c r="S748" s="136"/>
      <c r="T748" s="26"/>
      <c r="U748" s="45"/>
      <c r="V748" s="26"/>
      <c r="W748" s="26"/>
    </row>
    <row r="749" spans="1:23" x14ac:dyDescent="0.35">
      <c r="A749" s="26"/>
      <c r="B749" s="35"/>
      <c r="C749" s="26"/>
      <c r="D749" s="26"/>
      <c r="E749" s="44"/>
      <c r="F749" s="26"/>
      <c r="G749" s="26"/>
      <c r="H749" s="147"/>
      <c r="I749" s="26"/>
      <c r="J749" s="26"/>
      <c r="K749" s="26"/>
      <c r="L749" s="26"/>
      <c r="M749" s="26"/>
      <c r="N749" s="148"/>
      <c r="O749" s="26"/>
      <c r="P749" s="26"/>
      <c r="Q749" s="26"/>
      <c r="R749" s="84"/>
      <c r="S749" s="136"/>
      <c r="T749" s="26"/>
      <c r="U749" s="45"/>
      <c r="V749" s="26"/>
      <c r="W749" s="26"/>
    </row>
    <row r="750" spans="1:23" x14ac:dyDescent="0.35">
      <c r="A750" s="26"/>
      <c r="B750" s="35"/>
      <c r="C750" s="26"/>
      <c r="D750" s="26"/>
      <c r="E750" s="44"/>
      <c r="F750" s="26"/>
      <c r="G750" s="26"/>
      <c r="H750" s="147"/>
      <c r="I750" s="26"/>
      <c r="J750" s="26"/>
      <c r="K750" s="26"/>
      <c r="L750" s="26"/>
      <c r="M750" s="26"/>
      <c r="N750" s="148"/>
      <c r="O750" s="26"/>
      <c r="P750" s="26"/>
      <c r="Q750" s="26"/>
      <c r="R750" s="84"/>
      <c r="S750" s="136"/>
      <c r="T750" s="26"/>
      <c r="U750" s="45"/>
      <c r="V750" s="26"/>
      <c r="W750" s="26"/>
    </row>
    <row r="751" spans="1:23" x14ac:dyDescent="0.35">
      <c r="A751" s="26"/>
      <c r="B751" s="35"/>
      <c r="C751" s="26"/>
      <c r="D751" s="26"/>
      <c r="E751" s="44"/>
      <c r="F751" s="26"/>
      <c r="G751" s="26"/>
      <c r="H751" s="147"/>
      <c r="I751" s="26"/>
      <c r="J751" s="26"/>
      <c r="K751" s="26"/>
      <c r="L751" s="26"/>
      <c r="M751" s="26"/>
      <c r="N751" s="148"/>
      <c r="O751" s="26"/>
      <c r="P751" s="26"/>
      <c r="Q751" s="26"/>
      <c r="R751" s="84"/>
      <c r="S751" s="136"/>
      <c r="T751" s="26"/>
      <c r="U751" s="45"/>
      <c r="V751" s="26"/>
      <c r="W751" s="26"/>
    </row>
    <row r="752" spans="1:23" x14ac:dyDescent="0.35">
      <c r="A752" s="26"/>
      <c r="B752" s="35"/>
      <c r="C752" s="26"/>
      <c r="D752" s="26"/>
      <c r="E752" s="44"/>
      <c r="F752" s="26"/>
      <c r="G752" s="26"/>
      <c r="H752" s="147"/>
      <c r="I752" s="26"/>
      <c r="J752" s="26"/>
      <c r="K752" s="26"/>
      <c r="L752" s="26"/>
      <c r="M752" s="26"/>
      <c r="N752" s="148"/>
      <c r="O752" s="26"/>
      <c r="P752" s="26"/>
      <c r="Q752" s="26"/>
      <c r="R752" s="84"/>
      <c r="S752" s="136"/>
      <c r="T752" s="26"/>
      <c r="U752" s="45"/>
      <c r="V752" s="26"/>
      <c r="W752" s="26"/>
    </row>
    <row r="753" spans="1:23" x14ac:dyDescent="0.35">
      <c r="A753" s="26"/>
      <c r="B753" s="35"/>
      <c r="C753" s="26"/>
      <c r="D753" s="26"/>
      <c r="E753" s="44"/>
      <c r="F753" s="26"/>
      <c r="G753" s="26"/>
      <c r="H753" s="147"/>
      <c r="I753" s="26"/>
      <c r="J753" s="26"/>
      <c r="K753" s="26"/>
      <c r="L753" s="26"/>
      <c r="M753" s="26"/>
      <c r="N753" s="148"/>
      <c r="O753" s="26"/>
      <c r="P753" s="26"/>
      <c r="Q753" s="26"/>
      <c r="R753" s="84"/>
      <c r="S753" s="136"/>
      <c r="T753" s="26"/>
      <c r="U753" s="45"/>
      <c r="V753" s="26"/>
      <c r="W753" s="26"/>
    </row>
    <row r="754" spans="1:23" x14ac:dyDescent="0.35">
      <c r="A754" s="26"/>
      <c r="B754" s="35"/>
      <c r="C754" s="26"/>
      <c r="D754" s="26"/>
      <c r="E754" s="44"/>
      <c r="F754" s="26"/>
      <c r="G754" s="26"/>
      <c r="H754" s="147"/>
      <c r="I754" s="26"/>
      <c r="J754" s="26"/>
      <c r="K754" s="26"/>
      <c r="L754" s="26"/>
      <c r="M754" s="26"/>
      <c r="N754" s="148"/>
      <c r="O754" s="26"/>
      <c r="P754" s="26"/>
      <c r="Q754" s="26"/>
      <c r="R754" s="84"/>
      <c r="S754" s="136"/>
      <c r="T754" s="26"/>
      <c r="U754" s="45"/>
      <c r="V754" s="26"/>
      <c r="W754" s="26"/>
    </row>
    <row r="755" spans="1:23" x14ac:dyDescent="0.35">
      <c r="A755" s="26"/>
      <c r="B755" s="35"/>
      <c r="C755" s="26"/>
      <c r="D755" s="26"/>
      <c r="E755" s="44"/>
      <c r="F755" s="26"/>
      <c r="G755" s="26"/>
      <c r="H755" s="147"/>
      <c r="I755" s="26"/>
      <c r="J755" s="26"/>
      <c r="K755" s="26"/>
      <c r="L755" s="26"/>
      <c r="M755" s="26"/>
      <c r="N755" s="148"/>
      <c r="O755" s="26"/>
      <c r="P755" s="26"/>
      <c r="Q755" s="26"/>
      <c r="R755" s="84"/>
      <c r="S755" s="136"/>
      <c r="T755" s="26"/>
      <c r="U755" s="45"/>
      <c r="V755" s="26"/>
      <c r="W755" s="26"/>
    </row>
    <row r="756" spans="1:23" x14ac:dyDescent="0.35">
      <c r="A756" s="26"/>
      <c r="B756" s="35"/>
      <c r="C756" s="26"/>
      <c r="D756" s="26"/>
      <c r="E756" s="44"/>
      <c r="F756" s="26"/>
      <c r="G756" s="26"/>
      <c r="H756" s="147"/>
      <c r="I756" s="26"/>
      <c r="J756" s="26"/>
      <c r="K756" s="26"/>
      <c r="L756" s="26"/>
      <c r="M756" s="26"/>
      <c r="N756" s="148"/>
      <c r="O756" s="26"/>
      <c r="P756" s="26"/>
      <c r="Q756" s="26"/>
      <c r="R756" s="84"/>
      <c r="S756" s="136"/>
      <c r="T756" s="26"/>
      <c r="U756" s="45"/>
      <c r="V756" s="26"/>
      <c r="W756" s="26"/>
    </row>
    <row r="757" spans="1:23" x14ac:dyDescent="0.35">
      <c r="A757" s="26"/>
      <c r="B757" s="35"/>
      <c r="C757" s="26"/>
      <c r="D757" s="26"/>
      <c r="E757" s="44"/>
      <c r="F757" s="26"/>
      <c r="G757" s="26"/>
      <c r="H757" s="147"/>
      <c r="I757" s="26"/>
      <c r="J757" s="26"/>
      <c r="K757" s="26"/>
      <c r="L757" s="26"/>
      <c r="M757" s="26"/>
      <c r="N757" s="148"/>
      <c r="O757" s="26"/>
      <c r="P757" s="26"/>
      <c r="Q757" s="26"/>
      <c r="R757" s="84"/>
      <c r="S757" s="136"/>
      <c r="T757" s="26"/>
      <c r="U757" s="45"/>
      <c r="V757" s="26"/>
      <c r="W757" s="26"/>
    </row>
    <row r="758" spans="1:23" x14ac:dyDescent="0.35">
      <c r="A758" s="26"/>
      <c r="B758" s="35"/>
      <c r="C758" s="26"/>
      <c r="D758" s="26"/>
      <c r="E758" s="44"/>
      <c r="F758" s="26"/>
      <c r="G758" s="26"/>
      <c r="H758" s="147"/>
      <c r="I758" s="26"/>
      <c r="J758" s="26"/>
      <c r="K758" s="26"/>
      <c r="L758" s="26"/>
      <c r="M758" s="26"/>
      <c r="N758" s="148"/>
      <c r="O758" s="26"/>
      <c r="P758" s="26"/>
      <c r="Q758" s="26"/>
      <c r="R758" s="84"/>
      <c r="S758" s="136"/>
      <c r="T758" s="26"/>
      <c r="U758" s="45"/>
      <c r="V758" s="26"/>
      <c r="W758" s="26"/>
    </row>
    <row r="759" spans="1:23" x14ac:dyDescent="0.35">
      <c r="A759" s="26"/>
      <c r="B759" s="35"/>
      <c r="C759" s="26"/>
      <c r="D759" s="26"/>
      <c r="E759" s="44"/>
      <c r="F759" s="26"/>
      <c r="G759" s="26"/>
      <c r="H759" s="147"/>
      <c r="I759" s="26"/>
      <c r="J759" s="26"/>
      <c r="K759" s="26"/>
      <c r="L759" s="26"/>
      <c r="M759" s="26"/>
      <c r="N759" s="148"/>
      <c r="O759" s="26"/>
      <c r="P759" s="26"/>
      <c r="Q759" s="26"/>
      <c r="R759" s="84"/>
      <c r="S759" s="136"/>
      <c r="T759" s="26"/>
      <c r="U759" s="45"/>
      <c r="V759" s="26"/>
      <c r="W759" s="26"/>
    </row>
    <row r="760" spans="1:23" x14ac:dyDescent="0.35">
      <c r="A760" s="26"/>
      <c r="B760" s="35"/>
      <c r="C760" s="26"/>
      <c r="D760" s="26"/>
      <c r="E760" s="44"/>
      <c r="F760" s="26"/>
      <c r="G760" s="26"/>
      <c r="H760" s="147"/>
      <c r="I760" s="26"/>
      <c r="J760" s="26"/>
      <c r="K760" s="26"/>
      <c r="L760" s="26"/>
      <c r="M760" s="26"/>
      <c r="N760" s="148"/>
      <c r="O760" s="26"/>
      <c r="P760" s="26"/>
      <c r="Q760" s="26"/>
      <c r="R760" s="84"/>
      <c r="S760" s="136"/>
      <c r="T760" s="26"/>
      <c r="U760" s="45"/>
      <c r="V760" s="26"/>
      <c r="W760" s="26"/>
    </row>
    <row r="761" spans="1:23" x14ac:dyDescent="0.35">
      <c r="A761" s="26"/>
      <c r="B761" s="35"/>
      <c r="C761" s="26"/>
      <c r="D761" s="26"/>
      <c r="E761" s="44"/>
      <c r="F761" s="26"/>
      <c r="G761" s="26"/>
      <c r="H761" s="147"/>
      <c r="I761" s="26"/>
      <c r="J761" s="26"/>
      <c r="K761" s="26"/>
      <c r="L761" s="26"/>
      <c r="M761" s="26"/>
      <c r="N761" s="148"/>
      <c r="O761" s="26"/>
      <c r="P761" s="26"/>
      <c r="Q761" s="26"/>
      <c r="R761" s="84"/>
      <c r="S761" s="136"/>
      <c r="T761" s="26"/>
      <c r="U761" s="45"/>
      <c r="V761" s="26"/>
      <c r="W761" s="26"/>
    </row>
    <row r="762" spans="1:23" x14ac:dyDescent="0.35">
      <c r="A762" s="26"/>
      <c r="B762" s="35"/>
      <c r="C762" s="26"/>
      <c r="D762" s="26"/>
      <c r="E762" s="44"/>
      <c r="F762" s="26"/>
      <c r="G762" s="26"/>
      <c r="H762" s="147"/>
      <c r="I762" s="26"/>
      <c r="J762" s="26"/>
      <c r="K762" s="26"/>
      <c r="L762" s="26"/>
      <c r="M762" s="26"/>
      <c r="N762" s="148"/>
      <c r="O762" s="26"/>
      <c r="P762" s="26"/>
      <c r="Q762" s="26"/>
      <c r="R762" s="84"/>
      <c r="S762" s="136"/>
      <c r="T762" s="26"/>
      <c r="U762" s="45"/>
      <c r="V762" s="26"/>
      <c r="W762" s="26"/>
    </row>
    <row r="763" spans="1:23" x14ac:dyDescent="0.35">
      <c r="A763" s="26"/>
      <c r="B763" s="35"/>
      <c r="C763" s="26"/>
      <c r="D763" s="26"/>
      <c r="E763" s="44"/>
      <c r="F763" s="26"/>
      <c r="G763" s="26"/>
      <c r="H763" s="147"/>
      <c r="I763" s="26"/>
      <c r="J763" s="26"/>
      <c r="K763" s="26"/>
      <c r="L763" s="26"/>
      <c r="M763" s="26"/>
      <c r="N763" s="148"/>
      <c r="O763" s="26"/>
      <c r="P763" s="26"/>
      <c r="Q763" s="26"/>
      <c r="R763" s="84"/>
      <c r="S763" s="136"/>
      <c r="T763" s="26"/>
      <c r="U763" s="45"/>
      <c r="V763" s="26"/>
      <c r="W763" s="26"/>
    </row>
    <row r="764" spans="1:23" x14ac:dyDescent="0.35">
      <c r="A764" s="26"/>
      <c r="B764" s="35"/>
      <c r="C764" s="26"/>
      <c r="D764" s="26"/>
      <c r="E764" s="44"/>
      <c r="F764" s="26"/>
      <c r="G764" s="26"/>
      <c r="H764" s="147"/>
      <c r="I764" s="26"/>
      <c r="J764" s="26"/>
      <c r="K764" s="26"/>
      <c r="L764" s="26"/>
      <c r="M764" s="26"/>
      <c r="N764" s="148"/>
      <c r="O764" s="26"/>
      <c r="P764" s="26"/>
      <c r="Q764" s="26"/>
      <c r="R764" s="84"/>
      <c r="S764" s="136"/>
      <c r="T764" s="26"/>
      <c r="U764" s="45"/>
      <c r="V764" s="26"/>
      <c r="W764" s="26"/>
    </row>
    <row r="765" spans="1:23" x14ac:dyDescent="0.35">
      <c r="A765" s="26"/>
      <c r="B765" s="35"/>
      <c r="C765" s="26"/>
      <c r="D765" s="26"/>
      <c r="E765" s="44"/>
      <c r="F765" s="26"/>
      <c r="G765" s="26"/>
      <c r="H765" s="147"/>
      <c r="I765" s="26"/>
      <c r="J765" s="26"/>
      <c r="K765" s="26"/>
      <c r="L765" s="26"/>
      <c r="M765" s="26"/>
      <c r="N765" s="148"/>
      <c r="O765" s="26"/>
      <c r="P765" s="26"/>
      <c r="Q765" s="26"/>
      <c r="R765" s="84"/>
      <c r="S765" s="136"/>
      <c r="T765" s="26"/>
      <c r="U765" s="45"/>
      <c r="V765" s="26"/>
      <c r="W765" s="26"/>
    </row>
    <row r="766" spans="1:23" x14ac:dyDescent="0.35">
      <c r="A766" s="26"/>
      <c r="B766" s="35"/>
      <c r="C766" s="26"/>
      <c r="D766" s="26"/>
      <c r="E766" s="44"/>
      <c r="F766" s="26"/>
      <c r="G766" s="26"/>
      <c r="H766" s="147"/>
      <c r="I766" s="26"/>
      <c r="J766" s="26"/>
      <c r="K766" s="26"/>
      <c r="L766" s="26"/>
      <c r="M766" s="26"/>
      <c r="N766" s="148"/>
      <c r="O766" s="26"/>
      <c r="P766" s="26"/>
      <c r="Q766" s="26"/>
      <c r="R766" s="84"/>
      <c r="S766" s="136"/>
      <c r="T766" s="26"/>
      <c r="U766" s="45"/>
      <c r="V766" s="26"/>
      <c r="W766" s="26"/>
    </row>
    <row r="767" spans="1:23" x14ac:dyDescent="0.35">
      <c r="A767" s="26"/>
      <c r="B767" s="35"/>
      <c r="C767" s="26"/>
      <c r="D767" s="26"/>
      <c r="E767" s="44"/>
      <c r="F767" s="26"/>
      <c r="G767" s="26"/>
      <c r="H767" s="147"/>
      <c r="I767" s="26"/>
      <c r="J767" s="26"/>
      <c r="K767" s="26"/>
      <c r="L767" s="26"/>
      <c r="M767" s="26"/>
      <c r="N767" s="148"/>
      <c r="O767" s="26"/>
      <c r="P767" s="26"/>
      <c r="Q767" s="26"/>
      <c r="R767" s="84"/>
      <c r="S767" s="136"/>
      <c r="T767" s="26"/>
      <c r="U767" s="45"/>
      <c r="V767" s="26"/>
      <c r="W767" s="26"/>
    </row>
    <row r="768" spans="1:23" x14ac:dyDescent="0.35">
      <c r="A768" s="26"/>
      <c r="B768" s="35"/>
      <c r="C768" s="26"/>
      <c r="D768" s="26"/>
      <c r="E768" s="44"/>
      <c r="F768" s="26"/>
      <c r="G768" s="26"/>
      <c r="H768" s="147"/>
      <c r="I768" s="26"/>
      <c r="J768" s="26"/>
      <c r="K768" s="26"/>
      <c r="L768" s="26"/>
      <c r="M768" s="26"/>
      <c r="N768" s="148"/>
      <c r="O768" s="26"/>
      <c r="P768" s="26"/>
      <c r="Q768" s="26"/>
      <c r="R768" s="84"/>
      <c r="S768" s="136"/>
      <c r="T768" s="26"/>
      <c r="U768" s="45"/>
      <c r="V768" s="26"/>
      <c r="W768" s="26"/>
    </row>
    <row r="769" spans="1:23" x14ac:dyDescent="0.35">
      <c r="A769" s="26"/>
      <c r="B769" s="35"/>
      <c r="C769" s="26"/>
      <c r="D769" s="26"/>
      <c r="E769" s="44"/>
      <c r="F769" s="26"/>
      <c r="G769" s="26"/>
      <c r="H769" s="147"/>
      <c r="I769" s="26"/>
      <c r="J769" s="26"/>
      <c r="K769" s="26"/>
      <c r="L769" s="26"/>
      <c r="M769" s="26"/>
      <c r="N769" s="148"/>
      <c r="O769" s="26"/>
      <c r="P769" s="26"/>
      <c r="Q769" s="26"/>
      <c r="R769" s="84"/>
      <c r="S769" s="136"/>
      <c r="T769" s="26"/>
      <c r="U769" s="45"/>
      <c r="V769" s="26"/>
      <c r="W769" s="26"/>
    </row>
    <row r="770" spans="1:23" x14ac:dyDescent="0.35">
      <c r="A770" s="26"/>
      <c r="B770" s="35"/>
      <c r="C770" s="26"/>
      <c r="D770" s="26"/>
      <c r="E770" s="44"/>
      <c r="F770" s="26"/>
      <c r="G770" s="26"/>
      <c r="H770" s="147"/>
      <c r="I770" s="26"/>
      <c r="J770" s="26"/>
      <c r="K770" s="26"/>
      <c r="L770" s="26"/>
      <c r="M770" s="26"/>
      <c r="N770" s="148"/>
      <c r="O770" s="26"/>
      <c r="P770" s="26"/>
      <c r="Q770" s="26"/>
      <c r="R770" s="84"/>
      <c r="S770" s="136"/>
      <c r="T770" s="26"/>
      <c r="U770" s="45"/>
      <c r="V770" s="26"/>
      <c r="W770" s="26"/>
    </row>
    <row r="771" spans="1:23" x14ac:dyDescent="0.35">
      <c r="A771" s="26"/>
      <c r="B771" s="35"/>
      <c r="C771" s="26"/>
      <c r="D771" s="26"/>
      <c r="E771" s="44"/>
      <c r="F771" s="26"/>
      <c r="G771" s="26"/>
      <c r="H771" s="147"/>
      <c r="I771" s="26"/>
      <c r="J771" s="26"/>
      <c r="K771" s="26"/>
      <c r="L771" s="26"/>
      <c r="M771" s="26"/>
      <c r="N771" s="148"/>
      <c r="O771" s="26"/>
      <c r="P771" s="26"/>
      <c r="Q771" s="26"/>
      <c r="R771" s="84"/>
      <c r="S771" s="136"/>
      <c r="T771" s="26"/>
      <c r="U771" s="45"/>
      <c r="V771" s="26"/>
      <c r="W771" s="26"/>
    </row>
    <row r="772" spans="1:23" x14ac:dyDescent="0.35">
      <c r="A772" s="26"/>
      <c r="B772" s="35"/>
      <c r="C772" s="26"/>
      <c r="D772" s="26"/>
      <c r="E772" s="44"/>
      <c r="F772" s="26"/>
      <c r="G772" s="26"/>
      <c r="H772" s="147"/>
      <c r="I772" s="26"/>
      <c r="J772" s="26"/>
      <c r="K772" s="26"/>
      <c r="L772" s="26"/>
      <c r="M772" s="26"/>
      <c r="N772" s="148"/>
      <c r="O772" s="26"/>
      <c r="P772" s="26"/>
      <c r="Q772" s="26"/>
      <c r="R772" s="84"/>
      <c r="S772" s="136"/>
      <c r="T772" s="26"/>
      <c r="U772" s="45"/>
      <c r="V772" s="26"/>
      <c r="W772" s="26"/>
    </row>
    <row r="773" spans="1:23" x14ac:dyDescent="0.35">
      <c r="A773" s="26"/>
      <c r="B773" s="35"/>
      <c r="C773" s="26"/>
      <c r="D773" s="26"/>
      <c r="E773" s="44"/>
      <c r="F773" s="26"/>
      <c r="G773" s="26"/>
      <c r="H773" s="147"/>
      <c r="I773" s="26"/>
      <c r="J773" s="26"/>
      <c r="K773" s="26"/>
      <c r="L773" s="26"/>
      <c r="M773" s="26"/>
      <c r="N773" s="148"/>
      <c r="O773" s="26"/>
      <c r="P773" s="26"/>
      <c r="Q773" s="26"/>
      <c r="R773" s="84"/>
      <c r="S773" s="136"/>
      <c r="T773" s="26"/>
      <c r="U773" s="45"/>
      <c r="V773" s="26"/>
      <c r="W773" s="26"/>
    </row>
    <row r="774" spans="1:23" x14ac:dyDescent="0.35">
      <c r="A774" s="26"/>
      <c r="B774" s="35"/>
      <c r="C774" s="26"/>
      <c r="D774" s="26"/>
      <c r="E774" s="44"/>
      <c r="F774" s="26"/>
      <c r="G774" s="26"/>
      <c r="H774" s="147"/>
      <c r="I774" s="26"/>
      <c r="J774" s="26"/>
      <c r="K774" s="26"/>
      <c r="L774" s="26"/>
      <c r="M774" s="26"/>
      <c r="N774" s="148"/>
      <c r="O774" s="26"/>
      <c r="P774" s="26"/>
      <c r="Q774" s="26"/>
      <c r="R774" s="84"/>
      <c r="S774" s="136"/>
      <c r="T774" s="26"/>
      <c r="U774" s="45"/>
      <c r="V774" s="26"/>
      <c r="W774" s="26"/>
    </row>
    <row r="775" spans="1:23" x14ac:dyDescent="0.35">
      <c r="A775" s="26"/>
      <c r="B775" s="35"/>
      <c r="C775" s="26"/>
      <c r="D775" s="26"/>
      <c r="E775" s="44"/>
      <c r="F775" s="26"/>
      <c r="G775" s="26"/>
      <c r="H775" s="147"/>
      <c r="I775" s="26"/>
      <c r="J775" s="26"/>
      <c r="K775" s="26"/>
      <c r="L775" s="26"/>
      <c r="M775" s="26"/>
      <c r="N775" s="148"/>
      <c r="O775" s="26"/>
      <c r="P775" s="26"/>
      <c r="Q775" s="26"/>
      <c r="R775" s="84"/>
      <c r="S775" s="136"/>
      <c r="T775" s="26"/>
      <c r="U775" s="45"/>
      <c r="V775" s="26"/>
      <c r="W775" s="26"/>
    </row>
    <row r="776" spans="1:23" x14ac:dyDescent="0.35">
      <c r="A776" s="26"/>
      <c r="B776" s="35"/>
      <c r="C776" s="26"/>
      <c r="D776" s="26"/>
      <c r="E776" s="44"/>
      <c r="F776" s="26"/>
      <c r="G776" s="26"/>
      <c r="H776" s="147"/>
      <c r="I776" s="26"/>
      <c r="J776" s="26"/>
      <c r="K776" s="26"/>
      <c r="L776" s="26"/>
      <c r="M776" s="26"/>
      <c r="N776" s="148"/>
      <c r="O776" s="26"/>
      <c r="P776" s="26"/>
      <c r="Q776" s="26"/>
      <c r="R776" s="84"/>
      <c r="S776" s="136"/>
      <c r="T776" s="26"/>
      <c r="U776" s="45"/>
      <c r="V776" s="26"/>
      <c r="W776" s="26"/>
    </row>
    <row r="777" spans="1:23" x14ac:dyDescent="0.35">
      <c r="A777" s="26"/>
      <c r="B777" s="35"/>
      <c r="C777" s="26"/>
      <c r="D777" s="26"/>
      <c r="E777" s="44"/>
      <c r="F777" s="26"/>
      <c r="G777" s="26"/>
      <c r="H777" s="147"/>
      <c r="I777" s="26"/>
      <c r="J777" s="26"/>
      <c r="K777" s="26"/>
      <c r="L777" s="26"/>
      <c r="M777" s="26"/>
      <c r="N777" s="148"/>
      <c r="O777" s="26"/>
      <c r="P777" s="26"/>
      <c r="Q777" s="26"/>
      <c r="R777" s="84"/>
      <c r="S777" s="136"/>
      <c r="T777" s="26"/>
      <c r="U777" s="45"/>
      <c r="V777" s="26"/>
      <c r="W777" s="26"/>
    </row>
    <row r="778" spans="1:23" x14ac:dyDescent="0.35">
      <c r="A778" s="26"/>
      <c r="B778" s="35"/>
      <c r="C778" s="26"/>
      <c r="D778" s="26"/>
      <c r="E778" s="44"/>
      <c r="F778" s="26"/>
      <c r="G778" s="26"/>
      <c r="H778" s="147"/>
      <c r="I778" s="26"/>
      <c r="J778" s="26"/>
      <c r="K778" s="26"/>
      <c r="L778" s="26"/>
      <c r="M778" s="26"/>
      <c r="N778" s="148"/>
      <c r="O778" s="26"/>
      <c r="P778" s="26"/>
      <c r="Q778" s="26"/>
      <c r="R778" s="84"/>
      <c r="S778" s="136"/>
      <c r="T778" s="26"/>
      <c r="U778" s="45"/>
      <c r="V778" s="26"/>
      <c r="W778" s="26"/>
    </row>
    <row r="779" spans="1:23" x14ac:dyDescent="0.35">
      <c r="A779" s="26"/>
      <c r="B779" s="35"/>
      <c r="C779" s="26"/>
      <c r="D779" s="26"/>
      <c r="E779" s="44"/>
      <c r="F779" s="26"/>
      <c r="G779" s="26"/>
      <c r="H779" s="147"/>
      <c r="I779" s="26"/>
      <c r="J779" s="26"/>
      <c r="K779" s="26"/>
      <c r="L779" s="26"/>
      <c r="M779" s="26"/>
      <c r="N779" s="148"/>
      <c r="O779" s="26"/>
      <c r="P779" s="26"/>
      <c r="Q779" s="26"/>
      <c r="R779" s="84"/>
      <c r="S779" s="136"/>
      <c r="T779" s="26"/>
      <c r="U779" s="45"/>
      <c r="V779" s="26"/>
      <c r="W779" s="26"/>
    </row>
    <row r="780" spans="1:23" x14ac:dyDescent="0.35">
      <c r="A780" s="26"/>
      <c r="B780" s="35"/>
      <c r="C780" s="26"/>
      <c r="D780" s="26"/>
      <c r="E780" s="44"/>
      <c r="F780" s="26"/>
      <c r="G780" s="26"/>
      <c r="H780" s="147"/>
      <c r="I780" s="26"/>
      <c r="J780" s="26"/>
      <c r="K780" s="26"/>
      <c r="L780" s="26"/>
      <c r="M780" s="26"/>
      <c r="N780" s="148"/>
      <c r="O780" s="26"/>
      <c r="P780" s="26"/>
      <c r="Q780" s="26"/>
      <c r="R780" s="84"/>
      <c r="S780" s="136"/>
      <c r="T780" s="26"/>
      <c r="U780" s="45"/>
      <c r="V780" s="26"/>
      <c r="W780" s="26"/>
    </row>
    <row r="781" spans="1:23" x14ac:dyDescent="0.35">
      <c r="A781" s="26"/>
      <c r="B781" s="35"/>
      <c r="C781" s="26"/>
      <c r="D781" s="26"/>
      <c r="E781" s="44"/>
      <c r="F781" s="26"/>
      <c r="G781" s="26"/>
      <c r="H781" s="147"/>
      <c r="I781" s="26"/>
      <c r="J781" s="26"/>
      <c r="K781" s="26"/>
      <c r="L781" s="26"/>
      <c r="M781" s="26"/>
      <c r="N781" s="148"/>
      <c r="O781" s="26"/>
      <c r="P781" s="26"/>
      <c r="Q781" s="26"/>
      <c r="R781" s="84"/>
      <c r="S781" s="136"/>
      <c r="T781" s="26"/>
      <c r="U781" s="45"/>
      <c r="V781" s="26"/>
      <c r="W781" s="26"/>
    </row>
    <row r="782" spans="1:23" x14ac:dyDescent="0.35">
      <c r="A782" s="26"/>
      <c r="B782" s="35"/>
      <c r="C782" s="26"/>
      <c r="D782" s="26"/>
      <c r="E782" s="44"/>
      <c r="F782" s="26"/>
      <c r="G782" s="26"/>
      <c r="H782" s="147"/>
      <c r="I782" s="26"/>
      <c r="J782" s="26"/>
      <c r="K782" s="26"/>
      <c r="L782" s="26"/>
      <c r="M782" s="26"/>
      <c r="N782" s="148"/>
      <c r="O782" s="26"/>
      <c r="P782" s="26"/>
      <c r="Q782" s="26"/>
      <c r="R782" s="84"/>
      <c r="S782" s="136"/>
      <c r="T782" s="26"/>
      <c r="U782" s="45"/>
      <c r="V782" s="26"/>
      <c r="W782" s="26"/>
    </row>
    <row r="783" spans="1:23" x14ac:dyDescent="0.35">
      <c r="A783" s="26"/>
      <c r="B783" s="35"/>
      <c r="C783" s="26"/>
      <c r="D783" s="26"/>
      <c r="E783" s="44"/>
      <c r="F783" s="26"/>
      <c r="G783" s="26"/>
      <c r="H783" s="147"/>
      <c r="I783" s="26"/>
      <c r="J783" s="26"/>
      <c r="K783" s="26"/>
      <c r="L783" s="26"/>
      <c r="M783" s="26"/>
      <c r="N783" s="148"/>
      <c r="O783" s="26"/>
      <c r="P783" s="26"/>
      <c r="Q783" s="26"/>
      <c r="R783" s="84"/>
      <c r="S783" s="136"/>
      <c r="T783" s="26"/>
      <c r="U783" s="45"/>
      <c r="V783" s="26"/>
      <c r="W783" s="26"/>
    </row>
    <row r="784" spans="1:23" x14ac:dyDescent="0.35">
      <c r="A784" s="26"/>
      <c r="B784" s="35"/>
      <c r="C784" s="26"/>
      <c r="D784" s="26"/>
      <c r="E784" s="44"/>
      <c r="F784" s="26"/>
      <c r="G784" s="26"/>
      <c r="H784" s="147"/>
      <c r="I784" s="26"/>
      <c r="J784" s="26"/>
      <c r="K784" s="26"/>
      <c r="L784" s="26"/>
      <c r="M784" s="26"/>
      <c r="N784" s="148"/>
      <c r="O784" s="26"/>
      <c r="P784" s="26"/>
      <c r="Q784" s="26"/>
      <c r="R784" s="84"/>
      <c r="S784" s="136"/>
      <c r="T784" s="26"/>
      <c r="U784" s="45"/>
      <c r="V784" s="26"/>
      <c r="W784" s="26"/>
    </row>
    <row r="785" spans="1:23" x14ac:dyDescent="0.35">
      <c r="A785" s="26"/>
      <c r="B785" s="35"/>
      <c r="C785" s="26"/>
      <c r="D785" s="26"/>
      <c r="E785" s="44"/>
      <c r="F785" s="26"/>
      <c r="G785" s="26"/>
      <c r="H785" s="147"/>
      <c r="I785" s="26"/>
      <c r="J785" s="26"/>
      <c r="K785" s="26"/>
      <c r="L785" s="26"/>
      <c r="M785" s="26"/>
      <c r="N785" s="148"/>
      <c r="O785" s="26"/>
      <c r="P785" s="26"/>
      <c r="Q785" s="26"/>
      <c r="R785" s="84"/>
      <c r="S785" s="136"/>
      <c r="T785" s="26"/>
      <c r="U785" s="45"/>
      <c r="V785" s="26"/>
      <c r="W785" s="26"/>
    </row>
    <row r="786" spans="1:23" x14ac:dyDescent="0.35">
      <c r="A786" s="26"/>
      <c r="B786" s="35"/>
      <c r="C786" s="26"/>
      <c r="D786" s="26"/>
      <c r="E786" s="44"/>
      <c r="F786" s="26"/>
      <c r="G786" s="26"/>
      <c r="H786" s="147"/>
      <c r="I786" s="26"/>
      <c r="J786" s="26"/>
      <c r="K786" s="26"/>
      <c r="L786" s="26"/>
      <c r="M786" s="26"/>
      <c r="N786" s="148"/>
      <c r="O786" s="26"/>
      <c r="P786" s="26"/>
      <c r="Q786" s="26"/>
      <c r="R786" s="84"/>
      <c r="S786" s="136"/>
      <c r="T786" s="26"/>
      <c r="U786" s="45"/>
      <c r="V786" s="26"/>
      <c r="W786" s="26"/>
    </row>
    <row r="787" spans="1:23" x14ac:dyDescent="0.35">
      <c r="A787" s="26"/>
      <c r="B787" s="35"/>
      <c r="C787" s="26"/>
      <c r="D787" s="26"/>
      <c r="E787" s="44"/>
      <c r="F787" s="26"/>
      <c r="G787" s="26"/>
      <c r="H787" s="147"/>
      <c r="I787" s="26"/>
      <c r="J787" s="26"/>
      <c r="K787" s="26"/>
      <c r="L787" s="26"/>
      <c r="M787" s="26"/>
      <c r="N787" s="148"/>
      <c r="O787" s="26"/>
      <c r="P787" s="26"/>
      <c r="Q787" s="26"/>
      <c r="R787" s="84"/>
      <c r="S787" s="136"/>
      <c r="T787" s="26"/>
      <c r="U787" s="45"/>
      <c r="V787" s="26"/>
      <c r="W787" s="26"/>
    </row>
    <row r="788" spans="1:23" x14ac:dyDescent="0.35">
      <c r="A788" s="26"/>
      <c r="B788" s="35"/>
      <c r="C788" s="26"/>
      <c r="D788" s="26"/>
      <c r="E788" s="44"/>
      <c r="F788" s="26"/>
      <c r="G788" s="26"/>
      <c r="H788" s="147"/>
      <c r="I788" s="26"/>
      <c r="J788" s="26"/>
      <c r="K788" s="26"/>
      <c r="L788" s="26"/>
      <c r="M788" s="26"/>
      <c r="N788" s="148"/>
      <c r="O788" s="26"/>
      <c r="P788" s="26"/>
      <c r="Q788" s="26"/>
      <c r="R788" s="84"/>
      <c r="S788" s="136"/>
      <c r="T788" s="26"/>
      <c r="U788" s="45"/>
      <c r="V788" s="26"/>
      <c r="W788" s="26"/>
    </row>
    <row r="789" spans="1:23" x14ac:dyDescent="0.35">
      <c r="A789" s="26"/>
      <c r="B789" s="35"/>
      <c r="C789" s="26"/>
      <c r="D789" s="26"/>
      <c r="E789" s="44"/>
      <c r="F789" s="26"/>
      <c r="G789" s="26"/>
      <c r="H789" s="147"/>
      <c r="I789" s="26"/>
      <c r="J789" s="26"/>
      <c r="K789" s="26"/>
      <c r="L789" s="26"/>
      <c r="M789" s="26"/>
      <c r="N789" s="148"/>
      <c r="O789" s="26"/>
      <c r="P789" s="26"/>
      <c r="Q789" s="26"/>
      <c r="R789" s="84"/>
      <c r="S789" s="136"/>
      <c r="T789" s="26"/>
      <c r="U789" s="45"/>
      <c r="V789" s="26"/>
      <c r="W789" s="26"/>
    </row>
    <row r="790" spans="1:23" x14ac:dyDescent="0.35">
      <c r="A790" s="26"/>
      <c r="B790" s="35"/>
      <c r="C790" s="26"/>
      <c r="D790" s="26"/>
      <c r="E790" s="44"/>
      <c r="F790" s="26"/>
      <c r="G790" s="26"/>
      <c r="H790" s="147"/>
      <c r="I790" s="26"/>
      <c r="J790" s="26"/>
      <c r="K790" s="26"/>
      <c r="L790" s="26"/>
      <c r="M790" s="26"/>
      <c r="N790" s="148"/>
      <c r="O790" s="26"/>
      <c r="P790" s="26"/>
      <c r="Q790" s="26"/>
      <c r="R790" s="84"/>
      <c r="S790" s="136"/>
      <c r="T790" s="26"/>
      <c r="U790" s="45"/>
      <c r="V790" s="26"/>
      <c r="W790" s="26"/>
    </row>
    <row r="791" spans="1:23" x14ac:dyDescent="0.35">
      <c r="A791" s="26"/>
      <c r="B791" s="35"/>
      <c r="C791" s="26"/>
      <c r="D791" s="26"/>
      <c r="E791" s="44"/>
      <c r="F791" s="26"/>
      <c r="G791" s="26"/>
      <c r="H791" s="147"/>
      <c r="I791" s="26"/>
      <c r="J791" s="26"/>
      <c r="K791" s="26"/>
      <c r="L791" s="26"/>
      <c r="M791" s="26"/>
      <c r="N791" s="148"/>
      <c r="O791" s="26"/>
      <c r="P791" s="26"/>
      <c r="Q791" s="26"/>
      <c r="R791" s="84"/>
      <c r="S791" s="136"/>
      <c r="T791" s="26"/>
      <c r="U791" s="45"/>
      <c r="V791" s="26"/>
      <c r="W791" s="26"/>
    </row>
    <row r="792" spans="1:23" x14ac:dyDescent="0.35">
      <c r="A792" s="26"/>
      <c r="B792" s="35"/>
      <c r="C792" s="26"/>
      <c r="D792" s="26"/>
      <c r="E792" s="44"/>
      <c r="F792" s="26"/>
      <c r="G792" s="26"/>
      <c r="H792" s="147"/>
      <c r="I792" s="26"/>
      <c r="J792" s="26"/>
      <c r="K792" s="26"/>
      <c r="L792" s="26"/>
      <c r="M792" s="26"/>
      <c r="N792" s="148"/>
      <c r="O792" s="26"/>
      <c r="P792" s="26"/>
      <c r="Q792" s="26"/>
      <c r="R792" s="84"/>
      <c r="S792" s="136"/>
      <c r="T792" s="26"/>
      <c r="U792" s="45"/>
      <c r="V792" s="26"/>
      <c r="W792" s="26"/>
    </row>
    <row r="793" spans="1:23" x14ac:dyDescent="0.35">
      <c r="A793" s="26"/>
      <c r="B793" s="35"/>
      <c r="C793" s="26"/>
      <c r="D793" s="26"/>
      <c r="E793" s="44"/>
      <c r="F793" s="26"/>
      <c r="G793" s="26"/>
      <c r="H793" s="147"/>
      <c r="I793" s="26"/>
      <c r="J793" s="26"/>
      <c r="K793" s="26"/>
      <c r="L793" s="26"/>
      <c r="M793" s="26"/>
      <c r="N793" s="148"/>
      <c r="O793" s="26"/>
      <c r="P793" s="26"/>
      <c r="Q793" s="26"/>
      <c r="R793" s="84"/>
      <c r="S793" s="136"/>
      <c r="T793" s="26"/>
      <c r="U793" s="45"/>
      <c r="V793" s="26"/>
      <c r="W793" s="26"/>
    </row>
    <row r="794" spans="1:23" x14ac:dyDescent="0.35">
      <c r="A794" s="26"/>
      <c r="B794" s="35"/>
      <c r="C794" s="26"/>
      <c r="D794" s="26"/>
      <c r="E794" s="44"/>
      <c r="F794" s="26"/>
      <c r="G794" s="26"/>
      <c r="H794" s="147"/>
      <c r="I794" s="26"/>
      <c r="J794" s="26"/>
      <c r="K794" s="26"/>
      <c r="L794" s="26"/>
      <c r="M794" s="26"/>
      <c r="N794" s="148"/>
      <c r="O794" s="26"/>
      <c r="P794" s="26"/>
      <c r="Q794" s="26"/>
      <c r="R794" s="84"/>
      <c r="S794" s="136"/>
      <c r="T794" s="26"/>
      <c r="U794" s="45"/>
      <c r="V794" s="26"/>
      <c r="W794" s="26"/>
    </row>
    <row r="795" spans="1:23" x14ac:dyDescent="0.35">
      <c r="A795" s="26"/>
      <c r="B795" s="35"/>
      <c r="C795" s="26"/>
      <c r="D795" s="26"/>
      <c r="E795" s="44"/>
      <c r="F795" s="26"/>
      <c r="G795" s="26"/>
      <c r="H795" s="147"/>
      <c r="I795" s="26"/>
      <c r="J795" s="26"/>
      <c r="K795" s="26"/>
      <c r="L795" s="26"/>
      <c r="M795" s="26"/>
      <c r="N795" s="148"/>
      <c r="O795" s="26"/>
      <c r="P795" s="26"/>
      <c r="Q795" s="26"/>
      <c r="R795" s="84"/>
      <c r="S795" s="136"/>
      <c r="T795" s="26"/>
      <c r="U795" s="45"/>
      <c r="V795" s="26"/>
      <c r="W795" s="26"/>
    </row>
    <row r="796" spans="1:23" x14ac:dyDescent="0.35">
      <c r="A796" s="26"/>
      <c r="B796" s="35"/>
      <c r="C796" s="26"/>
      <c r="D796" s="26"/>
      <c r="E796" s="44"/>
      <c r="F796" s="26"/>
      <c r="G796" s="26"/>
      <c r="H796" s="147"/>
      <c r="I796" s="26"/>
      <c r="J796" s="26"/>
      <c r="K796" s="26"/>
      <c r="L796" s="26"/>
      <c r="M796" s="26"/>
      <c r="N796" s="148"/>
      <c r="O796" s="26"/>
      <c r="P796" s="26"/>
      <c r="Q796" s="26"/>
      <c r="R796" s="84"/>
      <c r="S796" s="136"/>
      <c r="T796" s="26"/>
      <c r="U796" s="45"/>
      <c r="V796" s="26"/>
      <c r="W796" s="26"/>
    </row>
    <row r="797" spans="1:23" x14ac:dyDescent="0.35">
      <c r="A797" s="26"/>
      <c r="B797" s="35"/>
      <c r="C797" s="26"/>
      <c r="D797" s="26"/>
      <c r="E797" s="44"/>
      <c r="F797" s="26"/>
      <c r="G797" s="26"/>
      <c r="H797" s="147"/>
      <c r="I797" s="26"/>
      <c r="J797" s="26"/>
      <c r="K797" s="26"/>
      <c r="L797" s="26"/>
      <c r="M797" s="26"/>
      <c r="N797" s="148"/>
      <c r="O797" s="26"/>
      <c r="P797" s="26"/>
      <c r="Q797" s="26"/>
      <c r="R797" s="84"/>
      <c r="S797" s="136"/>
      <c r="T797" s="26"/>
      <c r="U797" s="45"/>
      <c r="V797" s="26"/>
      <c r="W797" s="26"/>
    </row>
    <row r="798" spans="1:23" x14ac:dyDescent="0.35">
      <c r="A798" s="26"/>
      <c r="B798" s="35"/>
      <c r="C798" s="26"/>
      <c r="D798" s="26"/>
      <c r="E798" s="44"/>
      <c r="F798" s="26"/>
      <c r="G798" s="26"/>
      <c r="H798" s="147"/>
      <c r="I798" s="26"/>
      <c r="J798" s="26"/>
      <c r="K798" s="26"/>
      <c r="L798" s="26"/>
      <c r="M798" s="26"/>
      <c r="N798" s="148"/>
      <c r="O798" s="26"/>
      <c r="P798" s="26"/>
      <c r="Q798" s="26"/>
      <c r="R798" s="84"/>
      <c r="S798" s="136"/>
      <c r="T798" s="26"/>
      <c r="U798" s="45"/>
      <c r="V798" s="26"/>
      <c r="W798" s="26"/>
    </row>
    <row r="799" spans="1:23" x14ac:dyDescent="0.35">
      <c r="A799" s="26"/>
      <c r="B799" s="35"/>
      <c r="C799" s="26"/>
      <c r="D799" s="26"/>
      <c r="E799" s="44"/>
      <c r="F799" s="26"/>
      <c r="G799" s="26"/>
      <c r="H799" s="147"/>
      <c r="I799" s="26"/>
      <c r="J799" s="26"/>
      <c r="K799" s="26"/>
      <c r="L799" s="26"/>
      <c r="M799" s="26"/>
      <c r="N799" s="148"/>
      <c r="O799" s="26"/>
      <c r="P799" s="26"/>
      <c r="Q799" s="26"/>
      <c r="R799" s="84"/>
      <c r="S799" s="136"/>
      <c r="T799" s="26"/>
      <c r="U799" s="45"/>
      <c r="V799" s="26"/>
      <c r="W799" s="26"/>
    </row>
    <row r="800" spans="1:23" x14ac:dyDescent="0.35">
      <c r="A800" s="26"/>
      <c r="B800" s="35"/>
      <c r="C800" s="26"/>
      <c r="D800" s="26"/>
      <c r="E800" s="44"/>
      <c r="F800" s="26"/>
      <c r="G800" s="26"/>
      <c r="H800" s="147"/>
      <c r="I800" s="26"/>
      <c r="J800" s="26"/>
      <c r="K800" s="26"/>
      <c r="L800" s="26"/>
      <c r="M800" s="26"/>
      <c r="N800" s="148"/>
      <c r="O800" s="26"/>
      <c r="P800" s="26"/>
      <c r="Q800" s="26"/>
      <c r="R800" s="84"/>
      <c r="S800" s="136"/>
      <c r="T800" s="26"/>
      <c r="U800" s="45"/>
      <c r="V800" s="26"/>
      <c r="W800" s="26"/>
    </row>
    <row r="801" spans="1:23" x14ac:dyDescent="0.35">
      <c r="A801" s="26"/>
      <c r="B801" s="35"/>
      <c r="C801" s="26"/>
      <c r="D801" s="26"/>
      <c r="E801" s="44"/>
      <c r="F801" s="26"/>
      <c r="G801" s="26"/>
      <c r="H801" s="147"/>
      <c r="I801" s="26"/>
      <c r="J801" s="26"/>
      <c r="K801" s="26"/>
      <c r="L801" s="26"/>
      <c r="M801" s="26"/>
      <c r="N801" s="148"/>
      <c r="O801" s="26"/>
      <c r="P801" s="26"/>
      <c r="Q801" s="26"/>
      <c r="R801" s="84"/>
      <c r="S801" s="136"/>
      <c r="T801" s="26"/>
      <c r="U801" s="45"/>
      <c r="V801" s="26"/>
      <c r="W801" s="26"/>
    </row>
    <row r="802" spans="1:23" x14ac:dyDescent="0.35">
      <c r="A802" s="26"/>
      <c r="B802" s="35"/>
      <c r="C802" s="26"/>
      <c r="D802" s="26"/>
      <c r="E802" s="44"/>
      <c r="F802" s="26"/>
      <c r="G802" s="26"/>
      <c r="H802" s="147"/>
      <c r="I802" s="26"/>
      <c r="J802" s="26"/>
      <c r="K802" s="26"/>
      <c r="L802" s="26"/>
      <c r="M802" s="26"/>
      <c r="N802" s="148"/>
      <c r="O802" s="26"/>
      <c r="P802" s="26"/>
      <c r="Q802" s="26"/>
      <c r="R802" s="84"/>
      <c r="S802" s="136"/>
      <c r="T802" s="26"/>
      <c r="U802" s="45"/>
      <c r="V802" s="26"/>
      <c r="W802" s="26"/>
    </row>
    <row r="803" spans="1:23" x14ac:dyDescent="0.35">
      <c r="A803" s="26"/>
      <c r="B803" s="35"/>
      <c r="C803" s="26"/>
      <c r="D803" s="26"/>
      <c r="E803" s="44"/>
      <c r="F803" s="26"/>
      <c r="G803" s="26"/>
      <c r="H803" s="147"/>
      <c r="I803" s="26"/>
      <c r="J803" s="26"/>
      <c r="K803" s="26"/>
      <c r="L803" s="26"/>
      <c r="M803" s="26"/>
      <c r="N803" s="148"/>
      <c r="O803" s="26"/>
      <c r="P803" s="26"/>
      <c r="Q803" s="26"/>
      <c r="R803" s="84"/>
      <c r="S803" s="136"/>
      <c r="T803" s="26"/>
      <c r="U803" s="45"/>
      <c r="V803" s="26"/>
      <c r="W803" s="26"/>
    </row>
    <row r="804" spans="1:23" x14ac:dyDescent="0.35">
      <c r="A804" s="26"/>
      <c r="B804" s="35"/>
      <c r="C804" s="26"/>
      <c r="D804" s="26"/>
      <c r="E804" s="44"/>
      <c r="F804" s="26"/>
      <c r="G804" s="26"/>
      <c r="H804" s="147"/>
      <c r="I804" s="26"/>
      <c r="J804" s="26"/>
      <c r="K804" s="26"/>
      <c r="L804" s="26"/>
      <c r="M804" s="26"/>
      <c r="N804" s="148"/>
      <c r="O804" s="26"/>
      <c r="P804" s="26"/>
      <c r="Q804" s="26"/>
      <c r="R804" s="84"/>
      <c r="S804" s="136"/>
      <c r="T804" s="26"/>
      <c r="U804" s="45"/>
      <c r="V804" s="26"/>
      <c r="W804" s="26"/>
    </row>
    <row r="805" spans="1:23" x14ac:dyDescent="0.35">
      <c r="A805" s="26"/>
      <c r="B805" s="35"/>
      <c r="C805" s="26"/>
      <c r="D805" s="26"/>
      <c r="E805" s="44"/>
      <c r="F805" s="26"/>
      <c r="G805" s="26"/>
      <c r="H805" s="147"/>
      <c r="I805" s="26"/>
      <c r="J805" s="26"/>
      <c r="K805" s="26"/>
      <c r="L805" s="26"/>
      <c r="M805" s="26"/>
      <c r="N805" s="148"/>
      <c r="O805" s="26"/>
      <c r="P805" s="26"/>
      <c r="Q805" s="26"/>
      <c r="R805" s="84"/>
      <c r="S805" s="136"/>
      <c r="T805" s="26"/>
      <c r="U805" s="45"/>
      <c r="V805" s="26"/>
      <c r="W805" s="26"/>
    </row>
    <row r="806" spans="1:23" x14ac:dyDescent="0.35">
      <c r="A806" s="26"/>
      <c r="B806" s="35"/>
      <c r="C806" s="26"/>
      <c r="D806" s="26"/>
      <c r="E806" s="44"/>
      <c r="F806" s="26"/>
      <c r="G806" s="26"/>
      <c r="H806" s="147"/>
      <c r="I806" s="26"/>
      <c r="J806" s="26"/>
      <c r="K806" s="26"/>
      <c r="L806" s="26"/>
      <c r="M806" s="26"/>
      <c r="N806" s="148"/>
      <c r="O806" s="26"/>
      <c r="P806" s="26"/>
      <c r="Q806" s="26"/>
      <c r="R806" s="84"/>
      <c r="S806" s="136"/>
      <c r="T806" s="26"/>
      <c r="U806" s="45"/>
      <c r="V806" s="26"/>
      <c r="W806" s="26"/>
    </row>
    <row r="807" spans="1:23" x14ac:dyDescent="0.35">
      <c r="A807" s="26"/>
      <c r="B807" s="35"/>
      <c r="C807" s="26"/>
      <c r="D807" s="26"/>
      <c r="E807" s="44"/>
      <c r="F807" s="26"/>
      <c r="G807" s="26"/>
      <c r="H807" s="147"/>
      <c r="I807" s="26"/>
      <c r="J807" s="26"/>
      <c r="K807" s="26"/>
      <c r="L807" s="26"/>
      <c r="M807" s="26"/>
      <c r="N807" s="148"/>
      <c r="O807" s="26"/>
      <c r="P807" s="26"/>
      <c r="Q807" s="26"/>
      <c r="R807" s="84"/>
      <c r="S807" s="136"/>
      <c r="T807" s="26"/>
      <c r="U807" s="45"/>
      <c r="V807" s="26"/>
      <c r="W807" s="26"/>
    </row>
    <row r="808" spans="1:23" x14ac:dyDescent="0.35">
      <c r="A808" s="26"/>
      <c r="B808" s="35"/>
      <c r="C808" s="26"/>
      <c r="D808" s="26"/>
      <c r="E808" s="44"/>
      <c r="F808" s="26"/>
      <c r="G808" s="26"/>
      <c r="H808" s="147"/>
      <c r="I808" s="26"/>
      <c r="J808" s="26"/>
      <c r="K808" s="26"/>
      <c r="L808" s="26"/>
      <c r="M808" s="26"/>
      <c r="N808" s="148"/>
      <c r="O808" s="26"/>
      <c r="P808" s="26"/>
      <c r="Q808" s="26"/>
      <c r="R808" s="84"/>
      <c r="S808" s="136"/>
      <c r="T808" s="26"/>
      <c r="U808" s="45"/>
      <c r="V808" s="26"/>
      <c r="W808" s="26"/>
    </row>
    <row r="809" spans="1:23" x14ac:dyDescent="0.35">
      <c r="A809" s="26"/>
      <c r="B809" s="35"/>
      <c r="C809" s="26"/>
      <c r="D809" s="26"/>
      <c r="E809" s="44"/>
      <c r="F809" s="26"/>
      <c r="G809" s="26"/>
      <c r="H809" s="147"/>
      <c r="I809" s="26"/>
      <c r="J809" s="26"/>
      <c r="K809" s="26"/>
      <c r="L809" s="26"/>
      <c r="M809" s="26"/>
      <c r="N809" s="148"/>
      <c r="O809" s="26"/>
      <c r="P809" s="26"/>
      <c r="Q809" s="26"/>
      <c r="R809" s="84"/>
      <c r="S809" s="136"/>
      <c r="T809" s="26"/>
      <c r="U809" s="45"/>
      <c r="V809" s="26"/>
      <c r="W809" s="26"/>
    </row>
    <row r="810" spans="1:23" x14ac:dyDescent="0.35">
      <c r="A810" s="26"/>
      <c r="B810" s="35"/>
      <c r="C810" s="26"/>
      <c r="D810" s="26"/>
      <c r="E810" s="44"/>
      <c r="F810" s="26"/>
      <c r="G810" s="26"/>
      <c r="H810" s="147"/>
      <c r="I810" s="26"/>
      <c r="J810" s="26"/>
      <c r="K810" s="26"/>
      <c r="L810" s="26"/>
      <c r="M810" s="26"/>
      <c r="N810" s="148"/>
      <c r="O810" s="26"/>
      <c r="P810" s="26"/>
      <c r="Q810" s="26"/>
      <c r="R810" s="84"/>
      <c r="S810" s="136"/>
      <c r="T810" s="26"/>
      <c r="U810" s="45"/>
      <c r="V810" s="26"/>
      <c r="W810" s="26"/>
    </row>
  </sheetData>
  <mergeCells count="1">
    <mergeCell ref="S4:W6"/>
  </mergeCells>
  <pageMargins left="0.7" right="0.7" top="0.75" bottom="0.75" header="0.3" footer="0.3"/>
  <pageSetup paperSize="9" scale="43" orientation="landscape" r:id="rId1"/>
  <rowBreaks count="1" manualBreakCount="1">
    <brk id="128" max="45" man="1"/>
  </rowBreaks>
  <colBreaks count="1" manualBreakCount="1">
    <brk id="17" max="1048575" man="1"/>
  </colBreaks>
  <ignoredErrors>
    <ignoredError sqref="L248 L25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790"/>
  <sheetViews>
    <sheetView zoomScaleNormal="100" workbookViewId="0">
      <selection activeCell="H161" sqref="H161"/>
    </sheetView>
  </sheetViews>
  <sheetFormatPr defaultColWidth="9.1796875" defaultRowHeight="15.5" x14ac:dyDescent="0.35"/>
  <cols>
    <col min="1" max="1" width="79.453125" style="13" customWidth="1"/>
    <col min="2" max="2" width="14.54296875" style="1070" customWidth="1"/>
    <col min="3" max="3" width="8.453125" style="13" customWidth="1"/>
    <col min="4" max="4" width="5.7265625" style="13" customWidth="1"/>
    <col min="5" max="5" width="11.81640625" style="63" customWidth="1"/>
    <col min="6" max="6" width="10.81640625" style="13" customWidth="1"/>
    <col min="7" max="7" width="5.453125" style="13" customWidth="1"/>
    <col min="8" max="8" width="13.1796875" style="39" customWidth="1"/>
    <col min="9" max="9" width="6" style="13" customWidth="1"/>
    <col min="10" max="10" width="11.1796875" style="13" customWidth="1"/>
    <col min="11" max="11" width="11" style="13" customWidth="1"/>
    <col min="12" max="12" width="11.7265625" style="13" customWidth="1"/>
    <col min="13" max="13" width="15.81640625" style="13" customWidth="1"/>
    <col min="14" max="14" width="14.54296875" style="41" customWidth="1"/>
    <col min="15" max="15" width="12.453125" style="13" customWidth="1"/>
    <col min="16" max="16" width="53.26953125" style="13" customWidth="1"/>
    <col min="17" max="17" width="7.81640625" style="13" customWidth="1"/>
    <col min="18" max="18" width="14.54296875" style="410" customWidth="1"/>
    <col min="19" max="19" width="6.453125" style="436" customWidth="1"/>
    <col min="20" max="20" width="5.7265625" style="13" customWidth="1"/>
    <col min="21" max="21" width="12.1796875" style="34" customWidth="1"/>
    <col min="22" max="22" width="11.1796875" style="13" customWidth="1"/>
    <col min="23" max="23" width="11.81640625" style="13" customWidth="1"/>
    <col min="24" max="24" width="11.26953125" style="13" customWidth="1"/>
    <col min="25" max="25" width="12" style="13" customWidth="1"/>
    <col min="26" max="26" width="14.453125" style="13" customWidth="1"/>
    <col min="27" max="27" width="6.54296875" style="13" customWidth="1"/>
    <col min="28" max="28" width="5.81640625" style="13" customWidth="1"/>
    <col min="29" max="29" width="11.54296875" style="13" customWidth="1"/>
    <col min="30" max="30" width="9.1796875" style="13" customWidth="1"/>
    <col min="31" max="31" width="5.7265625" style="13" customWidth="1"/>
    <col min="32" max="32" width="11.453125" style="13" customWidth="1"/>
    <col min="33" max="33" width="4.26953125" style="13" customWidth="1"/>
    <col min="34" max="34" width="5.7265625" style="13" customWidth="1"/>
    <col min="35" max="35" width="11.1796875" style="13" customWidth="1"/>
    <col min="36" max="36" width="10.453125" style="13" customWidth="1"/>
    <col min="37" max="37" width="9.1796875" style="13" customWidth="1"/>
    <col min="38" max="38" width="4.453125" style="13" customWidth="1"/>
    <col min="39" max="39" width="10.7265625" style="13" customWidth="1"/>
    <col min="40" max="40" width="4.54296875" style="13" customWidth="1"/>
    <col min="41" max="41" width="5" style="13" customWidth="1"/>
    <col min="42" max="42" width="18.26953125" style="13" customWidth="1"/>
    <col min="43" max="16384" width="9.1796875" style="13"/>
  </cols>
  <sheetData>
    <row r="1" spans="1:34" x14ac:dyDescent="0.35">
      <c r="A1" s="225"/>
      <c r="R1" s="322" t="s">
        <v>97</v>
      </c>
      <c r="S1" s="13"/>
    </row>
    <row r="2" spans="1:34" x14ac:dyDescent="0.35">
      <c r="A2" s="291"/>
      <c r="B2" s="406" t="s">
        <v>794</v>
      </c>
      <c r="D2" s="1241"/>
      <c r="E2" s="585" t="s">
        <v>796</v>
      </c>
      <c r="H2" s="1294" t="s">
        <v>795</v>
      </c>
      <c r="P2" s="254" t="s">
        <v>100</v>
      </c>
      <c r="Q2" s="14"/>
      <c r="R2" s="34"/>
      <c r="S2" s="13"/>
    </row>
    <row r="3" spans="1:34" x14ac:dyDescent="0.35">
      <c r="A3" s="11" t="s">
        <v>886</v>
      </c>
      <c r="B3" s="54"/>
      <c r="E3" s="698" t="s">
        <v>335</v>
      </c>
      <c r="F3" s="436"/>
      <c r="G3" s="1071"/>
      <c r="I3" s="436"/>
      <c r="O3" s="94"/>
      <c r="P3" s="446"/>
      <c r="Q3" s="14"/>
      <c r="R3" s="193"/>
      <c r="S3" s="13" t="s">
        <v>92</v>
      </c>
    </row>
    <row r="4" spans="1:34" ht="15.75" customHeight="1" x14ac:dyDescent="0.35">
      <c r="A4" s="11" t="s">
        <v>861</v>
      </c>
      <c r="B4" s="413">
        <f>'параметры для расчета'!K5*'параметры для расчета'!C12*(100-'параметры для расчета'!C21)%</f>
        <v>3.9163048082686361E+21</v>
      </c>
      <c r="C4" s="13" t="s">
        <v>29</v>
      </c>
      <c r="D4" s="1070" t="s">
        <v>37</v>
      </c>
      <c r="E4" s="666">
        <f>B4*(1/2*1.38E-23*'баланс тритий'!E6)</f>
        <v>3698.8402348750956</v>
      </c>
      <c r="F4" s="13" t="s">
        <v>28</v>
      </c>
      <c r="G4" s="1070" t="s">
        <v>37</v>
      </c>
      <c r="H4" s="413">
        <f>B4*2/(6.02*10^23)</f>
        <v>1.301097942946391E-2</v>
      </c>
      <c r="I4" s="132" t="s">
        <v>2</v>
      </c>
      <c r="J4" s="1016" t="s">
        <v>8</v>
      </c>
      <c r="K4" s="448">
        <f>H4</f>
        <v>1.301097942946391E-2</v>
      </c>
      <c r="L4" s="13" t="s">
        <v>2</v>
      </c>
      <c r="M4" s="64" t="s">
        <v>259</v>
      </c>
      <c r="Q4" s="14"/>
      <c r="R4" s="194"/>
      <c r="S4" s="1419" t="s">
        <v>93</v>
      </c>
      <c r="T4" s="1419"/>
      <c r="U4" s="1419"/>
      <c r="V4" s="1419"/>
      <c r="W4" s="1419"/>
    </row>
    <row r="5" spans="1:34" x14ac:dyDescent="0.35">
      <c r="A5" s="1071" t="s">
        <v>893</v>
      </c>
      <c r="B5" s="1361">
        <f>'параметры для расчета'!$K$5*'параметры для расчета'!N12*(1-'параметры для расчета'!$C$20%)</f>
        <v>2.0444645209631152E+21</v>
      </c>
      <c r="C5" s="2" t="s">
        <v>29</v>
      </c>
      <c r="D5" s="1241" t="s">
        <v>37</v>
      </c>
      <c r="E5" s="666">
        <f>B5*(1/2*1.38E-23*'баланс тритий'!E6)</f>
        <v>1930.9394950430753</v>
      </c>
      <c r="F5" s="13" t="s">
        <v>28</v>
      </c>
      <c r="G5" s="1241" t="s">
        <v>37</v>
      </c>
      <c r="H5" s="1360">
        <f>B5*3/(6.02*10^23)</f>
        <v>1.0188361400148416E-2</v>
      </c>
      <c r="I5" s="3" t="s">
        <v>2</v>
      </c>
      <c r="M5" s="1356" t="s">
        <v>887</v>
      </c>
      <c r="N5" s="79"/>
      <c r="O5" s="285"/>
      <c r="P5" s="26"/>
      <c r="Q5" s="46"/>
      <c r="R5" s="577"/>
      <c r="S5" s="1419"/>
      <c r="T5" s="1419"/>
      <c r="U5" s="1419"/>
      <c r="V5" s="1419"/>
      <c r="W5" s="1419"/>
    </row>
    <row r="6" spans="1:34" x14ac:dyDescent="0.35">
      <c r="A6" s="1357" t="s">
        <v>885</v>
      </c>
      <c r="B6" s="105">
        <f>(B4+'баланс дейтерий'!B4)/'параметры для расчета'!$K$5</f>
        <v>6.4716265525384389E+19</v>
      </c>
      <c r="C6" s="409"/>
      <c r="D6" s="248"/>
      <c r="E6" s="339"/>
      <c r="F6" s="26"/>
      <c r="G6" s="1016"/>
      <c r="H6" s="107"/>
      <c r="I6" s="132"/>
      <c r="J6" s="1016"/>
      <c r="K6" s="895"/>
      <c r="M6" s="64"/>
      <c r="N6" s="79"/>
      <c r="O6" s="285"/>
      <c r="P6" s="26"/>
      <c r="Q6" s="46"/>
      <c r="R6" s="578"/>
      <c r="S6" s="1419"/>
      <c r="T6" s="1419"/>
      <c r="U6" s="1419"/>
      <c r="V6" s="1419"/>
      <c r="W6" s="1419"/>
    </row>
    <row r="7" spans="1:34" x14ac:dyDescent="0.35">
      <c r="A7" s="1358" t="s">
        <v>892</v>
      </c>
      <c r="B7" s="733">
        <f>B4/(B4+'баланс тритий'!B4)</f>
        <v>0.5</v>
      </c>
      <c r="C7" s="409"/>
      <c r="D7" s="280"/>
      <c r="E7" s="491"/>
      <c r="F7" s="308"/>
      <c r="G7" s="280"/>
      <c r="H7" s="274"/>
      <c r="I7" s="132"/>
      <c r="J7" s="1016"/>
      <c r="K7" s="895"/>
      <c r="M7" s="64"/>
      <c r="N7" s="79"/>
      <c r="O7" s="285"/>
      <c r="P7" s="26"/>
      <c r="Q7" s="46"/>
      <c r="R7" s="195"/>
      <c r="S7" s="13" t="s">
        <v>94</v>
      </c>
      <c r="T7" s="976"/>
      <c r="U7" s="976"/>
      <c r="V7" s="976"/>
      <c r="W7" s="976"/>
    </row>
    <row r="8" spans="1:34" x14ac:dyDescent="0.35">
      <c r="A8" s="12"/>
      <c r="B8" s="105"/>
      <c r="E8" s="111"/>
      <c r="H8" s="58"/>
      <c r="K8" s="1070"/>
      <c r="N8" s="277"/>
      <c r="O8" s="292"/>
      <c r="P8" s="293"/>
      <c r="Q8" s="1016"/>
      <c r="R8" s="196"/>
      <c r="S8" s="13" t="s">
        <v>95</v>
      </c>
      <c r="T8" s="976"/>
      <c r="U8" s="976"/>
      <c r="V8" s="976"/>
      <c r="W8" s="976"/>
      <c r="X8" s="242"/>
      <c r="Y8" s="136"/>
    </row>
    <row r="9" spans="1:34" ht="18" customHeight="1" x14ac:dyDescent="0.35">
      <c r="A9" s="71" t="s">
        <v>894</v>
      </c>
      <c r="B9" s="413">
        <f>'параметры для расчета'!C15*10^6/(((17.589)*10^6)*1.6*10^(-19))</f>
        <v>1.1784920981299063E+19</v>
      </c>
      <c r="C9" s="13" t="s">
        <v>14</v>
      </c>
      <c r="D9" s="1070" t="s">
        <v>37</v>
      </c>
      <c r="E9" s="666">
        <f>B9*(1/2*1.38E-23*136880)</f>
        <v>11.130527889049489</v>
      </c>
      <c r="F9" s="13" t="s">
        <v>9</v>
      </c>
      <c r="G9" s="1070" t="s">
        <v>37</v>
      </c>
      <c r="H9" s="413">
        <f>B9*2/(6.02*10^23)</f>
        <v>3.9152561399664665E-5</v>
      </c>
      <c r="I9" s="436" t="s">
        <v>7</v>
      </c>
      <c r="J9" s="1016" t="s">
        <v>8</v>
      </c>
      <c r="K9" s="445">
        <f>H9</f>
        <v>3.9152561399664665E-5</v>
      </c>
      <c r="L9" s="436" t="s">
        <v>7</v>
      </c>
      <c r="M9" s="200" t="s">
        <v>257</v>
      </c>
      <c r="Q9" s="14"/>
      <c r="R9" s="675"/>
      <c r="S9" s="436" t="s">
        <v>316</v>
      </c>
    </row>
    <row r="10" spans="1:34" x14ac:dyDescent="0.35">
      <c r="A10" s="1071" t="s">
        <v>895</v>
      </c>
      <c r="B10" s="413">
        <f>'параметры для расчета'!K31*'параметры для расчета'!K38^'параметры для расчета'!L31*'параметры для расчета'!C16^'параметры для расчета'!M31*'параметры для расчета'!C24%^'параметры для расчета'!N31*10^20*(100-'параметры для расчета'!C20)%</f>
        <v>1.1162947416967056E+21</v>
      </c>
      <c r="C10" s="13" t="s">
        <v>14</v>
      </c>
      <c r="D10" s="1070" t="s">
        <v>37</v>
      </c>
      <c r="E10" s="666">
        <f>B10*(1/2*1.38E-23*136880)</f>
        <v>1054.309127279771</v>
      </c>
      <c r="F10" s="13" t="s">
        <v>9</v>
      </c>
      <c r="G10" s="1070" t="s">
        <v>37</v>
      </c>
      <c r="H10" s="1360">
        <f>B10*3/(6.02*10^23)</f>
        <v>5.5629306064619889E-3</v>
      </c>
      <c r="I10" s="436" t="s">
        <v>7</v>
      </c>
      <c r="M10" s="74" t="s">
        <v>258</v>
      </c>
      <c r="N10" s="172"/>
      <c r="O10" s="117"/>
      <c r="Q10" s="14"/>
      <c r="R10" s="676"/>
      <c r="S10" s="436" t="s">
        <v>317</v>
      </c>
      <c r="AD10" s="1071"/>
      <c r="AE10" s="1070"/>
      <c r="AF10" s="436"/>
      <c r="AH10" s="447"/>
    </row>
    <row r="11" spans="1:34" x14ac:dyDescent="0.35">
      <c r="B11" s="575"/>
      <c r="D11" s="112"/>
      <c r="E11" s="1072"/>
      <c r="F11" s="19"/>
      <c r="G11" s="19"/>
      <c r="H11" s="58"/>
      <c r="I11" s="19"/>
      <c r="J11" s="19"/>
      <c r="K11" s="406"/>
      <c r="L11" s="19"/>
      <c r="N11" s="130"/>
      <c r="P11" s="255"/>
      <c r="W11" s="1071"/>
    </row>
    <row r="12" spans="1:34" x14ac:dyDescent="0.35">
      <c r="A12" s="1071" t="s">
        <v>896</v>
      </c>
      <c r="B12" s="73">
        <f>B32+B102+B10-B9</f>
        <v>8.2619719534046337E+21</v>
      </c>
      <c r="C12" s="13" t="s">
        <v>14</v>
      </c>
      <c r="E12" s="585">
        <f>B33+B103+B10-B9-E13</f>
        <v>8.2619719534046337E+21</v>
      </c>
      <c r="F12" s="13" t="s">
        <v>14</v>
      </c>
      <c r="G12" s="63"/>
      <c r="H12" s="190">
        <f>B34+B104+B10-B9-H13</f>
        <v>8.1208679426888806E+21</v>
      </c>
      <c r="I12" s="13" t="s">
        <v>14</v>
      </c>
      <c r="N12" s="94"/>
      <c r="O12" s="296"/>
      <c r="P12" s="25"/>
      <c r="R12" s="146"/>
      <c r="S12" s="22"/>
      <c r="T12" s="19"/>
      <c r="U12" s="87"/>
    </row>
    <row r="13" spans="1:34" x14ac:dyDescent="0.35">
      <c r="A13" s="97"/>
      <c r="B13" s="69"/>
      <c r="C13" s="26"/>
      <c r="D13" s="26"/>
      <c r="E13" s="69"/>
      <c r="F13" s="26"/>
      <c r="G13" s="44"/>
      <c r="H13" s="69"/>
      <c r="I13" s="26"/>
      <c r="J13" s="1016"/>
      <c r="K13" s="453"/>
      <c r="L13" s="566"/>
      <c r="N13" s="94"/>
      <c r="O13" s="296"/>
      <c r="P13" s="25"/>
      <c r="R13" s="146"/>
      <c r="S13" s="22"/>
      <c r="T13" s="19"/>
      <c r="U13" s="87"/>
    </row>
    <row r="14" spans="1:34" x14ac:dyDescent="0.35">
      <c r="B14" s="110"/>
      <c r="E14" s="395">
        <f>E13*(1/2*1.38E-23*300)</f>
        <v>0</v>
      </c>
      <c r="H14" s="58"/>
      <c r="K14" s="63"/>
      <c r="N14" s="105"/>
      <c r="Q14" s="14"/>
      <c r="R14" s="146"/>
      <c r="S14" s="22"/>
      <c r="T14" s="19"/>
      <c r="U14" s="87"/>
    </row>
    <row r="15" spans="1:34" x14ac:dyDescent="0.35">
      <c r="A15" s="48" t="s">
        <v>911</v>
      </c>
      <c r="B15" s="68">
        <f>B73</f>
        <v>6.9872976180796824E+21</v>
      </c>
      <c r="C15" s="13" t="s">
        <v>14</v>
      </c>
      <c r="E15" s="489">
        <f>B74</f>
        <v>6.9872976180796824E+21</v>
      </c>
      <c r="F15" s="13" t="s">
        <v>14</v>
      </c>
      <c r="G15" s="63"/>
      <c r="H15" s="182">
        <f>B75</f>
        <v>6.6578763131062908E+21</v>
      </c>
      <c r="I15" s="13" t="s">
        <v>14</v>
      </c>
      <c r="J15" s="1016"/>
      <c r="K15" s="1359"/>
      <c r="L15" s="566"/>
      <c r="N15" s="37"/>
      <c r="R15" s="14"/>
      <c r="S15" s="410"/>
    </row>
    <row r="16" spans="1:34" x14ac:dyDescent="0.35">
      <c r="A16" s="26"/>
      <c r="B16" s="69"/>
      <c r="C16" s="26"/>
      <c r="D16" s="1016"/>
      <c r="E16" s="159"/>
      <c r="F16" s="26"/>
      <c r="G16" s="1016"/>
      <c r="H16" s="147"/>
      <c r="I16" s="136"/>
      <c r="J16" s="26"/>
      <c r="K16" s="26"/>
      <c r="L16" s="96"/>
      <c r="Q16" s="379"/>
      <c r="R16" s="14"/>
      <c r="S16" s="410"/>
    </row>
    <row r="17" spans="1:36" x14ac:dyDescent="0.35">
      <c r="A17" s="26"/>
      <c r="B17" s="69"/>
      <c r="C17" s="26"/>
      <c r="D17" s="1016"/>
      <c r="E17" s="159"/>
      <c r="F17" s="26"/>
      <c r="G17" s="1016"/>
      <c r="H17" s="147"/>
      <c r="I17" s="136"/>
      <c r="J17" s="26"/>
      <c r="K17" s="26"/>
      <c r="L17" s="96"/>
      <c r="Q17" s="379"/>
      <c r="R17" s="14"/>
      <c r="S17" s="410"/>
    </row>
    <row r="18" spans="1:36" x14ac:dyDescent="0.35">
      <c r="B18" s="13"/>
      <c r="E18" s="13"/>
      <c r="H18" s="13"/>
      <c r="M18" s="25"/>
      <c r="Q18" s="379"/>
      <c r="R18" s="14"/>
      <c r="S18" s="410"/>
    </row>
    <row r="19" spans="1:36" x14ac:dyDescent="0.35">
      <c r="A19" s="48" t="s">
        <v>448</v>
      </c>
      <c r="B19" s="73">
        <f>B32+B73</f>
        <v>7.1747976180796825E+21</v>
      </c>
      <c r="C19" s="13" t="s">
        <v>14</v>
      </c>
      <c r="D19" s="1070" t="s">
        <v>37</v>
      </c>
      <c r="E19" s="119">
        <f>B19*(1/2*1.38E-23*1000)</f>
        <v>49.506103564749814</v>
      </c>
      <c r="F19" s="13" t="s">
        <v>9</v>
      </c>
      <c r="G19" s="1070" t="s">
        <v>37</v>
      </c>
      <c r="H19" s="449">
        <f>B19*2/(6.02*10^23)</f>
        <v>2.3836536937141804E-2</v>
      </c>
      <c r="I19" s="436" t="s">
        <v>7</v>
      </c>
      <c r="J19" s="1070" t="s">
        <v>8</v>
      </c>
      <c r="K19" s="170">
        <f>H19</f>
        <v>2.3836536937141804E-2</v>
      </c>
      <c r="L19" s="2" t="s">
        <v>7</v>
      </c>
      <c r="M19" s="25"/>
      <c r="P19" s="253" t="s">
        <v>118</v>
      </c>
      <c r="Q19" s="379"/>
      <c r="R19" s="14"/>
      <c r="S19" s="410"/>
    </row>
    <row r="20" spans="1:36" x14ac:dyDescent="0.35">
      <c r="A20" s="48"/>
      <c r="B20" s="585">
        <f>B33+B74</f>
        <v>7.1747976180796825E+21</v>
      </c>
      <c r="D20" s="1070"/>
      <c r="E20" s="581">
        <f>B20*(1/2*1.38E-23*1000)</f>
        <v>49.506103564749814</v>
      </c>
      <c r="G20" s="1070"/>
      <c r="H20" s="606">
        <f>B20*2/(6.02*10^23)</f>
        <v>2.3836536937141804E-2</v>
      </c>
      <c r="I20" s="436"/>
      <c r="J20" s="1070"/>
      <c r="K20" s="170">
        <f>H20</f>
        <v>2.3836536937141804E-2</v>
      </c>
      <c r="L20" s="2"/>
      <c r="M20" s="25"/>
      <c r="Q20" s="379"/>
      <c r="R20" s="14"/>
      <c r="S20" s="410"/>
    </row>
    <row r="21" spans="1:36" x14ac:dyDescent="0.35">
      <c r="A21" s="48"/>
      <c r="B21" s="190">
        <f>B34+B75</f>
        <v>7.0328763131062911E+21</v>
      </c>
      <c r="D21" s="1070"/>
      <c r="E21" s="211">
        <f>B21*(1/2*1.38E-23*1000)</f>
        <v>48.526846560433412</v>
      </c>
      <c r="G21" s="1070"/>
      <c r="H21" s="209">
        <f>B21*2/(6.02*10^23)</f>
        <v>2.3365037585070737E-2</v>
      </c>
      <c r="I21" s="436"/>
      <c r="J21" s="1070"/>
      <c r="K21" s="170">
        <f>H21</f>
        <v>2.3365037585070737E-2</v>
      </c>
      <c r="L21" s="2"/>
      <c r="M21" s="25"/>
      <c r="Q21" s="379"/>
      <c r="R21" s="14"/>
      <c r="S21" s="410"/>
    </row>
    <row r="22" spans="1:36" x14ac:dyDescent="0.35">
      <c r="A22" s="48"/>
      <c r="B22" s="110"/>
      <c r="C22" s="19"/>
      <c r="D22" s="406"/>
      <c r="E22" s="69"/>
      <c r="F22" s="19"/>
      <c r="G22" s="406"/>
      <c r="H22" s="107"/>
      <c r="I22" s="436"/>
      <c r="J22" s="1070"/>
      <c r="K22" s="701"/>
      <c r="L22" s="2"/>
      <c r="M22" s="25"/>
      <c r="Q22" s="14"/>
      <c r="R22" s="14"/>
      <c r="AE22" s="1071"/>
      <c r="AF22" s="1070"/>
      <c r="AG22" s="436"/>
      <c r="AI22" s="447"/>
    </row>
    <row r="23" spans="1:36" x14ac:dyDescent="0.35">
      <c r="A23" s="514" t="s">
        <v>301</v>
      </c>
      <c r="B23" s="415" t="s">
        <v>794</v>
      </c>
      <c r="D23" s="1241"/>
      <c r="E23" s="585" t="s">
        <v>796</v>
      </c>
      <c r="H23" s="1294" t="s">
        <v>795</v>
      </c>
      <c r="Q23" s="435"/>
      <c r="R23" s="36"/>
      <c r="S23" s="410"/>
    </row>
    <row r="24" spans="1:36" x14ac:dyDescent="0.35">
      <c r="A24" s="514"/>
      <c r="B24" s="406"/>
      <c r="C24" s="19"/>
      <c r="D24" s="406"/>
      <c r="E24" s="110"/>
      <c r="F24" s="19"/>
      <c r="G24" s="19"/>
      <c r="H24" s="575"/>
      <c r="P24" s="252" t="s">
        <v>106</v>
      </c>
      <c r="Q24" s="435"/>
      <c r="R24" s="36"/>
      <c r="S24" s="410"/>
    </row>
    <row r="25" spans="1:36" x14ac:dyDescent="0.35">
      <c r="A25" s="32" t="s">
        <v>344</v>
      </c>
      <c r="E25" s="104"/>
      <c r="Q25" s="86"/>
      <c r="R25" s="30"/>
      <c r="S25" s="410"/>
    </row>
    <row r="26" spans="1:36" x14ac:dyDescent="0.35">
      <c r="A26" s="36" t="s">
        <v>371</v>
      </c>
      <c r="B26" s="21">
        <f>'параметры для расчета'!C32</f>
        <v>30</v>
      </c>
      <c r="C26" s="1" t="s">
        <v>19</v>
      </c>
      <c r="E26" s="673" t="s">
        <v>447</v>
      </c>
      <c r="R26" s="14"/>
      <c r="S26" s="410"/>
      <c r="T26" s="136"/>
      <c r="U26" s="26"/>
      <c r="V26" s="45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</row>
    <row r="27" spans="1:36" x14ac:dyDescent="0.35">
      <c r="A27" s="1071" t="s">
        <v>446</v>
      </c>
      <c r="B27" s="554">
        <f>('параметры для расчета'!C32*10^6)/('параметры для расчета'!C33*10^3)</f>
        <v>60</v>
      </c>
      <c r="C27" s="436" t="s">
        <v>33</v>
      </c>
      <c r="N27" s="294" t="s">
        <v>163</v>
      </c>
      <c r="P27" s="25"/>
      <c r="S27" s="13"/>
      <c r="T27" s="26"/>
      <c r="U27" s="26"/>
      <c r="V27" s="136"/>
      <c r="W27" s="26"/>
      <c r="X27" s="45"/>
      <c r="Y27" s="26"/>
      <c r="Z27" s="26"/>
      <c r="AA27" s="138"/>
      <c r="AB27" s="332"/>
      <c r="AC27" s="26"/>
      <c r="AD27" s="26"/>
      <c r="AE27" s="26"/>
      <c r="AF27" s="26"/>
      <c r="AG27" s="26"/>
      <c r="AH27" s="26"/>
      <c r="AI27" s="26"/>
      <c r="AJ27" s="26"/>
    </row>
    <row r="28" spans="1:36" x14ac:dyDescent="0.35">
      <c r="A28" s="1071"/>
      <c r="B28" s="614">
        <f>('параметры для расчета'!C32*10^6)/('параметры для расчета'!C33*10^3)</f>
        <v>60</v>
      </c>
      <c r="C28" s="436"/>
      <c r="E28" s="890"/>
      <c r="N28" s="52" t="s">
        <v>260</v>
      </c>
      <c r="P28" s="25"/>
      <c r="S28" s="13"/>
      <c r="T28" s="26"/>
      <c r="U28" s="26"/>
      <c r="V28" s="136"/>
      <c r="W28" s="26"/>
      <c r="X28" s="45"/>
      <c r="Y28" s="26"/>
      <c r="Z28" s="26"/>
      <c r="AA28" s="138"/>
      <c r="AB28" s="332"/>
      <c r="AC28" s="26"/>
      <c r="AD28" s="26"/>
      <c r="AE28" s="26"/>
      <c r="AF28" s="26"/>
      <c r="AG28" s="26"/>
      <c r="AH28" s="26"/>
      <c r="AI28" s="26"/>
      <c r="AJ28" s="26"/>
    </row>
    <row r="29" spans="1:36" x14ac:dyDescent="0.35">
      <c r="A29" s="1071"/>
      <c r="B29" s="613">
        <f>('параметры для расчета'!C32*10^6)/('параметры для расчета'!C33*10^3)</f>
        <v>60</v>
      </c>
      <c r="C29" s="436"/>
      <c r="E29" s="451"/>
      <c r="N29" s="52" t="s">
        <v>158</v>
      </c>
      <c r="P29" s="25"/>
      <c r="S29" s="13"/>
      <c r="T29" s="26"/>
      <c r="U29" s="26"/>
      <c r="V29" s="136"/>
      <c r="W29" s="26"/>
      <c r="X29" s="45"/>
      <c r="Y29" s="26"/>
      <c r="Z29" s="26"/>
      <c r="AA29" s="138"/>
      <c r="AB29" s="332"/>
      <c r="AC29" s="26"/>
      <c r="AD29" s="26"/>
      <c r="AE29" s="26"/>
      <c r="AF29" s="26"/>
      <c r="AG29" s="26"/>
      <c r="AH29" s="26"/>
      <c r="AI29" s="26"/>
      <c r="AJ29" s="26"/>
    </row>
    <row r="30" spans="1:36" x14ac:dyDescent="0.35">
      <c r="B30" s="555"/>
      <c r="E30" s="13"/>
      <c r="H30" s="13"/>
      <c r="L30" s="452"/>
      <c r="N30" s="52" t="s">
        <v>156</v>
      </c>
      <c r="S30" s="13"/>
      <c r="T30" s="47"/>
      <c r="U30" s="26"/>
      <c r="V30" s="136"/>
      <c r="W30" s="26"/>
      <c r="X30" s="4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</row>
    <row r="31" spans="1:36" x14ac:dyDescent="0.35">
      <c r="A31" s="36" t="s">
        <v>529</v>
      </c>
      <c r="E31" s="104"/>
      <c r="K31" s="141"/>
      <c r="S31" s="13"/>
      <c r="T31" s="46"/>
      <c r="U31" s="435"/>
      <c r="V31" s="136"/>
      <c r="W31" s="26"/>
      <c r="X31" s="45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</row>
    <row r="32" spans="1:36" x14ac:dyDescent="0.35">
      <c r="A32" s="76" t="s">
        <v>544</v>
      </c>
      <c r="B32" s="68">
        <f>(6.25*10^18*B27)*(100-'параметры для расчета'!C21)%</f>
        <v>1.875E+20</v>
      </c>
      <c r="C32" s="13" t="s">
        <v>14</v>
      </c>
      <c r="D32" s="1070" t="s">
        <v>37</v>
      </c>
      <c r="E32" s="55">
        <f>B32*(1/2*1.38E-23*300)</f>
        <v>0.388125</v>
      </c>
      <c r="F32" s="1" t="s">
        <v>9</v>
      </c>
      <c r="G32" s="1070" t="s">
        <v>37</v>
      </c>
      <c r="H32" s="449">
        <f>B32*2/(6.02*10^23)</f>
        <v>6.2292358803986718E-4</v>
      </c>
      <c r="I32" s="436" t="s">
        <v>7</v>
      </c>
      <c r="J32" s="115"/>
      <c r="K32" s="128"/>
      <c r="M32" s="1071" t="s">
        <v>64</v>
      </c>
      <c r="N32" s="119">
        <f>100*B32/B19</f>
        <v>2.6133141306665029</v>
      </c>
      <c r="O32" s="13" t="s">
        <v>18</v>
      </c>
      <c r="P32" s="54"/>
      <c r="AC32" s="26"/>
      <c r="AD32" s="26"/>
      <c r="AE32" s="26"/>
      <c r="AF32" s="26"/>
      <c r="AG32" s="26"/>
      <c r="AH32" s="26"/>
      <c r="AI32" s="26"/>
      <c r="AJ32" s="26"/>
    </row>
    <row r="33" spans="1:36" x14ac:dyDescent="0.35">
      <c r="A33" s="76"/>
      <c r="B33" s="489">
        <f>(6.25*10^18*B28)*(100-'параметры для расчета'!C21)%</f>
        <v>1.875E+20</v>
      </c>
      <c r="C33" s="19"/>
      <c r="D33" s="406"/>
      <c r="E33" s="133">
        <f>B33*(1/2*1.38E-23*300)</f>
        <v>0.388125</v>
      </c>
      <c r="F33" s="19"/>
      <c r="G33" s="406"/>
      <c r="H33" s="606">
        <f>B33*2/(6.02*10^23)</f>
        <v>6.2292358803986718E-4</v>
      </c>
      <c r="I33" s="436"/>
      <c r="J33" s="115"/>
      <c r="K33" s="128"/>
      <c r="M33" s="1071"/>
      <c r="N33" s="581">
        <f>100*B33/B20</f>
        <v>2.6133141306665029</v>
      </c>
      <c r="P33" s="54"/>
      <c r="AC33" s="26"/>
      <c r="AD33" s="26"/>
      <c r="AE33" s="26"/>
      <c r="AF33" s="26"/>
      <c r="AG33" s="26"/>
      <c r="AH33" s="26"/>
      <c r="AI33" s="26"/>
      <c r="AJ33" s="26"/>
    </row>
    <row r="34" spans="1:36" x14ac:dyDescent="0.35">
      <c r="B34" s="182">
        <f>(6.25*10^18*B29)</f>
        <v>3.75E+20</v>
      </c>
      <c r="C34" s="19"/>
      <c r="D34" s="406"/>
      <c r="E34" s="211">
        <f>B34*(1/2*1.38E-23*300)</f>
        <v>0.77625</v>
      </c>
      <c r="F34" s="19"/>
      <c r="G34" s="406"/>
      <c r="H34" s="209">
        <f>B34*2/(6.02*10^23)</f>
        <v>1.2458471760797344E-3</v>
      </c>
      <c r="I34" s="436"/>
      <c r="N34" s="210">
        <f>100*B34/B21</f>
        <v>5.3321000299857326</v>
      </c>
      <c r="P34" s="19"/>
      <c r="AC34" s="26"/>
      <c r="AD34" s="26"/>
      <c r="AE34" s="26"/>
      <c r="AF34" s="26"/>
      <c r="AG34" s="26"/>
      <c r="AH34" s="26"/>
      <c r="AI34" s="26"/>
      <c r="AJ34" s="26"/>
    </row>
    <row r="35" spans="1:36" x14ac:dyDescent="0.35">
      <c r="E35" s="104"/>
      <c r="S35" s="13"/>
      <c r="T35" s="26"/>
      <c r="U35" s="435"/>
      <c r="V35" s="136"/>
      <c r="W35" s="26"/>
      <c r="X35" s="45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</row>
    <row r="36" spans="1:36" x14ac:dyDescent="0.35">
      <c r="A36" s="12" t="s">
        <v>545</v>
      </c>
      <c r="B36" s="68">
        <f>B32/'параметры для расчета'!$C$66%</f>
        <v>2.0833333333333334E+20</v>
      </c>
      <c r="C36" s="13" t="s">
        <v>14</v>
      </c>
      <c r="D36" s="1070" t="s">
        <v>37</v>
      </c>
      <c r="E36" s="55">
        <f>B36*(1/2*1.38E-23*300)</f>
        <v>0.43125000000000002</v>
      </c>
      <c r="F36" s="1" t="s">
        <v>9</v>
      </c>
      <c r="G36" s="1070" t="s">
        <v>37</v>
      </c>
      <c r="H36" s="528">
        <f>B36*2/(6.02*10^23)</f>
        <v>6.9213732004429695E-4</v>
      </c>
      <c r="I36" s="436" t="s">
        <v>7</v>
      </c>
      <c r="J36" s="32"/>
      <c r="L36" s="85" t="s">
        <v>770</v>
      </c>
      <c r="P36" s="85"/>
      <c r="S36" s="103"/>
      <c r="T36" s="26"/>
      <c r="U36" s="435"/>
      <c r="V36" s="136"/>
      <c r="W36" s="26"/>
      <c r="X36" s="45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</row>
    <row r="37" spans="1:36" ht="15.65" customHeight="1" x14ac:dyDescent="0.35">
      <c r="A37" s="94" t="s">
        <v>530</v>
      </c>
      <c r="B37" s="489">
        <f>B33/'параметры для расчета'!$C$66%</f>
        <v>2.0833333333333334E+20</v>
      </c>
      <c r="C37" s="19"/>
      <c r="D37" s="406"/>
      <c r="E37" s="133">
        <f>B37*(1/2*1.38E-23*300)</f>
        <v>0.43125000000000002</v>
      </c>
      <c r="F37" s="19"/>
      <c r="G37" s="406"/>
      <c r="H37" s="616">
        <f>B37*2/(6.02*10^23)</f>
        <v>6.9213732004429695E-4</v>
      </c>
      <c r="I37" s="436"/>
      <c r="J37" s="32"/>
      <c r="L37" s="85" t="s">
        <v>771</v>
      </c>
      <c r="P37" s="85"/>
      <c r="S37" s="103"/>
      <c r="T37" s="26"/>
      <c r="U37" s="435"/>
      <c r="V37" s="136"/>
      <c r="W37" s="26"/>
      <c r="X37" s="45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</row>
    <row r="38" spans="1:36" x14ac:dyDescent="0.35">
      <c r="A38" s="482"/>
      <c r="B38" s="182">
        <f>B34/'параметры для расчета'!$C$66%</f>
        <v>4.1666666666666669E+20</v>
      </c>
      <c r="C38" s="19"/>
      <c r="D38" s="406"/>
      <c r="E38" s="211">
        <f>B38*(1/2*1.38E-23*300)</f>
        <v>0.86250000000000004</v>
      </c>
      <c r="F38" s="19"/>
      <c r="G38" s="406"/>
      <c r="H38" s="307">
        <f>B38*2/(6.02*10^23)</f>
        <v>1.3842746400885939E-3</v>
      </c>
      <c r="I38" s="436"/>
      <c r="S38" s="13"/>
      <c r="T38" s="26"/>
      <c r="U38" s="435"/>
      <c r="V38" s="136"/>
      <c r="W38" s="26"/>
      <c r="X38" s="45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36" x14ac:dyDescent="0.35">
      <c r="B39" s="1201">
        <f>B37-B36</f>
        <v>0</v>
      </c>
      <c r="E39" s="104"/>
      <c r="S39" s="13"/>
      <c r="T39" s="26"/>
      <c r="U39" s="435"/>
      <c r="V39" s="136"/>
      <c r="W39" s="26"/>
      <c r="X39" s="45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36" x14ac:dyDescent="0.35">
      <c r="A40" s="13" t="s">
        <v>155</v>
      </c>
      <c r="E40" s="104"/>
      <c r="J40" s="25"/>
      <c r="Q40" s="167"/>
      <c r="S40" s="13"/>
      <c r="T40" s="26"/>
      <c r="U40" s="435"/>
      <c r="V40" s="136"/>
      <c r="W40" s="26"/>
      <c r="X40" s="45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36" x14ac:dyDescent="0.35">
      <c r="A41" s="120" t="s">
        <v>63</v>
      </c>
      <c r="B41" s="380">
        <f>'баланс тритий'!B41</f>
        <v>4</v>
      </c>
      <c r="C41" s="22" t="s">
        <v>42</v>
      </c>
      <c r="D41" s="19"/>
      <c r="E41" s="430" t="s">
        <v>111</v>
      </c>
      <c r="F41" s="19"/>
      <c r="G41" s="19"/>
      <c r="H41" s="1072"/>
      <c r="I41" s="19"/>
      <c r="J41" s="74"/>
      <c r="K41" s="19"/>
      <c r="L41" s="19"/>
      <c r="M41" s="19"/>
      <c r="N41" s="130"/>
      <c r="O41" s="19"/>
      <c r="P41" s="262" t="s">
        <v>110</v>
      </c>
      <c r="Q41" s="167"/>
      <c r="S41" s="13"/>
      <c r="T41" s="26"/>
      <c r="U41" s="435"/>
      <c r="V41" s="136"/>
      <c r="W41" s="26"/>
      <c r="X41" s="45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x14ac:dyDescent="0.35">
      <c r="A42" s="19"/>
      <c r="B42" s="19"/>
      <c r="C42" s="19"/>
      <c r="D42" s="19"/>
      <c r="E42" s="381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S42" s="13"/>
      <c r="T42" s="26"/>
      <c r="U42" s="435"/>
      <c r="V42" s="136"/>
      <c r="W42" s="26"/>
      <c r="X42" s="45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x14ac:dyDescent="0.35">
      <c r="A43" s="246" t="s">
        <v>126</v>
      </c>
      <c r="B43" s="68">
        <f>B32</f>
        <v>1.875E+20</v>
      </c>
      <c r="C43" s="19" t="s">
        <v>14</v>
      </c>
      <c r="D43" s="406" t="s">
        <v>37</v>
      </c>
      <c r="E43" s="55">
        <f>B43*(1/2*1.38E-23*300)</f>
        <v>0.388125</v>
      </c>
      <c r="F43" s="186" t="s">
        <v>9</v>
      </c>
      <c r="G43" s="19"/>
      <c r="H43" s="58"/>
      <c r="I43" s="19"/>
      <c r="J43" s="19"/>
      <c r="K43" s="19"/>
      <c r="L43" s="19"/>
      <c r="M43" s="19"/>
      <c r="N43" s="19"/>
      <c r="O43" s="19"/>
      <c r="P43" s="19"/>
      <c r="Q43" s="19"/>
      <c r="S43" s="13"/>
      <c r="T43" s="26"/>
      <c r="U43" s="435"/>
      <c r="V43" s="136"/>
      <c r="W43" s="26"/>
      <c r="X43" s="45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36" x14ac:dyDescent="0.35">
      <c r="A44" s="246"/>
      <c r="B44" s="489">
        <f>B33</f>
        <v>1.875E+20</v>
      </c>
      <c r="C44" s="19"/>
      <c r="D44" s="406"/>
      <c r="E44" s="133">
        <f>B44*(1/2*1.38E-23*300)</f>
        <v>0.388125</v>
      </c>
      <c r="F44" s="186"/>
      <c r="G44" s="19"/>
      <c r="H44" s="58"/>
      <c r="I44" s="19"/>
      <c r="J44" s="19"/>
      <c r="K44" s="19"/>
      <c r="L44" s="19"/>
      <c r="M44" s="19"/>
      <c r="N44" s="19"/>
      <c r="O44" s="19"/>
      <c r="P44" s="314"/>
      <c r="Q44" s="19"/>
      <c r="S44" s="13"/>
      <c r="T44" s="26"/>
      <c r="U44" s="435"/>
      <c r="V44" s="136"/>
      <c r="W44" s="26"/>
      <c r="X44" s="45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 x14ac:dyDescent="0.35">
      <c r="A45" s="19"/>
      <c r="B45" s="182">
        <f>B34</f>
        <v>3.75E+20</v>
      </c>
      <c r="C45" s="216"/>
      <c r="D45" s="217"/>
      <c r="E45" s="211">
        <f>B45*(1/2*1.38E-23*300)</f>
        <v>0.77625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S45" s="13"/>
      <c r="T45" s="26"/>
      <c r="U45" s="435"/>
      <c r="V45" s="136"/>
      <c r="W45" s="26"/>
      <c r="X45" s="4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36" x14ac:dyDescent="0.35">
      <c r="A46" s="19"/>
      <c r="B46" s="19"/>
      <c r="C46" s="19"/>
      <c r="D46" s="19"/>
      <c r="E46" s="381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S46" s="13"/>
      <c r="T46" s="26"/>
      <c r="U46" s="435"/>
      <c r="V46" s="136"/>
      <c r="W46" s="26"/>
      <c r="X46" s="4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36" x14ac:dyDescent="0.35">
      <c r="A47" s="246" t="s">
        <v>785</v>
      </c>
      <c r="B47" s="191">
        <f>E47/(1/2*1.38E-23*300)</f>
        <v>4.3478260869565215E+21</v>
      </c>
      <c r="C47" s="19" t="s">
        <v>14</v>
      </c>
      <c r="D47" s="406" t="s">
        <v>37</v>
      </c>
      <c r="E47" s="192">
        <f>IF(N32&gt;100,N47/(N32/100),N47)*B41*(100-'параметры для расчета'!C21)%</f>
        <v>9</v>
      </c>
      <c r="F47" s="186" t="s">
        <v>9</v>
      </c>
      <c r="G47" s="19"/>
      <c r="H47" s="1072"/>
      <c r="I47" s="19"/>
      <c r="J47" s="186"/>
      <c r="K47" s="19"/>
      <c r="L47" s="19"/>
      <c r="M47" s="19"/>
      <c r="N47" s="237">
        <f>'параметры для расчета'!C37</f>
        <v>4.5</v>
      </c>
      <c r="O47" s="112" t="s">
        <v>9</v>
      </c>
      <c r="P47" s="19"/>
      <c r="Q47" s="19"/>
      <c r="S47" s="13"/>
      <c r="T47" s="26"/>
      <c r="U47" s="435"/>
      <c r="V47" s="136"/>
      <c r="W47" s="26"/>
      <c r="X47" s="4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36" x14ac:dyDescent="0.35">
      <c r="A48" s="246"/>
      <c r="B48" s="606">
        <f>E48/(1/2*1.38E-23*300)</f>
        <v>4.3478260869565215E+21</v>
      </c>
      <c r="C48" s="112"/>
      <c r="D48" s="124"/>
      <c r="E48" s="133">
        <f>IF(N33&gt;100,N47/(N33/100),N47)*B41*(100-'параметры для расчета'!C21)%</f>
        <v>9</v>
      </c>
      <c r="F48" s="186"/>
      <c r="G48" s="19"/>
      <c r="H48" s="19"/>
      <c r="I48" s="19"/>
      <c r="J48" s="186"/>
      <c r="K48" s="19"/>
      <c r="L48" s="1073"/>
      <c r="M48" s="112"/>
      <c r="N48" s="130"/>
      <c r="O48" s="19"/>
      <c r="P48" s="187" t="s">
        <v>154</v>
      </c>
      <c r="Q48" s="19"/>
      <c r="S48" s="13"/>
      <c r="T48" s="26"/>
      <c r="U48" s="435"/>
      <c r="V48" s="136"/>
      <c r="W48" s="26"/>
      <c r="X48" s="4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x14ac:dyDescent="0.35">
      <c r="A49" s="19"/>
      <c r="B49" s="209">
        <f>N47*B41/(1/2*1.38E-23*300)</f>
        <v>8.695652173913043E+21</v>
      </c>
      <c r="C49" s="112"/>
      <c r="D49" s="124"/>
      <c r="E49" s="431">
        <f>B49*(1/2*1.38E-23*300)</f>
        <v>18</v>
      </c>
      <c r="F49" s="19"/>
      <c r="G49" s="19"/>
      <c r="H49" s="19"/>
      <c r="I49" s="19"/>
      <c r="J49" s="19"/>
      <c r="K49" s="19"/>
      <c r="L49" s="19"/>
      <c r="M49" s="19"/>
      <c r="N49" s="264"/>
      <c r="O49" s="19"/>
      <c r="P49" s="187" t="s">
        <v>153</v>
      </c>
      <c r="Q49" s="19"/>
      <c r="S49" s="13"/>
      <c r="T49" s="26"/>
      <c r="U49" s="435"/>
      <c r="V49" s="136"/>
      <c r="W49" s="26"/>
      <c r="X49" s="45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x14ac:dyDescent="0.35">
      <c r="A50" s="246" t="s">
        <v>786</v>
      </c>
      <c r="B50" s="510">
        <f>E50/(1/2*1.38E-23*300)</f>
        <v>1.8840579710144926E+22</v>
      </c>
      <c r="C50" s="112" t="s">
        <v>14</v>
      </c>
      <c r="D50" s="124" t="s">
        <v>37</v>
      </c>
      <c r="E50" s="688">
        <f>IF(B123&gt;100,N50/(B123/100),N50)*B41*(100-'параметры для расчета'!C21)%</f>
        <v>39</v>
      </c>
      <c r="F50" s="186" t="s">
        <v>9</v>
      </c>
      <c r="G50" s="19"/>
      <c r="H50" s="19"/>
      <c r="I50" s="19"/>
      <c r="J50" s="186"/>
      <c r="K50" s="19"/>
      <c r="L50" s="19"/>
      <c r="M50" s="19"/>
      <c r="N50" s="237">
        <f>'параметры для расчета'!C38</f>
        <v>19.5</v>
      </c>
      <c r="O50" s="112" t="s">
        <v>9</v>
      </c>
      <c r="P50" s="19"/>
      <c r="Q50" s="19"/>
      <c r="S50" s="13"/>
      <c r="T50" s="26"/>
      <c r="U50" s="435"/>
      <c r="V50" s="136"/>
      <c r="W50" s="26"/>
      <c r="X50" s="45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x14ac:dyDescent="0.35">
      <c r="A51" s="246"/>
      <c r="B51" s="606">
        <f>E51/(1/2*1.38E-23*300)</f>
        <v>1.8840579710144926E+22</v>
      </c>
      <c r="C51" s="112"/>
      <c r="D51" s="124"/>
      <c r="E51" s="133">
        <f>IF(N33&gt;100,N50/(N33/100),N50)*B41*(100-'параметры для расчета'!C21)%</f>
        <v>39</v>
      </c>
      <c r="F51" s="186"/>
      <c r="G51" s="19"/>
      <c r="H51" s="19"/>
      <c r="I51" s="19"/>
      <c r="J51" s="186"/>
      <c r="K51" s="19"/>
      <c r="L51" s="1073"/>
      <c r="M51" s="112"/>
      <c r="N51" s="1200">
        <f>N47+N50</f>
        <v>24</v>
      </c>
      <c r="O51" s="19"/>
      <c r="P51" s="19"/>
      <c r="Q51" s="19"/>
      <c r="S51" s="13"/>
      <c r="T51" s="26"/>
      <c r="U51" s="435"/>
      <c r="V51" s="136"/>
      <c r="W51" s="26"/>
      <c r="X51" s="45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spans="1:36" x14ac:dyDescent="0.35">
      <c r="A52" s="19"/>
      <c r="B52" s="209">
        <f>N50*B41/(1/2*1.38E-23*300)</f>
        <v>3.7681159420289852E+22</v>
      </c>
      <c r="C52" s="112"/>
      <c r="D52" s="124"/>
      <c r="E52" s="431">
        <f>B52*(1/2*1.38E-23*300)</f>
        <v>78</v>
      </c>
      <c r="F52" s="19"/>
      <c r="G52" s="19"/>
      <c r="H52" s="58"/>
      <c r="I52" s="19"/>
      <c r="J52" s="19"/>
      <c r="K52" s="19"/>
      <c r="L52" s="19"/>
      <c r="M52" s="19"/>
      <c r="N52" s="130"/>
      <c r="O52" s="19"/>
      <c r="P52" s="74"/>
      <c r="S52" s="13"/>
      <c r="T52" s="26"/>
      <c r="U52" s="435"/>
      <c r="V52" s="136"/>
      <c r="W52" s="26"/>
      <c r="X52" s="45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spans="1:36" x14ac:dyDescent="0.35">
      <c r="A53" s="19"/>
      <c r="B53" s="112"/>
      <c r="C53" s="112"/>
      <c r="D53" s="112"/>
      <c r="E53" s="547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S53" s="13"/>
      <c r="T53" s="26"/>
      <c r="U53" s="435"/>
      <c r="V53" s="136"/>
      <c r="W53" s="26"/>
      <c r="X53" s="45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spans="1:36" x14ac:dyDescent="0.35">
      <c r="A54" s="246" t="s">
        <v>783</v>
      </c>
      <c r="B54" s="109">
        <f>(B47+B50)/B41</f>
        <v>5.797101449275362E+21</v>
      </c>
      <c r="C54" s="112" t="s">
        <v>14</v>
      </c>
      <c r="D54" s="124" t="s">
        <v>37</v>
      </c>
      <c r="E54" s="114">
        <f>B54*(1/2*1.38E-23*300)</f>
        <v>12</v>
      </c>
      <c r="F54" s="22" t="s">
        <v>9</v>
      </c>
      <c r="G54" s="406" t="s">
        <v>37</v>
      </c>
      <c r="H54" s="114">
        <f>B54*2/(6.02*10^23)</f>
        <v>1.9259473253406521E-2</v>
      </c>
      <c r="I54" s="22" t="s">
        <v>7</v>
      </c>
      <c r="J54" s="186"/>
      <c r="K54" s="19"/>
      <c r="L54" s="1073"/>
      <c r="M54" s="120" t="s">
        <v>159</v>
      </c>
      <c r="N54" s="55">
        <f>100*(B43/B41)/B54</f>
        <v>0.80859375000000011</v>
      </c>
      <c r="O54" s="19" t="s">
        <v>18</v>
      </c>
      <c r="P54" s="54" t="s">
        <v>160</v>
      </c>
      <c r="S54" s="13"/>
      <c r="T54" s="26"/>
      <c r="U54" s="435"/>
      <c r="V54" s="136"/>
      <c r="W54" s="26"/>
      <c r="X54" s="45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spans="1:36" x14ac:dyDescent="0.35">
      <c r="A55" s="246"/>
      <c r="B55" s="606">
        <f>(B48+B51)/B41</f>
        <v>5.797101449275362E+21</v>
      </c>
      <c r="C55" s="112"/>
      <c r="D55" s="124"/>
      <c r="E55" s="580">
        <f>B55*(1/2*1.38E-23*300)</f>
        <v>12</v>
      </c>
      <c r="F55" s="22"/>
      <c r="G55" s="406"/>
      <c r="H55" s="580">
        <f>B55*2/(6.02*10^23)</f>
        <v>1.9259473253406521E-2</v>
      </c>
      <c r="I55" s="22"/>
      <c r="J55" s="186"/>
      <c r="K55" s="19"/>
      <c r="L55" s="1073"/>
      <c r="M55" s="120"/>
      <c r="N55" s="133">
        <f>100*(B44/B41)/B55</f>
        <v>0.80859375000000011</v>
      </c>
      <c r="O55" s="19"/>
      <c r="P55" s="54" t="s">
        <v>161</v>
      </c>
      <c r="S55" s="13"/>
      <c r="T55" s="26"/>
      <c r="U55" s="435"/>
      <c r="V55" s="136"/>
      <c r="W55" s="26"/>
      <c r="X55" s="45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spans="1:36" x14ac:dyDescent="0.35">
      <c r="A56" s="246"/>
      <c r="B56" s="209">
        <f>(B49+B52)/B41</f>
        <v>1.1594202898550724E+22</v>
      </c>
      <c r="C56" s="112"/>
      <c r="D56" s="124"/>
      <c r="E56" s="431">
        <f>B56*(1/2*1.38E-23*300)</f>
        <v>24</v>
      </c>
      <c r="F56" s="19"/>
      <c r="G56" s="406"/>
      <c r="H56" s="212">
        <f>B56*2/(6.02*10^23)</f>
        <v>3.8518946506813041E-2</v>
      </c>
      <c r="I56" s="436"/>
      <c r="J56" s="186"/>
      <c r="K56" s="19"/>
      <c r="L56" s="1073"/>
      <c r="M56" s="5" t="s">
        <v>162</v>
      </c>
      <c r="N56" s="211">
        <f>100*(B45/B41)/B56</f>
        <v>0.80859375000000011</v>
      </c>
      <c r="O56" s="19"/>
      <c r="S56" s="13"/>
      <c r="T56" s="26"/>
      <c r="U56" s="435"/>
      <c r="V56" s="136"/>
      <c r="W56" s="26"/>
      <c r="X56" s="45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spans="1:36" x14ac:dyDescent="0.35">
      <c r="A57" s="19"/>
      <c r="B57" s="368"/>
      <c r="C57" s="112"/>
      <c r="D57" s="112"/>
      <c r="E57" s="547"/>
      <c r="F57" s="19"/>
      <c r="G57" s="19"/>
      <c r="H57" s="58"/>
      <c r="I57" s="19"/>
      <c r="J57" s="19"/>
      <c r="K57" s="19"/>
      <c r="L57" s="19"/>
      <c r="N57" s="130"/>
      <c r="O57" s="19"/>
      <c r="P57" s="19"/>
      <c r="S57" s="13"/>
      <c r="T57" s="26"/>
      <c r="U57" s="435"/>
      <c r="V57" s="136"/>
      <c r="W57" s="26"/>
      <c r="X57" s="45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spans="1:36" x14ac:dyDescent="0.35">
      <c r="A58" s="120" t="s">
        <v>784</v>
      </c>
      <c r="B58" s="1302">
        <f>'[3]динамика трития в инжекторах'!AC99</f>
        <v>3.5555555555555561E+19</v>
      </c>
      <c r="C58" s="112" t="s">
        <v>14</v>
      </c>
      <c r="D58" s="124" t="s">
        <v>37</v>
      </c>
      <c r="E58" s="1302">
        <f>B58*(1/2*1.38E-23*300)</f>
        <v>7.3600000000000013E-2</v>
      </c>
      <c r="F58" s="19" t="s">
        <v>9</v>
      </c>
      <c r="G58" s="406" t="s">
        <v>37</v>
      </c>
      <c r="H58" s="1302">
        <f>B58*2/(6.02*10^23)</f>
        <v>1.1812476928756001E-4</v>
      </c>
      <c r="I58" s="22" t="s">
        <v>7</v>
      </c>
      <c r="J58" s="19"/>
      <c r="N58" s="304"/>
      <c r="S58" s="13"/>
      <c r="T58" s="26"/>
      <c r="U58" s="435"/>
      <c r="V58" s="136"/>
      <c r="W58" s="26"/>
      <c r="X58" s="45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spans="1:36" x14ac:dyDescent="0.35">
      <c r="A59" s="19"/>
      <c r="B59" s="311">
        <f>B58*B41</f>
        <v>1.4222222222222225E+20</v>
      </c>
      <c r="C59" s="1"/>
      <c r="D59" s="1"/>
      <c r="E59" s="548"/>
      <c r="H59" s="13"/>
      <c r="J59" s="19"/>
      <c r="K59" s="19"/>
      <c r="L59" s="19"/>
      <c r="M59" s="19"/>
      <c r="N59" s="232"/>
      <c r="O59" s="19"/>
      <c r="P59" s="265"/>
      <c r="S59" s="13"/>
      <c r="T59" s="26"/>
      <c r="U59" s="435"/>
      <c r="V59" s="136"/>
      <c r="W59" s="26"/>
      <c r="X59" s="45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spans="1:36" x14ac:dyDescent="0.35">
      <c r="A60" s="13" t="s">
        <v>826</v>
      </c>
      <c r="B60" s="284"/>
      <c r="C60" s="1"/>
      <c r="D60" s="1"/>
      <c r="E60" s="548"/>
      <c r="S60" s="13"/>
      <c r="T60" s="26"/>
      <c r="U60" s="435"/>
      <c r="V60" s="136"/>
      <c r="W60" s="26"/>
      <c r="X60" s="45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spans="1:36" ht="17.5" x14ac:dyDescent="0.35">
      <c r="A61" s="7" t="s">
        <v>34</v>
      </c>
      <c r="B61" s="109">
        <f>B54+B58-B36/B41</f>
        <v>5.7805736714975838E+21</v>
      </c>
      <c r="C61" s="1" t="s">
        <v>14</v>
      </c>
      <c r="D61" s="10" t="s">
        <v>37</v>
      </c>
      <c r="E61" s="114">
        <f>B61*(1/2*1.38E-23*300)</f>
        <v>11.965787499999999</v>
      </c>
      <c r="F61" s="1" t="s">
        <v>9</v>
      </c>
      <c r="G61" s="10" t="s">
        <v>37</v>
      </c>
      <c r="H61" s="455">
        <f>B61*2/(6.02*10^23)</f>
        <v>1.9204563692683006E-2</v>
      </c>
      <c r="I61" s="436" t="s">
        <v>7</v>
      </c>
      <c r="J61" s="94" t="s">
        <v>132</v>
      </c>
      <c r="K61" s="37" t="s">
        <v>139</v>
      </c>
      <c r="L61" s="32"/>
      <c r="N61" s="49"/>
      <c r="S61" s="13"/>
      <c r="T61" s="26"/>
      <c r="U61" s="435"/>
      <c r="V61" s="136"/>
      <c r="W61" s="26"/>
      <c r="X61" s="45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spans="1:36" x14ac:dyDescent="0.35">
      <c r="A62" s="7"/>
      <c r="B62" s="606">
        <f>B55+B58-B37/B41</f>
        <v>5.7805736714975838E+21</v>
      </c>
      <c r="C62" s="1"/>
      <c r="D62" s="10"/>
      <c r="E62" s="580">
        <f>B62*(1/2*1.38E-23*300)</f>
        <v>11.965787499999999</v>
      </c>
      <c r="F62" s="1"/>
      <c r="G62" s="10"/>
      <c r="H62" s="622">
        <f>B62*2/(6.02*10^23)</f>
        <v>1.9204563692683006E-2</v>
      </c>
      <c r="I62" s="436"/>
      <c r="J62" s="12" t="s">
        <v>132</v>
      </c>
      <c r="K62" s="38" t="s">
        <v>315</v>
      </c>
      <c r="L62" s="32"/>
      <c r="N62" s="49"/>
      <c r="S62" s="13"/>
      <c r="T62" s="26"/>
      <c r="U62" s="435"/>
      <c r="V62" s="136"/>
      <c r="W62" s="26"/>
      <c r="X62" s="45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spans="1:36" x14ac:dyDescent="0.35">
      <c r="B63" s="209">
        <f>(B56+B58-B38/B41)-(-'[3]динамика трития в инжекторах'!F6/B41)</f>
        <v>1.1525591787439611E+22</v>
      </c>
      <c r="C63" s="112"/>
      <c r="D63" s="124"/>
      <c r="E63" s="431">
        <f>B63*(1/2*1.38E-23*300)</f>
        <v>23.857974999999996</v>
      </c>
      <c r="F63" s="112"/>
      <c r="G63" s="124"/>
      <c r="H63" s="307">
        <f>B63*2/(6.02*10^23)</f>
        <v>3.8291002616078443E-2</v>
      </c>
      <c r="I63" s="436"/>
      <c r="J63" s="12" t="s">
        <v>132</v>
      </c>
      <c r="K63" s="38" t="s">
        <v>329</v>
      </c>
      <c r="L63" s="32"/>
      <c r="N63" s="49"/>
      <c r="O63" s="63"/>
      <c r="S63" s="13"/>
      <c r="T63" s="26"/>
      <c r="U63" s="435"/>
      <c r="V63" s="136"/>
      <c r="W63" s="26"/>
      <c r="X63" s="45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spans="1:36" x14ac:dyDescent="0.35">
      <c r="A64" s="19"/>
      <c r="B64" s="1187">
        <f>B61*4</f>
        <v>2.3122294685990335E+22</v>
      </c>
      <c r="C64" s="1187"/>
      <c r="D64" s="1187"/>
      <c r="E64" s="1187">
        <f>(B41*('параметры для расчета'!C37/(1/2*1.38E-23*300)+'параметры для расчета'!C38/(1/2*1.38E-23*300))-B38+'[3]динамика трития в инжекторах'!AC99*B41-(-'[3]динамика трития в инжекторах'!F6))/B41</f>
        <v>1.1525591787439611E+22</v>
      </c>
      <c r="F64" s="26"/>
      <c r="G64" s="406"/>
      <c r="H64" s="456"/>
      <c r="I64" s="436"/>
      <c r="K64" s="63"/>
      <c r="L64" s="131"/>
      <c r="N64" s="49"/>
      <c r="Q64" s="14"/>
      <c r="S64" s="13"/>
      <c r="T64" s="26"/>
      <c r="U64" s="435"/>
      <c r="V64" s="136"/>
      <c r="W64" s="26"/>
      <c r="X64" s="45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spans="1:36" x14ac:dyDescent="0.35">
      <c r="A65" s="120" t="s">
        <v>307</v>
      </c>
      <c r="B65" s="411">
        <f>B58/(B47+B50)</f>
        <v>1.5333333333333336E-3</v>
      </c>
      <c r="C65" s="19" t="s">
        <v>18</v>
      </c>
      <c r="D65" s="751"/>
      <c r="E65" s="752" t="s">
        <v>431</v>
      </c>
      <c r="F65" s="753"/>
      <c r="G65" s="754"/>
      <c r="H65" s="755"/>
      <c r="I65" s="312"/>
      <c r="J65" s="367"/>
      <c r="K65" s="756"/>
      <c r="L65" s="367"/>
      <c r="M65" s="252"/>
      <c r="N65" s="750"/>
      <c r="O65" s="112"/>
      <c r="S65" s="13"/>
      <c r="T65" s="26"/>
      <c r="U65" s="435"/>
      <c r="V65" s="136"/>
      <c r="W65" s="26"/>
      <c r="X65" s="45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spans="1:36" x14ac:dyDescent="0.35">
      <c r="A66" s="120" t="s">
        <v>308</v>
      </c>
      <c r="B66" s="1229">
        <f>B58/(B48+B51)</f>
        <v>1.5333333333333336E-3</v>
      </c>
      <c r="C66" s="19"/>
      <c r="D66" s="757" t="s">
        <v>382</v>
      </c>
      <c r="E66" s="490">
        <f>B63*B41</f>
        <v>4.6102367149758444E+22</v>
      </c>
      <c r="F66" s="753" t="s">
        <v>578</v>
      </c>
      <c r="G66" s="754"/>
      <c r="H66" s="755"/>
      <c r="I66" s="312"/>
      <c r="K66" s="735">
        <f>B56*B41</f>
        <v>4.6376811594202896E+22</v>
      </c>
      <c r="L66" s="753" t="s">
        <v>577</v>
      </c>
      <c r="M66" s="252"/>
      <c r="S66" s="13"/>
      <c r="T66" s="26"/>
      <c r="U66" s="435"/>
      <c r="V66" s="136"/>
      <c r="W66" s="26"/>
      <c r="X66" s="45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spans="1:36" x14ac:dyDescent="0.35">
      <c r="B67" s="1230">
        <f>B58/(B49+B52)</f>
        <v>7.666666666666668E-4</v>
      </c>
      <c r="C67" s="19"/>
      <c r="D67" s="367"/>
      <c r="E67" s="299">
        <f>K66-E66</f>
        <v>2.7444444444445219E+20</v>
      </c>
      <c r="F67" s="753" t="s">
        <v>507</v>
      </c>
      <c r="G67" s="367"/>
      <c r="H67" s="758"/>
      <c r="I67" s="367"/>
      <c r="J67" s="367"/>
      <c r="K67" s="756"/>
      <c r="L67" s="490"/>
      <c r="M67" s="950" t="s">
        <v>508</v>
      </c>
      <c r="N67" s="490">
        <f>B38-B58*B41</f>
        <v>2.7444444444444446E+20</v>
      </c>
      <c r="O67" s="753" t="s">
        <v>509</v>
      </c>
      <c r="P67" s="354"/>
      <c r="S67" s="13"/>
      <c r="T67" s="26"/>
      <c r="U67" s="435"/>
      <c r="V67" s="136"/>
      <c r="W67" s="26"/>
      <c r="X67" s="45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spans="1:36" x14ac:dyDescent="0.35">
      <c r="B68" s="19"/>
      <c r="C68" s="19"/>
      <c r="D68" s="19"/>
      <c r="E68" s="66"/>
      <c r="F68" s="19"/>
      <c r="G68" s="19"/>
      <c r="H68" s="58"/>
      <c r="I68" s="19"/>
      <c r="J68" s="19"/>
      <c r="L68" s="19"/>
      <c r="M68" s="754" t="s">
        <v>580</v>
      </c>
      <c r="N68" s="949">
        <f>E67-N67</f>
        <v>7733248</v>
      </c>
      <c r="O68" s="367" t="s">
        <v>579</v>
      </c>
      <c r="P68" s="19"/>
      <c r="S68" s="13"/>
      <c r="T68" s="26"/>
      <c r="U68" s="435"/>
      <c r="V68" s="136"/>
      <c r="W68" s="26"/>
      <c r="X68" s="45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spans="1:36" x14ac:dyDescent="0.35">
      <c r="S69" s="13"/>
      <c r="T69" s="26"/>
      <c r="U69" s="435"/>
      <c r="V69" s="136"/>
      <c r="W69" s="26"/>
      <c r="X69" s="45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spans="1:36" x14ac:dyDescent="0.35">
      <c r="A70" s="38" t="s">
        <v>98</v>
      </c>
      <c r="B70" s="410"/>
      <c r="C70" s="27"/>
      <c r="D70" s="14"/>
      <c r="E70" s="104"/>
      <c r="F70" s="1"/>
      <c r="S70" s="13"/>
      <c r="T70" s="26"/>
      <c r="U70" s="435"/>
      <c r="V70" s="136"/>
      <c r="W70" s="26"/>
      <c r="X70" s="45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spans="1:36" x14ac:dyDescent="0.35">
      <c r="A71" s="50" t="s">
        <v>99</v>
      </c>
      <c r="B71" s="410"/>
      <c r="C71" s="27"/>
      <c r="D71" s="14"/>
      <c r="E71" s="104"/>
      <c r="F71" s="1"/>
      <c r="P71" s="252" t="s">
        <v>105</v>
      </c>
      <c r="S71" s="13"/>
      <c r="T71" s="26"/>
      <c r="U71" s="435"/>
      <c r="V71" s="136"/>
      <c r="W71" s="26"/>
      <c r="X71" s="45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spans="1:36" x14ac:dyDescent="0.35">
      <c r="A72" s="714" t="s">
        <v>765</v>
      </c>
      <c r="B72" s="107"/>
      <c r="C72" s="80"/>
      <c r="D72" s="406"/>
      <c r="E72" s="339"/>
      <c r="F72" s="112"/>
      <c r="G72" s="406"/>
      <c r="H72" s="107"/>
      <c r="I72" s="3"/>
      <c r="K72" s="14"/>
      <c r="N72" s="148"/>
      <c r="O72" s="1016"/>
    </row>
    <row r="73" spans="1:36" x14ac:dyDescent="0.35">
      <c r="A73" s="48" t="s">
        <v>910</v>
      </c>
      <c r="B73" s="77">
        <f>(B4-(1-'параметры для расчета'!C20%)*(B5+'баланс тритий'!B5)-B32*'параметры для расчета'!K14-(1-'параметры для расчета'!C20%)*(B10+'баланс тритий'!B10)*'параметры для расчета'!K16-(B93*B90*B87)*'параметры для расчета'!C68%*'параметры для расчета'!K15+'параметры для расчета'!C13*'параметры для расчета'!K17+('[1]параметры для расчета'!$H$43*1000/(3*1.6)*('параметры для расчета'!C16/'[1]параметры для расчета'!$N$3)*10^19)*(1-'параметры для расчета'!C20%)*(1-'[1]параметры для расчета'!$F$44)*'параметры для расчета'!K15)/'параметры для расчета'!K15</f>
        <v>6.9872976180796824E+21</v>
      </c>
      <c r="C73" s="2" t="s">
        <v>29</v>
      </c>
      <c r="D73" s="1070" t="s">
        <v>37</v>
      </c>
      <c r="E73" s="667">
        <f>B73*(1/2*1.38E-23*1000)</f>
        <v>48.212353564749812</v>
      </c>
      <c r="F73" s="1" t="s">
        <v>9</v>
      </c>
      <c r="G73" s="1070" t="s">
        <v>37</v>
      </c>
      <c r="H73" s="77">
        <f>B73*2/(6.02*10^23)</f>
        <v>2.3213613349101939E-2</v>
      </c>
      <c r="I73" s="3" t="s">
        <v>2</v>
      </c>
      <c r="K73" s="14" t="s">
        <v>313</v>
      </c>
      <c r="N73" s="1073"/>
      <c r="O73" s="1212"/>
    </row>
    <row r="74" spans="1:36" x14ac:dyDescent="0.35">
      <c r="A74" s="48"/>
      <c r="B74" s="489">
        <f>(B4-(1-'параметры для расчета'!C20%)*(B5+'баланс тритий'!B5)-B33*'параметры для расчета'!K14-(1-'параметры для расчета'!C20%)*(B10+'баланс тритий'!B10)*'параметры для расчета'!K16-(E93*E90*E87)*'параметры для расчета'!C68%*'параметры для расчета'!K15+'параметры для расчета'!C13*'параметры для расчета'!K17+('[1]параметры для расчета'!$H$43*1000/(3*1.6)*('параметры для расчета'!C16/'[1]параметры для расчета'!$N$3)*10^19)*(1-'параметры для расчета'!C20%)*(1-'[1]параметры для расчета'!$F$44)*'параметры для расчета'!K15)/'параметры для расчета'!K15</f>
        <v>6.9872976180796824E+21</v>
      </c>
      <c r="D74" s="1070"/>
      <c r="E74" s="581">
        <f>B74*(1/2*1.38E-23*1000)</f>
        <v>48.212353564749812</v>
      </c>
      <c r="G74" s="1070"/>
      <c r="H74" s="582">
        <f>B74*2/(6.02*10^23)</f>
        <v>2.3213613349101939E-2</v>
      </c>
      <c r="I74" s="3"/>
      <c r="K74" s="14"/>
      <c r="N74" s="1073"/>
      <c r="O74" s="1212"/>
    </row>
    <row r="75" spans="1:36" x14ac:dyDescent="0.35">
      <c r="A75" s="48"/>
      <c r="B75" s="182">
        <f>(B4-(1-'параметры для расчета'!C20%)*(B5+'баланс тритий'!B5)-B34*'параметры для расчета'!K14-(1-'параметры для расчета'!C20%)*(B10+'баланс тритий'!B10)*'параметры для расчета'!K16-(H93*H90*H87)*'параметры для расчета'!C68%*'параметры для расчета'!K15+'параметры для расчета'!C13*'параметры для расчета'!K17+('[1]параметры для расчета'!$H$43*1000/(3*1.6)*('параметры для расчета'!C16/'[1]параметры для расчета'!$N$3)*10^19)*(1-'параметры для расчета'!C20%)*(1-'[1]параметры для расчета'!$F$44)*'параметры для расчета'!K15)/'параметры для расчета'!K15</f>
        <v>6.6578763131062908E+21</v>
      </c>
      <c r="D75" s="1070"/>
      <c r="E75" s="211">
        <f>B75*(1/2*1.38E-23*1000)</f>
        <v>45.939346560433407</v>
      </c>
      <c r="G75" s="1070"/>
      <c r="H75" s="184">
        <f>B75*2/(6.02*10^23)</f>
        <v>2.2119190408991001E-2</v>
      </c>
      <c r="I75" s="3"/>
      <c r="K75" s="14"/>
      <c r="N75" s="1073"/>
      <c r="O75" s="1212"/>
    </row>
    <row r="76" spans="1:36" x14ac:dyDescent="0.35">
      <c r="B76" s="1241"/>
      <c r="M76" s="26"/>
      <c r="N76" s="148"/>
      <c r="O76" s="521"/>
    </row>
    <row r="77" spans="1:36" x14ac:dyDescent="0.35">
      <c r="A77" s="174" t="s">
        <v>936</v>
      </c>
      <c r="E77" s="104"/>
      <c r="N77" s="13"/>
    </row>
    <row r="78" spans="1:36" x14ac:dyDescent="0.35">
      <c r="A78" s="94" t="s">
        <v>394</v>
      </c>
      <c r="B78" s="77">
        <f>'параметры для расчета'!K5*'параметры для расчета'!C12*'[1]параметры для расчета'!$I$44*(100/'параметры для расчета'!C67)</f>
        <v>8.7028995739303032E+20</v>
      </c>
      <c r="C78" s="2" t="s">
        <v>29</v>
      </c>
      <c r="D78" s="1070" t="s">
        <v>37</v>
      </c>
      <c r="E78" s="666">
        <f>B78*(1/2*1.38E-23*10)</f>
        <v>6.00500070601191E-2</v>
      </c>
      <c r="F78" s="1" t="s">
        <v>28</v>
      </c>
      <c r="G78" s="1070" t="s">
        <v>37</v>
      </c>
      <c r="H78" s="77">
        <f>B78*2/(6.02*10^23)</f>
        <v>2.891328762103091E-3</v>
      </c>
      <c r="I78" s="3" t="s">
        <v>2</v>
      </c>
      <c r="J78" s="94"/>
      <c r="K78" s="14" t="s">
        <v>314</v>
      </c>
      <c r="L78" s="395">
        <f>B78*(1/2*1.38E-23*1000)</f>
        <v>6.0050007060119093</v>
      </c>
      <c r="M78" s="25" t="s">
        <v>28</v>
      </c>
      <c r="N78" s="25" t="s">
        <v>331</v>
      </c>
    </row>
    <row r="79" spans="1:36" x14ac:dyDescent="0.35">
      <c r="A79" s="94"/>
      <c r="E79" s="1073"/>
      <c r="F79" s="1"/>
      <c r="H79" s="401"/>
      <c r="M79" s="339"/>
    </row>
    <row r="80" spans="1:36" x14ac:dyDescent="0.35">
      <c r="A80" s="94" t="s">
        <v>622</v>
      </c>
      <c r="B80" s="24">
        <f>'параметры для расчета'!C63</f>
        <v>0.16200000000000001</v>
      </c>
      <c r="C80" s="36" t="s">
        <v>57</v>
      </c>
      <c r="E80" s="104"/>
    </row>
    <row r="81" spans="1:36" x14ac:dyDescent="0.35">
      <c r="A81" s="94" t="s">
        <v>68</v>
      </c>
      <c r="B81" s="114">
        <f>(H78/B80)</f>
        <v>1.7847708408043773E-2</v>
      </c>
      <c r="C81" s="436" t="s">
        <v>71</v>
      </c>
      <c r="D81" s="1070" t="s">
        <v>37</v>
      </c>
      <c r="E81" s="55">
        <f>B81*10^3</f>
        <v>17.847708408043772</v>
      </c>
      <c r="F81" s="1" t="s">
        <v>103</v>
      </c>
      <c r="K81" s="1187">
        <f>'параметры для расчета'!C61%*'параметры для расчета'!C63*'параметры для расчета'!F52*10^-3*(6.02*10^23)/2*'параметры для расчета'!C44*'параметры для расчета'!C48+'параметры для расчета'!C55*'параметры для расчета'!C57*'параметры для расчета'!C61%*'параметры для расчета'!C63*'параметры для расчета'!F59*10^-3*(6.02*10^23)/2+'баланс тритий'!B92*'баланс тритий'!B86*'баланс тритий'!B89*(1-'параметры для расчета'!C61%)</f>
        <v>7.7444023696546962E+21</v>
      </c>
      <c r="M81" s="1187">
        <f>('параметры для расчета'!C61%*'параметры для расчета'!C63*'параметры для расчета'!F52*10^-3*(6.02*10^23)/2*'параметры для расчета'!C48*'параметры для расчета'!C44)*'параметры для расчета'!C67%+('параметры для расчета'!C61%*'параметры для расчета'!C63*'параметры для расчета'!F59*10^-3*(6.02*10^23)/2*'параметры для расчета'!C57*'параметры для расчета'!C55)*'параметры для расчета'!C68%+'баланс тритий'!B92*'баланс тритий'!B86*'баланс тритий'!B89*(1-'параметры для расчета'!C61%)*'параметры для расчета'!C67%</f>
        <v>6.9699621326892271E+21</v>
      </c>
    </row>
    <row r="82" spans="1:36" x14ac:dyDescent="0.35">
      <c r="A82" s="94" t="s">
        <v>787</v>
      </c>
      <c r="B82" s="496">
        <f>'параметры для расчета'!F52</f>
        <v>17.847708408043779</v>
      </c>
      <c r="C82" s="1" t="s">
        <v>103</v>
      </c>
      <c r="H82" s="944">
        <f>B82/(2/(6.02*10^23)/'параметры для расчета'!C63*10^3)</f>
        <v>8.7028995739303071E+20</v>
      </c>
      <c r="I82" s="2" t="s">
        <v>29</v>
      </c>
      <c r="K82" s="1187">
        <f>'параметры для расчета'!C61%*'параметры для расчета'!C63*'параметры для расчета'!F52*10^-3*(6.02*10^23)/2*'параметры для расчета'!C44*'параметры для расчета'!C49+'параметры для расчета'!C55*'параметры для расчета'!C57*'параметры для расчета'!C61%*'параметры для расчета'!C63*'параметры для расчета'!F59*10^-3*(6.02*10^23)/2+'баланс тритий'!E92*'баланс тритий'!E86*'баланс тритий'!E89*(1-'параметры для расчета'!C61%)</f>
        <v>7.7444023696546962E+21</v>
      </c>
      <c r="M82" s="1187">
        <f>('параметры для расчета'!C61%*'параметры для расчета'!C63*'параметры для расчета'!F52*10^-3*(6.02*10^23)/2*'параметры для расчета'!C49*'параметры для расчета'!C44)*'параметры для расчета'!C67%+('параметры для расчета'!C61%*'параметры для расчета'!C63*'параметры для расчета'!F59*10^-3*(6.02*10^23)/2*'параметры для расчета'!C57*'параметры для расчета'!C55)*'параметры для расчета'!C68%+'баланс тритий'!E92*'баланс тритий'!E86*'баланс тритий'!E89*(1-'параметры для расчета'!C61%)*'параметры для расчета'!C67%</f>
        <v>6.9699621326892271E+21</v>
      </c>
    </row>
    <row r="83" spans="1:36" x14ac:dyDescent="0.3">
      <c r="A83" s="94" t="s">
        <v>392</v>
      </c>
      <c r="B83" s="470">
        <f>E81/B82</f>
        <v>0.99999999999999956</v>
      </c>
      <c r="C83" s="13" t="s">
        <v>393</v>
      </c>
      <c r="E83" s="1231" t="str">
        <f>IF(B83&lt;1, "ПРЕВЫЩЕНИЕ", "НОРМ")</f>
        <v>НОРМ</v>
      </c>
      <c r="K83" s="1187">
        <f>'параметры для расчета'!C61%*'параметры для расчета'!C63*'параметры для расчета'!F52*10^-3*(6.02*10^23)/2*'параметры для расчета'!C44*'параметры для расчета'!C50+'параметры для расчета'!C55*'параметры для расчета'!C57*'параметры для расчета'!C61%*'параметры для расчета'!C63*'параметры для расчета'!F59*10^-3*(6.02*10^23)/2+'баланс тритий'!H92*'баланс тритий'!H86*'баланс тритий'!H89*(1-'параметры для расчета'!C61%)</f>
        <v>7.3792868021927485E+21</v>
      </c>
      <c r="M83" s="1187">
        <f>('параметры для расчета'!C61%*'параметры для расчета'!C63*'параметры для расчета'!F52*10^-3*(6.02*10^23)/2*'параметры для расчета'!C50*'параметры для расчета'!C44)*'параметры для расчета'!C67%+('параметры для расчета'!C61%*'параметры для расчета'!C63*'параметры для расчета'!F59*10^-3*(6.02*10^23)/2*'параметры для расчета'!C57*'параметры для расчета'!C55)*'параметры для расчета'!C68%+'баланс тритий'!H92*'баланс тритий'!H86*'баланс тритий'!H89*(1-'параметры для расчета'!C61%)*'параметры для расчета'!C67%</f>
        <v>6.6413581219734739E+21</v>
      </c>
      <c r="R83" s="435"/>
      <c r="S83" s="26"/>
      <c r="T83" s="26"/>
      <c r="U83" s="435"/>
      <c r="V83" s="136"/>
      <c r="W83" s="26"/>
      <c r="X83" s="45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spans="1:36" x14ac:dyDescent="0.35">
      <c r="A84" s="94"/>
      <c r="B84" s="339"/>
      <c r="H84" s="105"/>
      <c r="R84" s="435"/>
      <c r="S84" s="26"/>
      <c r="T84" s="26"/>
      <c r="U84" s="435"/>
      <c r="V84" s="136"/>
      <c r="W84" s="26"/>
      <c r="X84" s="45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spans="1:36" x14ac:dyDescent="0.35">
      <c r="A85" s="12" t="s">
        <v>620</v>
      </c>
      <c r="B85" s="415"/>
      <c r="E85" s="134"/>
      <c r="H85" s="82"/>
      <c r="M85" s="63"/>
      <c r="S85" s="13"/>
      <c r="T85" s="26"/>
      <c r="U85" s="435"/>
      <c r="V85" s="136"/>
      <c r="W85" s="26"/>
      <c r="X85" s="45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spans="1:36" x14ac:dyDescent="0.35">
      <c r="A86" s="1071" t="s">
        <v>345</v>
      </c>
      <c r="B86" s="704">
        <f>'параметры для расчета'!C44</f>
        <v>1</v>
      </c>
      <c r="C86" s="116" t="s">
        <v>695</v>
      </c>
      <c r="D86" s="1016"/>
      <c r="E86" s="704">
        <f>'параметры для расчета'!C44</f>
        <v>1</v>
      </c>
      <c r="F86" s="116" t="s">
        <v>695</v>
      </c>
      <c r="G86" s="1016"/>
      <c r="H86" s="704">
        <f>'параметры для расчета'!C44</f>
        <v>1</v>
      </c>
      <c r="I86" s="116" t="s">
        <v>695</v>
      </c>
      <c r="J86" s="28"/>
      <c r="K86" s="1064">
        <f>'параметры для расчета'!C67%</f>
        <v>0.9</v>
      </c>
      <c r="L86" s="436" t="s">
        <v>555</v>
      </c>
      <c r="M86" s="673"/>
      <c r="N86" s="294"/>
      <c r="S86" s="13"/>
      <c r="T86" s="26"/>
      <c r="U86" s="435"/>
      <c r="V86" s="136"/>
      <c r="W86" s="26"/>
      <c r="X86" s="45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spans="1:36" x14ac:dyDescent="0.35">
      <c r="A87" s="94" t="s">
        <v>346</v>
      </c>
      <c r="B87" s="704">
        <f>'параметры для расчета'!C55</f>
        <v>1</v>
      </c>
      <c r="C87" s="116" t="s">
        <v>695</v>
      </c>
      <c r="D87" s="1016"/>
      <c r="E87" s="704">
        <f>'параметры для расчета'!C55</f>
        <v>1</v>
      </c>
      <c r="F87" s="116" t="s">
        <v>695</v>
      </c>
      <c r="G87" s="1016"/>
      <c r="H87" s="704">
        <f>'параметры для расчета'!C55</f>
        <v>1</v>
      </c>
      <c r="I87" s="116" t="s">
        <v>695</v>
      </c>
      <c r="J87" s="28"/>
      <c r="K87" s="1064">
        <f>'параметры для расчета'!C68%</f>
        <v>0.5</v>
      </c>
      <c r="L87" s="436" t="s">
        <v>555</v>
      </c>
      <c r="S87" s="13"/>
      <c r="T87" s="26"/>
      <c r="U87" s="435"/>
      <c r="V87" s="136"/>
      <c r="W87" s="26"/>
      <c r="X87" s="45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spans="1:36" x14ac:dyDescent="0.35">
      <c r="A88" s="12" t="s">
        <v>70</v>
      </c>
      <c r="D88" s="26"/>
      <c r="E88" s="13"/>
      <c r="G88" s="26"/>
      <c r="H88" s="13"/>
      <c r="J88" s="26"/>
      <c r="S88" s="13"/>
      <c r="T88" s="26"/>
      <c r="U88" s="435"/>
      <c r="V88" s="136"/>
      <c r="W88" s="26"/>
      <c r="X88" s="45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spans="1:36" x14ac:dyDescent="0.35">
      <c r="A89" s="1071" t="s">
        <v>345</v>
      </c>
      <c r="B89" s="485">
        <f>'параметры для расчета'!C48</f>
        <v>8.8986461395615706</v>
      </c>
      <c r="C89" s="444" t="s">
        <v>67</v>
      </c>
      <c r="D89" s="1073"/>
      <c r="E89" s="485">
        <f>'параметры для расчета'!C49</f>
        <v>8.8986461395615706</v>
      </c>
      <c r="F89" s="426" t="s">
        <v>67</v>
      </c>
      <c r="G89" s="1073"/>
      <c r="H89" s="485">
        <f>'параметры для расчета'!C50</f>
        <v>8.4791128973813912</v>
      </c>
      <c r="I89" s="426" t="s">
        <v>67</v>
      </c>
      <c r="J89" s="26"/>
      <c r="S89" s="13"/>
      <c r="T89" s="26"/>
      <c r="U89" s="435"/>
      <c r="V89" s="136"/>
      <c r="W89" s="26"/>
      <c r="X89" s="45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spans="1:36" x14ac:dyDescent="0.35">
      <c r="A90" s="94" t="s">
        <v>346</v>
      </c>
      <c r="B90" s="485">
        <f>'параметры для расчета'!C57</f>
        <v>0</v>
      </c>
      <c r="C90" s="426" t="s">
        <v>67</v>
      </c>
      <c r="D90" s="1073"/>
      <c r="E90" s="485">
        <f>'параметры для расчета'!C57</f>
        <v>0</v>
      </c>
      <c r="F90" s="426" t="s">
        <v>67</v>
      </c>
      <c r="G90" s="1073"/>
      <c r="H90" s="485">
        <f>'параметры для расчета'!C57</f>
        <v>0</v>
      </c>
      <c r="I90" s="426" t="s">
        <v>67</v>
      </c>
      <c r="J90" s="26"/>
      <c r="M90" s="63"/>
      <c r="N90" s="63"/>
      <c r="O90" s="63"/>
      <c r="S90" s="13"/>
      <c r="T90" s="26"/>
      <c r="U90" s="435"/>
      <c r="V90" s="136"/>
      <c r="W90" s="26"/>
      <c r="X90" s="45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spans="1:36" x14ac:dyDescent="0.35">
      <c r="A91" s="12" t="s">
        <v>621</v>
      </c>
      <c r="D91" s="26"/>
      <c r="E91" s="13"/>
      <c r="G91" s="26"/>
      <c r="H91" s="13"/>
      <c r="J91" s="26"/>
      <c r="M91" s="63"/>
      <c r="N91" s="63"/>
      <c r="O91" s="63"/>
      <c r="S91" s="13"/>
      <c r="T91" s="26"/>
      <c r="U91" s="435"/>
      <c r="V91" s="136"/>
      <c r="W91" s="26"/>
      <c r="X91" s="45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spans="1:36" x14ac:dyDescent="0.35">
      <c r="A92" s="1071" t="s">
        <v>345</v>
      </c>
      <c r="B92" s="855">
        <f>'параметры для расчета'!C63*'параметры для расчета'!F52*10^-3*(6.02*10^23)/2</f>
        <v>8.7028995739303071E+20</v>
      </c>
      <c r="C92" s="116" t="s">
        <v>695</v>
      </c>
      <c r="D92" s="1016"/>
      <c r="E92" s="855">
        <f>'параметры для расчета'!C63*'параметры для расчета'!F52*10^-3*(6.02*10^23)/2</f>
        <v>8.7028995739303071E+20</v>
      </c>
      <c r="F92" s="116" t="s">
        <v>695</v>
      </c>
      <c r="G92" s="1016"/>
      <c r="H92" s="855">
        <f>'параметры для расчета'!C63*'параметры для расчета'!F52*10^-3*(6.02*10^23)/2</f>
        <v>8.7028995739303071E+20</v>
      </c>
      <c r="I92" s="116" t="s">
        <v>695</v>
      </c>
      <c r="J92" s="26"/>
      <c r="N92" s="13"/>
      <c r="S92" s="13"/>
      <c r="T92" s="26"/>
      <c r="U92" s="435"/>
      <c r="V92" s="136"/>
      <c r="W92" s="26"/>
      <c r="X92" s="45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spans="1:36" x14ac:dyDescent="0.35">
      <c r="A93" s="94" t="s">
        <v>346</v>
      </c>
      <c r="B93" s="855">
        <f>'параметры для расчета'!C63*'параметры для расчета'!F59*10^-3*(6.02*10^23)/2</f>
        <v>9.7524E+19</v>
      </c>
      <c r="C93" s="116" t="s">
        <v>695</v>
      </c>
      <c r="D93" s="1016"/>
      <c r="E93" s="855">
        <f>'параметры для расчета'!C63*'параметры для расчета'!F59*10^-3*(6.02*10^23)/2</f>
        <v>9.7524E+19</v>
      </c>
      <c r="F93" s="116" t="s">
        <v>695</v>
      </c>
      <c r="G93" s="1016"/>
      <c r="H93" s="855">
        <f>'параметры для расчета'!C63*'параметры для расчета'!F59*10^-3*(6.02*10^23)/2</f>
        <v>9.7524E+19</v>
      </c>
      <c r="I93" s="116" t="s">
        <v>695</v>
      </c>
      <c r="J93" s="26"/>
      <c r="M93" s="44"/>
      <c r="N93" s="69"/>
      <c r="P93" s="26"/>
      <c r="S93" s="13"/>
      <c r="T93" s="26"/>
      <c r="U93" s="435"/>
      <c r="V93" s="136"/>
      <c r="W93" s="26"/>
      <c r="X93" s="45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spans="1:36" x14ac:dyDescent="0.35">
      <c r="B94" s="1199"/>
      <c r="D94" s="26"/>
      <c r="E94" s="44"/>
      <c r="F94" s="26"/>
      <c r="G94" s="26"/>
      <c r="H94" s="147"/>
      <c r="I94" s="26"/>
      <c r="J94" s="26"/>
      <c r="M94" s="1186">
        <f>'баланс тритий'!B93*'баланс тритий'!B87*'баланс тритий'!B90*(1-'параметры для расчета'!C61%)*'параметры для расчета'!C68%</f>
        <v>0</v>
      </c>
      <c r="N94" s="1187" t="s">
        <v>749</v>
      </c>
      <c r="O94" s="1188"/>
      <c r="P94" s="1189" t="s">
        <v>754</v>
      </c>
      <c r="S94" s="13"/>
      <c r="T94" s="26"/>
      <c r="U94" s="435"/>
      <c r="V94" s="136"/>
      <c r="W94" s="26"/>
      <c r="X94" s="45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spans="1:36" ht="14.15" customHeight="1" x14ac:dyDescent="0.35">
      <c r="A95" s="1121" t="s">
        <v>694</v>
      </c>
      <c r="B95" s="694">
        <f>(B73-'баланс тритий'!B92*'баланс тритий'!B86*'баланс тритий'!B89*(1-'параметры для расчета'!C61%)*'параметры для расчета'!C67%)/(B92*H86*'параметры для расчета'!C67%)</f>
        <v>8.920778591246453</v>
      </c>
      <c r="C95" s="799" t="s">
        <v>67</v>
      </c>
      <c r="D95" s="1124" t="s">
        <v>244</v>
      </c>
      <c r="E95" s="616">
        <f>(B74-'баланс тритий'!E92*'баланс тритий'!E86*'баланс тритий'!E89*(1-'параметры для расчета'!C61%)*'параметры для расчета'!C67%)/(E92*H86*'параметры для расчета'!C67%)</f>
        <v>8.920778591246453</v>
      </c>
      <c r="F95" s="799" t="s">
        <v>67</v>
      </c>
      <c r="G95" s="1124" t="s">
        <v>244</v>
      </c>
      <c r="H95" s="307">
        <f>(B75-'баланс тритий'!H92*'баланс тритий'!H86*'баланс тритий'!H89*(1-'параметры для расчета'!C61%)*'параметры для расчета'!C67%)/(H92*H86*'параметры для расчета'!C67%)</f>
        <v>8.500201898291051</v>
      </c>
      <c r="I95" s="116" t="s">
        <v>67</v>
      </c>
      <c r="J95" s="116" t="s">
        <v>437</v>
      </c>
      <c r="L95" s="865"/>
      <c r="M95" s="1187">
        <f>B92*B86*B89+'баланс тритий'!B92*'баланс тритий'!B86*'баланс тритий'!B89*(1-'параметры для расчета'!C61%)</f>
        <v>7.7444023696546962E+21</v>
      </c>
      <c r="N95" s="1187" t="s">
        <v>746</v>
      </c>
      <c r="O95" s="1186">
        <f>'баланс тритий'!M95-'баланс дейтерий'!M95</f>
        <v>0</v>
      </c>
      <c r="P95" s="1190" t="s">
        <v>750</v>
      </c>
      <c r="S95" s="13"/>
      <c r="T95" s="26"/>
      <c r="U95" s="435"/>
      <c r="V95" s="136"/>
      <c r="W95" s="26"/>
      <c r="X95" s="45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spans="1:36" x14ac:dyDescent="0.35">
      <c r="A96" s="1071"/>
      <c r="B96" s="879"/>
      <c r="C96" s="866"/>
      <c r="D96" s="461"/>
      <c r="E96" s="461"/>
      <c r="F96" s="866"/>
      <c r="G96" s="461"/>
      <c r="H96" s="353"/>
      <c r="I96" s="47"/>
      <c r="J96" s="47"/>
      <c r="K96" s="677"/>
      <c r="M96" s="1187">
        <f>B87*B90*B93</f>
        <v>0</v>
      </c>
      <c r="N96" s="1191" t="s">
        <v>747</v>
      </c>
      <c r="O96" s="1186">
        <f>'баланс тритий'!M96-'баланс дейтерий'!M96</f>
        <v>0</v>
      </c>
      <c r="P96" s="1190" t="s">
        <v>751</v>
      </c>
      <c r="S96" s="13"/>
      <c r="T96" s="26"/>
      <c r="U96" s="435"/>
      <c r="V96" s="136"/>
      <c r="W96" s="26"/>
      <c r="X96" s="45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spans="1:36" x14ac:dyDescent="0.35">
      <c r="A97" s="164" t="s">
        <v>426</v>
      </c>
      <c r="B97" s="311"/>
      <c r="E97" s="13"/>
      <c r="H97" s="13"/>
      <c r="J97" s="94"/>
      <c r="M97" s="69"/>
      <c r="N97" s="1133"/>
      <c r="O97" s="1198">
        <f>O95+O96</f>
        <v>0</v>
      </c>
      <c r="P97" s="1134"/>
      <c r="S97" s="13"/>
      <c r="T97" s="26"/>
      <c r="U97" s="435"/>
      <c r="V97" s="136"/>
      <c r="W97" s="26"/>
      <c r="X97" s="45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spans="1:36" x14ac:dyDescent="0.35">
      <c r="A98" s="1071" t="s">
        <v>696</v>
      </c>
      <c r="B98" s="68">
        <f>B92*B86*B89+B87*B90*B93+'баланс тритий'!B92*'баланс тритий'!B86*'баланс тритий'!B89*(1-'параметры для расчета'!C61%)</f>
        <v>7.7444023696546962E+21</v>
      </c>
      <c r="C98" s="13" t="s">
        <v>14</v>
      </c>
      <c r="D98" s="1070" t="s">
        <v>37</v>
      </c>
      <c r="E98" s="667">
        <f>B98*(1/2*1.38E-23*1000)</f>
        <v>53.436376350617408</v>
      </c>
      <c r="F98" s="1" t="s">
        <v>9</v>
      </c>
      <c r="G98" s="1070" t="s">
        <v>37</v>
      </c>
      <c r="H98" s="109">
        <f>B98*2/(6.02*10^23)</f>
        <v>2.5728911527092016E-2</v>
      </c>
      <c r="I98" s="436" t="s">
        <v>7</v>
      </c>
      <c r="K98" s="14" t="s">
        <v>313</v>
      </c>
      <c r="M98" s="1211" t="s">
        <v>228</v>
      </c>
      <c r="N98" s="362">
        <f>B73-B102</f>
        <v>1.7335485390455308E+19</v>
      </c>
      <c r="O98" s="347"/>
      <c r="P98" s="471">
        <f>B87*B90*B93</f>
        <v>0</v>
      </c>
      <c r="S98" s="13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spans="1:36" x14ac:dyDescent="0.35">
      <c r="A99" s="1071"/>
      <c r="B99" s="489">
        <f>E92*E86*E89+E87*E90*E93+'баланс тритий'!E92*'баланс тритий'!E86*'баланс тритий'!E89*(1-'параметры для расчета'!C61%)</f>
        <v>7.7444023696546962E+21</v>
      </c>
      <c r="D99" s="1183"/>
      <c r="E99" s="580">
        <f>B99*(1/2*1.38E-23*1000)</f>
        <v>53.436376350617408</v>
      </c>
      <c r="F99" s="1"/>
      <c r="G99" s="1183"/>
      <c r="H99" s="606">
        <f>B99*2/(6.02*10^23)</f>
        <v>2.5728911527092016E-2</v>
      </c>
      <c r="I99" s="436"/>
      <c r="K99" s="14"/>
      <c r="M99" s="362"/>
      <c r="N99" s="362">
        <f>B74-B103</f>
        <v>1.7335485390455308E+19</v>
      </c>
      <c r="O99" s="347"/>
      <c r="P99" s="471">
        <f>E87*E90*E93</f>
        <v>0</v>
      </c>
      <c r="S99" s="13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spans="1:36" x14ac:dyDescent="0.35">
      <c r="A100" s="1071"/>
      <c r="B100" s="182">
        <f>H92*H86*H89+H87*H90*H93+'баланс тритий'!H92*'баланс тритий'!H86*'баланс тритий'!H89*(1-'параметры для расчета'!C61%)</f>
        <v>7.3792868021927485E+21</v>
      </c>
      <c r="D100" s="1183"/>
      <c r="E100" s="431">
        <f>B100*(1/2*1.38E-23*1000)</f>
        <v>50.917078935129965</v>
      </c>
      <c r="F100" s="1"/>
      <c r="G100" s="1183"/>
      <c r="H100" s="209">
        <f>B100*2/(6.02*10^23)</f>
        <v>2.4515902997318106E-2</v>
      </c>
      <c r="I100" s="436"/>
      <c r="K100" s="14"/>
      <c r="M100" s="362"/>
      <c r="N100" s="362">
        <f>B75-B104</f>
        <v>1.6518191132816966E+19</v>
      </c>
      <c r="O100" s="347"/>
      <c r="P100" s="471">
        <f>H87*H90*H93</f>
        <v>0</v>
      </c>
      <c r="S100" s="13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spans="1:36" x14ac:dyDescent="0.35">
      <c r="B101" s="1186"/>
      <c r="J101" s="25"/>
      <c r="M101" s="803"/>
      <c r="N101" s="26"/>
      <c r="O101" s="1135"/>
      <c r="P101" s="26"/>
      <c r="S101" s="13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spans="1:36" x14ac:dyDescent="0.35">
      <c r="A102" s="169" t="s">
        <v>554</v>
      </c>
      <c r="B102" s="68">
        <f>(B92*B89*B86)*'параметры для расчета'!C67%+(B93*B90*B87)*'параметры для расчета'!C68%+'баланс тритий'!B92*'баланс тритий'!B86*'баланс тритий'!B89*(1-'параметры для расчета'!C61%)*'параметры для расчета'!C67%</f>
        <v>6.9699621326892271E+21</v>
      </c>
      <c r="C102" s="13" t="s">
        <v>14</v>
      </c>
      <c r="D102" s="1070" t="s">
        <v>37</v>
      </c>
      <c r="E102" s="667">
        <f>B102*(1/2*1.38E-23*1000)</f>
        <v>48.092738715555669</v>
      </c>
      <c r="F102" s="1" t="s">
        <v>9</v>
      </c>
      <c r="G102" s="1070" t="s">
        <v>37</v>
      </c>
      <c r="H102" s="109">
        <f>B102*2/(6.02*10^23)</f>
        <v>2.3156020374382816E-2</v>
      </c>
      <c r="I102" s="436" t="s">
        <v>7</v>
      </c>
      <c r="J102" s="67"/>
      <c r="K102" s="14" t="s">
        <v>313</v>
      </c>
      <c r="M102" s="1071" t="s">
        <v>64</v>
      </c>
      <c r="N102" s="119">
        <f>100*B102/B19</f>
        <v>97.14506950169168</v>
      </c>
      <c r="O102" s="13" t="s">
        <v>18</v>
      </c>
      <c r="P102" s="471">
        <f>(B93*B90*B87)*'параметры для расчета'!C68%</f>
        <v>0</v>
      </c>
      <c r="S102" s="13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spans="1:36" x14ac:dyDescent="0.35">
      <c r="A103" s="90"/>
      <c r="B103" s="489">
        <f>(E92*E89*E86)*'параметры для расчета'!C67%+(E93*E90*E87)*'параметры для расчета'!C68%+'баланс тритий'!E92*'баланс тритий'!E86*'баланс тритий'!E89*(1-'параметры для расчета'!C61%)*'параметры для расчета'!C67%</f>
        <v>6.9699621326892271E+21</v>
      </c>
      <c r="D103" s="1070"/>
      <c r="E103" s="133">
        <f>B103*(1/2*1.38E-23*1000)</f>
        <v>48.092738715555669</v>
      </c>
      <c r="F103" s="1"/>
      <c r="G103" s="1070"/>
      <c r="H103" s="606">
        <f>B103*2/(6.02*10^23)</f>
        <v>2.3156020374382816E-2</v>
      </c>
      <c r="I103" s="436"/>
      <c r="J103" s="115"/>
      <c r="M103" s="1186">
        <f>'баланс тритий'!B102-'баланс дейтерий'!B102</f>
        <v>0</v>
      </c>
      <c r="N103" s="581">
        <f>100*B103/B20</f>
        <v>97.14506950169168</v>
      </c>
      <c r="P103" s="471">
        <f>(E93*E90*E87)*'параметры для расчета'!C68%</f>
        <v>0</v>
      </c>
      <c r="S103" s="13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spans="1:36" x14ac:dyDescent="0.35">
      <c r="A104" s="90"/>
      <c r="B104" s="182">
        <f>(H92*H89*H86)*'параметры для расчета'!C67%+(H93*H90*H87)*'параметры для расчета'!C68%+'баланс тритий'!H92*'баланс тритий'!H86*'баланс тритий'!H89*(1-'параметры для расчета'!C61%)*'параметры для расчета'!C67%</f>
        <v>6.6413581219734739E+21</v>
      </c>
      <c r="D104" s="1070"/>
      <c r="E104" s="211">
        <f>B104*(1/2*1.38E-23*1000)</f>
        <v>45.825371041616975</v>
      </c>
      <c r="F104" s="1"/>
      <c r="G104" s="1070"/>
      <c r="H104" s="209">
        <f>B104*2/(6.02*10^23)</f>
        <v>2.2064312697586293E-2</v>
      </c>
      <c r="I104" s="436"/>
      <c r="J104" s="115"/>
      <c r="K104" s="125"/>
      <c r="N104" s="210">
        <f>100*B104/B21</f>
        <v>94.433028910188654</v>
      </c>
      <c r="P104" s="471">
        <f>(H93*H90*H87)*'параметры для расчета'!C68%</f>
        <v>0</v>
      </c>
      <c r="S104" s="13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spans="1:36" ht="15.75" customHeight="1" x14ac:dyDescent="0.35">
      <c r="B105" s="446" t="s">
        <v>753</v>
      </c>
      <c r="M105" s="1186"/>
      <c r="S105" s="13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spans="1:36" x14ac:dyDescent="0.35">
      <c r="K106" s="67"/>
      <c r="N106" s="173"/>
      <c r="S106" s="13"/>
      <c r="T106" s="136"/>
      <c r="U106" s="26"/>
      <c r="V106" s="26"/>
      <c r="W106" s="26"/>
      <c r="X106" s="45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spans="1:36" x14ac:dyDescent="0.35">
      <c r="A107" s="14" t="s">
        <v>540</v>
      </c>
      <c r="E107" s="104"/>
      <c r="J107" s="696"/>
      <c r="K107" s="696"/>
      <c r="L107" s="696"/>
      <c r="M107" s="1210"/>
      <c r="N107" s="1072"/>
      <c r="O107" s="112"/>
      <c r="P107" s="696"/>
      <c r="R107" s="435"/>
      <c r="S107" s="26"/>
      <c r="T107" s="731"/>
      <c r="U107" s="69"/>
      <c r="V107" s="26"/>
      <c r="W107" s="1016"/>
      <c r="X107" s="1073"/>
      <c r="Y107" s="28"/>
      <c r="Z107" s="1016"/>
      <c r="AA107" s="285"/>
      <c r="AB107" s="136"/>
      <c r="AC107" s="26"/>
      <c r="AD107" s="26"/>
      <c r="AE107" s="26"/>
      <c r="AF107" s="26"/>
      <c r="AG107" s="26"/>
      <c r="AH107" s="26"/>
      <c r="AI107" s="26"/>
      <c r="AJ107" s="26"/>
    </row>
    <row r="108" spans="1:36" x14ac:dyDescent="0.35">
      <c r="A108" s="169" t="s">
        <v>760</v>
      </c>
      <c r="B108" s="406"/>
      <c r="C108" s="655"/>
      <c r="D108" s="1185"/>
      <c r="E108" s="1215"/>
      <c r="F108" s="1185"/>
      <c r="G108" s="1185"/>
      <c r="H108" s="1216"/>
      <c r="I108" s="1185"/>
      <c r="J108" s="696"/>
      <c r="K108" s="696"/>
      <c r="L108" s="696"/>
      <c r="M108" s="871"/>
      <c r="N108" s="1072"/>
      <c r="O108" s="28"/>
      <c r="P108" s="252" t="s">
        <v>107</v>
      </c>
      <c r="R108" s="435"/>
      <c r="S108" s="26"/>
      <c r="T108" s="26"/>
      <c r="U108" s="69"/>
      <c r="V108" s="26"/>
      <c r="W108" s="1016"/>
      <c r="X108" s="1073"/>
      <c r="Y108" s="28"/>
      <c r="Z108" s="1016"/>
      <c r="AA108" s="285"/>
      <c r="AB108" s="136"/>
      <c r="AC108" s="26"/>
      <c r="AD108" s="26"/>
      <c r="AE108" s="26"/>
      <c r="AF108" s="26"/>
      <c r="AG108" s="26"/>
      <c r="AH108" s="26"/>
      <c r="AI108" s="26"/>
      <c r="AJ108" s="26"/>
    </row>
    <row r="109" spans="1:36" x14ac:dyDescent="0.35">
      <c r="A109" s="76" t="s">
        <v>757</v>
      </c>
      <c r="B109" s="569">
        <f>B219</f>
        <v>0</v>
      </c>
      <c r="C109" s="112" t="s">
        <v>14</v>
      </c>
      <c r="D109" s="124" t="s">
        <v>37</v>
      </c>
      <c r="E109" s="114">
        <f>B109*(1/2*1.38E-23*300)</f>
        <v>0</v>
      </c>
      <c r="F109" s="1" t="s">
        <v>9</v>
      </c>
      <c r="G109" s="10" t="s">
        <v>37</v>
      </c>
      <c r="H109" s="77">
        <f>B109*2/(6.02*10^23)</f>
        <v>0</v>
      </c>
      <c r="I109" s="102" t="s">
        <v>7</v>
      </c>
      <c r="K109" s="879"/>
      <c r="L109" s="696"/>
      <c r="M109" s="803"/>
      <c r="N109" s="1072"/>
      <c r="O109" s="28"/>
      <c r="P109" s="696"/>
      <c r="R109" s="435"/>
      <c r="S109" s="26"/>
      <c r="T109" s="26"/>
      <c r="U109" s="69"/>
      <c r="V109" s="26"/>
      <c r="W109" s="1016"/>
      <c r="X109" s="1073"/>
      <c r="Y109" s="28"/>
      <c r="Z109" s="1016"/>
      <c r="AA109" s="285"/>
      <c r="AB109" s="136"/>
      <c r="AC109" s="26"/>
      <c r="AD109" s="26"/>
      <c r="AE109" s="26"/>
      <c r="AF109" s="26"/>
      <c r="AG109" s="26"/>
      <c r="AH109" s="26"/>
      <c r="AI109" s="26"/>
      <c r="AJ109" s="26"/>
    </row>
    <row r="110" spans="1:36" x14ac:dyDescent="0.35">
      <c r="A110" s="1217" t="s">
        <v>769</v>
      </c>
      <c r="B110" s="569">
        <v>0</v>
      </c>
      <c r="C110" s="1185"/>
      <c r="D110" s="1213"/>
      <c r="E110" s="580">
        <f>B110*(1/2*1.38E-23*300)</f>
        <v>0</v>
      </c>
      <c r="G110" s="1183"/>
      <c r="H110" s="582">
        <f>B110*2/(6.02*10^23)</f>
        <v>0</v>
      </c>
      <c r="I110" s="655"/>
      <c r="K110" s="879"/>
      <c r="L110" s="860"/>
      <c r="M110" s="859"/>
      <c r="N110" s="879"/>
      <c r="O110" s="859"/>
      <c r="P110" s="696"/>
      <c r="R110" s="435"/>
      <c r="S110" s="26"/>
      <c r="T110" s="730"/>
      <c r="U110" s="1016"/>
      <c r="V110" s="26"/>
      <c r="W110" s="26"/>
      <c r="X110" s="44"/>
      <c r="Y110" s="26"/>
      <c r="Z110" s="26"/>
      <c r="AA110" s="147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spans="1:36" x14ac:dyDescent="0.35">
      <c r="A111" s="230" t="s">
        <v>774</v>
      </c>
      <c r="B111" s="569">
        <v>0</v>
      </c>
      <c r="C111" s="1185"/>
      <c r="D111" s="1213"/>
      <c r="E111" s="211">
        <f>B111*(1/2*1.38E-23*300)</f>
        <v>0</v>
      </c>
      <c r="F111" s="19"/>
      <c r="G111" s="406"/>
      <c r="H111" s="184">
        <f>B111*2/(6.02*10^23)</f>
        <v>0</v>
      </c>
      <c r="I111" s="655"/>
      <c r="J111" s="573"/>
      <c r="K111" s="879"/>
      <c r="N111" s="13"/>
      <c r="R111" s="435"/>
      <c r="S111" s="26"/>
      <c r="T111" s="26"/>
      <c r="U111" s="69"/>
      <c r="V111" s="26"/>
      <c r="W111" s="1016"/>
      <c r="X111" s="1073"/>
      <c r="Y111" s="28"/>
      <c r="Z111" s="1016"/>
      <c r="AA111" s="285"/>
      <c r="AB111" s="136"/>
      <c r="AC111" s="26"/>
      <c r="AD111" s="26"/>
      <c r="AE111" s="26"/>
      <c r="AF111" s="26"/>
      <c r="AG111" s="26"/>
      <c r="AH111" s="26"/>
      <c r="AI111" s="26"/>
      <c r="AJ111" s="26"/>
    </row>
    <row r="112" spans="1:36" x14ac:dyDescent="0.35">
      <c r="S112" s="13"/>
      <c r="T112" s="116"/>
      <c r="U112" s="397"/>
      <c r="V112" s="398"/>
      <c r="W112" s="28"/>
      <c r="X112" s="435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spans="1:36" x14ac:dyDescent="0.35">
      <c r="B113" s="973">
        <v>0</v>
      </c>
      <c r="C113" s="19" t="s">
        <v>14</v>
      </c>
      <c r="D113" s="406" t="s">
        <v>37</v>
      </c>
      <c r="E113" s="973">
        <f>B113*(1/2*1.38E-23*300)</f>
        <v>0</v>
      </c>
      <c r="F113" s="112" t="s">
        <v>9</v>
      </c>
      <c r="G113" s="406" t="s">
        <v>37</v>
      </c>
      <c r="H113" s="973">
        <f>B113*2/(6.02*10^23)</f>
        <v>0</v>
      </c>
      <c r="I113" s="436" t="s">
        <v>7</v>
      </c>
      <c r="M113" s="283"/>
      <c r="N113" s="662"/>
      <c r="O113" s="241"/>
      <c r="S113" s="13"/>
      <c r="T113" s="116"/>
      <c r="U113" s="28"/>
      <c r="V113" s="397"/>
      <c r="W113" s="28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spans="1:36" x14ac:dyDescent="0.35">
      <c r="A114" s="970" t="s">
        <v>542</v>
      </c>
      <c r="B114" s="973">
        <v>0</v>
      </c>
      <c r="C114" s="19"/>
      <c r="D114" s="406"/>
      <c r="E114" s="973">
        <f>B114*(1/2*1.38E-23*300)</f>
        <v>0</v>
      </c>
      <c r="F114" s="112"/>
      <c r="G114" s="406"/>
      <c r="H114" s="973">
        <f>B114*2/(6.02*10^23)</f>
        <v>0</v>
      </c>
      <c r="I114" s="436"/>
      <c r="J114" s="985" t="s">
        <v>568</v>
      </c>
      <c r="K114" s="696" t="s">
        <v>567</v>
      </c>
      <c r="M114" s="79"/>
      <c r="N114" s="339"/>
      <c r="O114" s="28"/>
      <c r="P114" s="149"/>
      <c r="S114" s="13"/>
      <c r="T114" s="116"/>
      <c r="U114" s="28"/>
      <c r="V114" s="397"/>
      <c r="W114" s="28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spans="1:36" x14ac:dyDescent="0.35">
      <c r="B115" s="973">
        <v>0</v>
      </c>
      <c r="C115" s="19"/>
      <c r="D115" s="406"/>
      <c r="E115" s="973">
        <f>B115*(1/2*1.38E-23*300)</f>
        <v>0</v>
      </c>
      <c r="F115" s="112"/>
      <c r="G115" s="406"/>
      <c r="H115" s="973">
        <f>B115*2/(6.02*10^23)</f>
        <v>0</v>
      </c>
      <c r="I115" s="436"/>
      <c r="L115" s="436" t="s">
        <v>736</v>
      </c>
      <c r="M115" s="28"/>
      <c r="N115" s="339"/>
      <c r="O115" s="28"/>
      <c r="P115" s="324"/>
      <c r="S115" s="13"/>
      <c r="T115" s="116"/>
      <c r="U115" s="28"/>
      <c r="V115" s="330"/>
      <c r="W115" s="348"/>
      <c r="X115" s="330"/>
      <c r="Y115" s="11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spans="1:36" ht="15.65" customHeight="1" x14ac:dyDescent="0.35">
      <c r="A116" s="71" t="s">
        <v>950</v>
      </c>
      <c r="B116" s="10"/>
      <c r="C116" s="1"/>
      <c r="D116" s="1"/>
      <c r="E116" s="548"/>
      <c r="F116" s="1"/>
      <c r="G116" s="1"/>
      <c r="H116" s="537"/>
      <c r="J116" s="59"/>
      <c r="K116" s="13" t="s">
        <v>737</v>
      </c>
      <c r="L116" s="1174" t="s">
        <v>731</v>
      </c>
      <c r="M116" s="26"/>
      <c r="N116" s="26"/>
      <c r="O116" s="26"/>
      <c r="P116" s="324"/>
      <c r="S116" s="13"/>
      <c r="T116" s="116"/>
      <c r="U116" s="28"/>
      <c r="V116" s="330"/>
      <c r="W116" s="348"/>
      <c r="X116" s="330"/>
      <c r="Y116" s="11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spans="1:36" x14ac:dyDescent="0.35">
      <c r="A117" s="71" t="s">
        <v>949</v>
      </c>
      <c r="B117" s="68">
        <f>IF('[1]параметры для расчета'!$K$35=0, IF('параметры для расчета'!K36*'параметры для расчета'!$C$9*(1-'параметры для расчета'!$C$20%)/(1/2*1.38E-23*300)-(B36-B32+B98-B102+B109)-$B$12+$B$10&lt;0, 0, 'параметры для расчета'!K36*'параметры для расчета'!$C$9*(1-'параметры для расчета'!$C$20%)/(1/2*1.38E-23*300)-(B36-B32+B98-B102+B109)-$B$12+$B$10+B109), результаты!AM54)</f>
        <v>6.5518028411816756E+21</v>
      </c>
      <c r="C117" s="1" t="s">
        <v>14</v>
      </c>
      <c r="D117" s="10" t="s">
        <v>37</v>
      </c>
      <c r="E117" s="667">
        <f>B117*(1/2*1.38E-23*1000)</f>
        <v>45.207439604153564</v>
      </c>
      <c r="F117" s="1" t="s">
        <v>9</v>
      </c>
      <c r="G117" s="10" t="s">
        <v>37</v>
      </c>
      <c r="H117" s="109">
        <f>B117*2/(6.02*10^23)</f>
        <v>2.1766786847779655E-2</v>
      </c>
      <c r="I117" s="436" t="s">
        <v>7</v>
      </c>
      <c r="J117" s="1142" t="s">
        <v>541</v>
      </c>
      <c r="K117" s="1143">
        <f>'баланс тритий'!B117*(1/'параметры для расчета'!C21%-1)+B109</f>
        <v>6.5518028411816756E+21</v>
      </c>
      <c r="L117" s="1144">
        <f>'параметры для расчета'!$C$9*(1-'параметры для расчета'!$C$21%)*'параметры для расчета'!$C$7/(1/2*1.38E-23*1000)-(B36-B32+$B$98-B102+B109)-$B$13+$B$10</f>
        <v>2.8251892286071584E+21</v>
      </c>
      <c r="M117" s="1145">
        <f>(B36-B32+$B$98-B102+B109)</f>
        <v>7.9527357029880221E+20</v>
      </c>
      <c r="N117" s="1155" t="s">
        <v>732</v>
      </c>
      <c r="O117" s="26"/>
      <c r="P117" s="1339">
        <f>IF(B109&gt;0, 'баланс тритий'!B117*(1/'параметры для расчета'!$C$20%-1)+B109, 'баланс тритий'!B117*(1/'параметры для расчета'!$C$20%-1))</f>
        <v>6.5518028411816756E+21</v>
      </c>
      <c r="S117" s="13"/>
      <c r="T117" s="116"/>
      <c r="U117" s="28"/>
      <c r="V117" s="397"/>
      <c r="W117" s="28"/>
      <c r="X117" s="95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spans="1:36" x14ac:dyDescent="0.35">
      <c r="A118" s="970" t="s">
        <v>543</v>
      </c>
      <c r="B118" s="489">
        <f>IF('[1]параметры для расчета'!$K$35=0, IF('параметры для расчета'!K36*'параметры для расчета'!$C$9*(1-'параметры для расчета'!$C$20%)/(1/2*1.38E-23*300)-(B37-B33+B99-B103+B110)-$E$12+$B$10&lt;0, 0,  'параметры для расчета'!K36*'параметры для расчета'!$C$9*(1-'параметры для расчета'!$C$20%)/(1/2*1.38E-23*300)-(B37-B33+B99-B103+B110)-$E$12+$B$10+B109), результаты!AM54)</f>
        <v>6.5518028411816756E+21</v>
      </c>
      <c r="C118" s="1"/>
      <c r="D118" s="10"/>
      <c r="E118" s="580">
        <f>B118*(1/2*1.38E-23*1000)</f>
        <v>45.207439604153564</v>
      </c>
      <c r="F118" s="1"/>
      <c r="G118" s="10"/>
      <c r="H118" s="606">
        <f>B118*2/(6.02*10^23)</f>
        <v>2.1766786847779655E-2</v>
      </c>
      <c r="I118" s="436"/>
      <c r="J118" s="1146"/>
      <c r="K118" s="1143">
        <f>'баланс тритий'!B118*(1/'параметры для расчета'!C21%-1)+B110</f>
        <v>6.5518028411816756E+21</v>
      </c>
      <c r="L118" s="1144">
        <f>'параметры для расчета'!$C$9*(1-'параметры для расчета'!$C$21%)*'параметры для расчета'!$C$7/(1/2*1.38E-23*1000)-(B37-B33+$B$98-B103+B110)-$B$13+$B$10</f>
        <v>2.8251892286071584E+21</v>
      </c>
      <c r="M118" s="1145">
        <f>(B37-B33+$B$98-B103+B110)</f>
        <v>7.9527357029880221E+20</v>
      </c>
      <c r="N118" s="1176"/>
      <c r="O118" s="26"/>
      <c r="P118" s="1339">
        <f>IF(B110&gt;0, 'баланс тритий'!B118*(1/'параметры для расчета'!$C$20%-1)+B110, 'баланс тритий'!B118*(1/'параметры для расчета'!$C$20%-1))</f>
        <v>6.5518028411816756E+21</v>
      </c>
      <c r="S118" s="13"/>
      <c r="T118" s="28"/>
      <c r="U118" s="397"/>
      <c r="V118" s="28"/>
      <c r="W118" s="28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spans="1:36" x14ac:dyDescent="0.35">
      <c r="A119" s="90"/>
      <c r="B119" s="182">
        <f>IF('[1]параметры для расчета'!$K$35=0, IF('параметры для расчета'!K36*'параметры для расчета'!$C$9*(1-'параметры для расчета'!$C$20%)/(1/2*1.38E-23*300)-(B38-B34+B100-B104+B111)-$H$12+$B$10-'[3]динамика трития в инжекторах'!F6&lt;0, 0, 'параметры для расчета'!K36*'параметры для расчета'!$C$9*(1-'параметры для расчета'!$C$20%)/(1/2*1.38E-23*300)-(B38-B34+B100-B104+B111)-$H$12+$B$10-'[3]динамика трития в инжекторах'!F6+B109), результаты!AM54)</f>
        <v>6.7085850753102911E+21</v>
      </c>
      <c r="C119" s="112"/>
      <c r="D119" s="124"/>
      <c r="E119" s="431">
        <f>B119*(1/2*1.38E-23*1000)</f>
        <v>46.289237019641014</v>
      </c>
      <c r="F119" s="112"/>
      <c r="G119" s="124"/>
      <c r="H119" s="209">
        <f>B119*2/(6.02*10^23)</f>
        <v>2.2287658057509277E-2</v>
      </c>
      <c r="I119" s="436" t="s">
        <v>7</v>
      </c>
      <c r="J119" s="1147"/>
      <c r="K119" s="1143">
        <f>'баланс тритий'!B119*(1/'параметры для расчета'!C21%-1)+B111</f>
        <v>6.3950206070530622E+21</v>
      </c>
      <c r="L119" s="1144">
        <f>'параметры для расчета'!$C$9*(1-'параметры для расчета'!$C$21%)*'параметры для расчета'!$C$7/(1/2*1.38E-23*1000)-(B38-B34+$B$98-B104+B111)-$B$13+$B$10</f>
        <v>2.475751884558072E+21</v>
      </c>
      <c r="M119" s="1145">
        <f>(B38-B34+$B$98-B104+B111)</f>
        <v>1.1447109143478885E+21</v>
      </c>
      <c r="N119" s="1176"/>
      <c r="O119" s="26"/>
      <c r="P119" s="1339">
        <f>IF(B111&gt;0, 'баланс тритий'!B119*(1/'параметры для расчета'!$C$20%-1)+B111, 'баланс тритий'!B119*(1/'параметры для расчета'!$C$20%-1))</f>
        <v>6.3950206070530622E+21</v>
      </c>
      <c r="S119" s="13"/>
      <c r="T119" s="28"/>
      <c r="U119" s="397"/>
      <c r="V119" s="28"/>
      <c r="W119" s="28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spans="1:36" x14ac:dyDescent="0.35">
      <c r="B120" s="1201">
        <f>'параметры для расчета'!K36*'параметры для расчета'!$C$9*(1-'параметры для расчета'!$C$20%)/(1/2*1.38E-23*300)-(B38-B34+B100-B104+B111)-$B$12+$B$10-'[3]динамика трития в инжекторах'!F6</f>
        <v>6.567481064594538E+21</v>
      </c>
      <c r="E120" s="13"/>
      <c r="H120" s="13"/>
      <c r="K120" s="13" t="s">
        <v>738</v>
      </c>
      <c r="L120" s="1174" t="s">
        <v>739</v>
      </c>
      <c r="M120" s="95"/>
      <c r="N120" s="339"/>
      <c r="O120" s="26"/>
      <c r="P120" s="26"/>
      <c r="S120" s="410"/>
      <c r="T120" s="328"/>
      <c r="U120" s="45"/>
      <c r="V120" s="399"/>
      <c r="W120" s="348"/>
      <c r="X120" s="330"/>
      <c r="Y120" s="28"/>
      <c r="Z120" s="308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spans="1:36" x14ac:dyDescent="0.35">
      <c r="C121" s="10"/>
      <c r="L121" s="436" t="s">
        <v>740</v>
      </c>
      <c r="R121" s="13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spans="1:36" x14ac:dyDescent="0.35">
      <c r="A122" s="1071" t="s">
        <v>32</v>
      </c>
      <c r="C122" s="10"/>
      <c r="R122" s="13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spans="1:36" x14ac:dyDescent="0.35">
      <c r="A123" s="11" t="s">
        <v>15</v>
      </c>
      <c r="B123" s="40">
        <f>IF(N32&gt;100,100,N32)</f>
        <v>2.6133141306665029</v>
      </c>
      <c r="C123" s="1" t="s">
        <v>18</v>
      </c>
      <c r="D123" s="473"/>
      <c r="E123" s="498"/>
      <c r="F123" s="32"/>
      <c r="G123" s="41"/>
      <c r="H123" s="105"/>
      <c r="K123" s="619"/>
      <c r="L123" s="19"/>
      <c r="M123" s="230"/>
      <c r="N123" s="1072"/>
      <c r="O123" s="885"/>
      <c r="R123" s="13"/>
      <c r="S123" s="13"/>
      <c r="T123" s="4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96"/>
      <c r="AG123" s="26"/>
      <c r="AH123" s="26"/>
      <c r="AI123" s="26"/>
      <c r="AJ123" s="26"/>
    </row>
    <row r="124" spans="1:36" x14ac:dyDescent="0.35">
      <c r="A124" s="11"/>
      <c r="B124" s="620">
        <f>N33</f>
        <v>2.6133141306665029</v>
      </c>
      <c r="C124" s="1"/>
      <c r="D124" s="473"/>
      <c r="E124" s="498"/>
      <c r="F124" s="32"/>
      <c r="G124" s="41"/>
      <c r="H124" s="106"/>
      <c r="K124" s="619"/>
      <c r="L124" s="19"/>
      <c r="M124" s="19"/>
      <c r="N124" s="1072"/>
      <c r="O124" s="186"/>
      <c r="R124" s="13"/>
      <c r="S124" s="13"/>
      <c r="T124" s="4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96"/>
      <c r="AG124" s="26"/>
      <c r="AH124" s="26"/>
      <c r="AI124" s="26"/>
      <c r="AJ124" s="26"/>
    </row>
    <row r="125" spans="1:36" x14ac:dyDescent="0.35">
      <c r="A125" s="1"/>
      <c r="B125" s="968">
        <f>N34</f>
        <v>5.3321000299857326</v>
      </c>
      <c r="C125" s="1"/>
      <c r="E125" s="42" t="s">
        <v>327</v>
      </c>
      <c r="M125" s="19"/>
      <c r="N125" s="393"/>
      <c r="O125" s="186"/>
      <c r="S125" s="13"/>
      <c r="T125" s="136"/>
      <c r="U125" s="26"/>
      <c r="V125" s="26"/>
      <c r="W125" s="26"/>
      <c r="X125" s="97"/>
      <c r="Y125" s="331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spans="1:36" x14ac:dyDescent="0.35">
      <c r="A126" s="11" t="s">
        <v>16</v>
      </c>
      <c r="B126" s="40">
        <f>B102/B19%</f>
        <v>97.14506950169168</v>
      </c>
      <c r="C126" s="1" t="s">
        <v>18</v>
      </c>
      <c r="D126" s="67"/>
      <c r="E126" s="201">
        <f>B126+B123</f>
        <v>99.758383632358189</v>
      </c>
      <c r="K126" s="104"/>
      <c r="R126" s="13"/>
      <c r="S126" s="410"/>
      <c r="T126" s="151"/>
      <c r="U126" s="26"/>
      <c r="V126" s="45"/>
      <c r="W126" s="26"/>
      <c r="X126" s="26"/>
      <c r="Y126" s="26"/>
      <c r="Z126" s="148"/>
      <c r="AA126" s="331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spans="1:36" x14ac:dyDescent="0.35">
      <c r="A127" s="11"/>
      <c r="B127" s="620">
        <f>B103/B20%</f>
        <v>97.14506950169168</v>
      </c>
      <c r="C127" s="1"/>
      <c r="D127" s="977"/>
      <c r="E127" s="583">
        <f>B127+B124</f>
        <v>99.758383632358189</v>
      </c>
      <c r="K127" s="104"/>
      <c r="N127" s="52"/>
      <c r="R127" s="13"/>
      <c r="S127" s="410"/>
      <c r="T127" s="151"/>
      <c r="U127" s="26"/>
      <c r="V127" s="45"/>
      <c r="W127" s="26"/>
      <c r="X127" s="26"/>
      <c r="Y127" s="26"/>
      <c r="Z127" s="148"/>
      <c r="AA127" s="331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spans="1:36" ht="17.25" customHeight="1" x14ac:dyDescent="0.35">
      <c r="A128" s="48"/>
      <c r="B128" s="213">
        <f>B104/B21%</f>
        <v>94.433028910188654</v>
      </c>
      <c r="C128" s="1"/>
      <c r="E128" s="214">
        <f>B128+B125</f>
        <v>99.765128940174392</v>
      </c>
      <c r="M128" s="63"/>
      <c r="R128" s="13"/>
      <c r="S128" s="410"/>
      <c r="T128" s="116"/>
      <c r="U128" s="26"/>
      <c r="V128" s="26"/>
      <c r="W128" s="26"/>
      <c r="X128" s="26"/>
      <c r="Y128" s="26"/>
      <c r="Z128" s="148"/>
      <c r="AA128" s="28"/>
      <c r="AB128" s="1016"/>
      <c r="AC128" s="113"/>
      <c r="AD128" s="26"/>
      <c r="AE128" s="1016"/>
      <c r="AF128" s="285"/>
      <c r="AG128" s="136"/>
      <c r="AH128" s="1016"/>
      <c r="AI128" s="453"/>
      <c r="AJ128" s="136"/>
    </row>
    <row r="129" spans="1:36" x14ac:dyDescent="0.35">
      <c r="A129" s="11"/>
      <c r="B129" s="1362"/>
      <c r="C129" s="1"/>
      <c r="E129" s="42" t="s">
        <v>556</v>
      </c>
      <c r="H129" s="13"/>
      <c r="M129" s="362"/>
      <c r="N129" s="362"/>
      <c r="O129" s="356"/>
      <c r="P129" s="308"/>
      <c r="R129" s="13"/>
      <c r="S129" s="410"/>
      <c r="T129" s="136"/>
      <c r="U129" s="26"/>
      <c r="V129" s="45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spans="1:36" x14ac:dyDescent="0.35">
      <c r="A130" s="1071" t="s">
        <v>546</v>
      </c>
      <c r="N130" s="41" t="s">
        <v>547</v>
      </c>
      <c r="R130" s="13"/>
      <c r="S130" s="410"/>
      <c r="T130" s="136"/>
      <c r="U130" s="26"/>
      <c r="V130" s="45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spans="1:36" ht="17.25" customHeight="1" x14ac:dyDescent="0.35">
      <c r="A131" s="1071" t="s">
        <v>15</v>
      </c>
      <c r="B131" s="68">
        <f>B36</f>
        <v>2.0833333333333334E+20</v>
      </c>
      <c r="C131" s="13" t="s">
        <v>14</v>
      </c>
      <c r="D131" s="1070" t="s">
        <v>37</v>
      </c>
      <c r="E131" s="667">
        <f t="shared" ref="E131:E139" si="0">B131*(1/2*1.38E-23*1000)</f>
        <v>1.4375000000000002</v>
      </c>
      <c r="F131" s="13" t="s">
        <v>9</v>
      </c>
      <c r="G131" s="1070" t="s">
        <v>37</v>
      </c>
      <c r="H131" s="109">
        <f t="shared" ref="H131:H139" si="1">B131*2/(6.02*10^23)</f>
        <v>6.9213732004429695E-4</v>
      </c>
      <c r="I131" s="436" t="s">
        <v>7</v>
      </c>
      <c r="K131" s="14" t="s">
        <v>313</v>
      </c>
      <c r="M131" s="1071" t="s">
        <v>64</v>
      </c>
      <c r="N131" s="119">
        <f>100*B131/B19</f>
        <v>2.9036823674072254</v>
      </c>
      <c r="O131" s="13" t="s">
        <v>18</v>
      </c>
      <c r="P131" s="85"/>
      <c r="R131" s="13"/>
      <c r="S131" s="410"/>
      <c r="T131" s="436"/>
      <c r="U131" s="13"/>
      <c r="V131" s="34"/>
      <c r="Y131" s="164"/>
    </row>
    <row r="132" spans="1:36" ht="17.25" customHeight="1" x14ac:dyDescent="0.35">
      <c r="A132" s="1071"/>
      <c r="B132" s="489">
        <f>B37</f>
        <v>2.0833333333333334E+20</v>
      </c>
      <c r="D132" s="1070"/>
      <c r="E132" s="133">
        <f t="shared" si="0"/>
        <v>1.4375000000000002</v>
      </c>
      <c r="G132" s="1070"/>
      <c r="H132" s="606">
        <f>B132*2/(6.02*10^23)</f>
        <v>6.9213732004429695E-4</v>
      </c>
      <c r="I132" s="436"/>
      <c r="N132" s="581">
        <f>100*B132/B19</f>
        <v>2.9036823674072254</v>
      </c>
      <c r="P132" s="85"/>
      <c r="R132" s="13"/>
      <c r="S132" s="410"/>
      <c r="T132" s="436"/>
      <c r="U132" s="13"/>
      <c r="V132" s="34"/>
      <c r="Y132" s="164"/>
    </row>
    <row r="133" spans="1:36" x14ac:dyDescent="0.35">
      <c r="B133" s="209">
        <f>B38</f>
        <v>4.1666666666666669E+20</v>
      </c>
      <c r="C133" s="643"/>
      <c r="D133" s="644"/>
      <c r="E133" s="431">
        <f t="shared" si="0"/>
        <v>2.8750000000000004</v>
      </c>
      <c r="F133" s="643"/>
      <c r="G133" s="644"/>
      <c r="H133" s="209">
        <f t="shared" si="1"/>
        <v>1.3842746400885939E-3</v>
      </c>
      <c r="I133" s="436"/>
      <c r="N133" s="487">
        <f>100*B133/B19</f>
        <v>5.8073647348144508</v>
      </c>
      <c r="P133" s="85"/>
      <c r="Q133" s="38"/>
      <c r="W133" s="26"/>
      <c r="X133" s="1016"/>
      <c r="Y133" s="44"/>
      <c r="Z133" s="26"/>
      <c r="AA133" s="1016"/>
      <c r="AB133" s="44"/>
      <c r="AC133" s="136"/>
      <c r="AD133" s="26"/>
      <c r="AE133" s="26"/>
      <c r="AF133" s="26"/>
    </row>
    <row r="134" spans="1:36" x14ac:dyDescent="0.35">
      <c r="A134" s="1071" t="s">
        <v>16</v>
      </c>
      <c r="B134" s="109">
        <f>B98</f>
        <v>7.7444023696546962E+21</v>
      </c>
      <c r="C134" s="1" t="s">
        <v>14</v>
      </c>
      <c r="D134" s="10" t="s">
        <v>37</v>
      </c>
      <c r="E134" s="666">
        <f t="shared" si="0"/>
        <v>53.436376350617408</v>
      </c>
      <c r="F134" s="1" t="s">
        <v>9</v>
      </c>
      <c r="G134" s="10" t="s">
        <v>37</v>
      </c>
      <c r="H134" s="109">
        <f t="shared" si="1"/>
        <v>2.5728911527092016E-2</v>
      </c>
      <c r="I134" s="436" t="s">
        <v>7</v>
      </c>
      <c r="J134" s="25"/>
      <c r="K134" s="74" t="s">
        <v>157</v>
      </c>
      <c r="N134" s="486">
        <f>100*B134/B19</f>
        <v>107.93896611299076</v>
      </c>
      <c r="O134" s="13" t="s">
        <v>18</v>
      </c>
      <c r="P134" s="85"/>
      <c r="W134" s="26"/>
      <c r="X134" s="26"/>
      <c r="Y134" s="26"/>
      <c r="Z134" s="46"/>
      <c r="AA134" s="46"/>
      <c r="AB134" s="454"/>
      <c r="AC134" s="47"/>
      <c r="AD134" s="26"/>
      <c r="AE134" s="26"/>
      <c r="AF134" s="26"/>
    </row>
    <row r="135" spans="1:36" x14ac:dyDescent="0.35">
      <c r="A135" s="1071"/>
      <c r="B135" s="606">
        <f>B99</f>
        <v>7.7444023696546962E+21</v>
      </c>
      <c r="C135" s="1"/>
      <c r="D135" s="10"/>
      <c r="E135" s="580">
        <f t="shared" si="0"/>
        <v>53.436376350617408</v>
      </c>
      <c r="F135" s="1"/>
      <c r="G135" s="10"/>
      <c r="H135" s="606">
        <f>B135*2/(6.02*10^23)</f>
        <v>2.5728911527092016E-2</v>
      </c>
      <c r="I135" s="436"/>
      <c r="J135" s="25"/>
      <c r="K135" s="74" t="s">
        <v>41</v>
      </c>
      <c r="M135" s="1071"/>
      <c r="N135" s="626">
        <f>100*B135/B19</f>
        <v>107.93896611299076</v>
      </c>
      <c r="P135" s="85"/>
      <c r="W135" s="26"/>
      <c r="X135" s="26"/>
      <c r="Y135" s="26"/>
      <c r="Z135" s="46"/>
      <c r="AA135" s="46"/>
      <c r="AB135" s="454"/>
      <c r="AC135" s="47"/>
      <c r="AD135" s="26"/>
      <c r="AE135" s="26"/>
      <c r="AF135" s="26"/>
    </row>
    <row r="136" spans="1:36" x14ac:dyDescent="0.35">
      <c r="B136" s="209">
        <f>B100</f>
        <v>7.3792868021927485E+21</v>
      </c>
      <c r="C136" s="643"/>
      <c r="D136" s="644"/>
      <c r="E136" s="431">
        <f t="shared" si="0"/>
        <v>50.917078935129965</v>
      </c>
      <c r="F136" s="643"/>
      <c r="G136" s="644"/>
      <c r="H136" s="209">
        <f t="shared" si="1"/>
        <v>2.4515902997318106E-2</v>
      </c>
      <c r="I136" s="436"/>
      <c r="N136" s="487">
        <f>100*B136/B19</f>
        <v>102.85010386352609</v>
      </c>
      <c r="P136" s="85"/>
      <c r="W136" s="26"/>
      <c r="X136" s="26"/>
      <c r="Y136" s="26"/>
      <c r="Z136" s="46"/>
      <c r="AA136" s="46"/>
      <c r="AB136" s="454"/>
      <c r="AC136" s="47"/>
      <c r="AD136" s="26"/>
      <c r="AE136" s="26"/>
      <c r="AF136" s="26"/>
    </row>
    <row r="137" spans="1:36" x14ac:dyDescent="0.35">
      <c r="A137" s="1071" t="s">
        <v>17</v>
      </c>
      <c r="B137" s="109">
        <f>B117</f>
        <v>6.5518028411816756E+21</v>
      </c>
      <c r="C137" s="1" t="s">
        <v>14</v>
      </c>
      <c r="D137" s="10" t="s">
        <v>37</v>
      </c>
      <c r="E137" s="666">
        <f t="shared" si="0"/>
        <v>45.207439604153564</v>
      </c>
      <c r="F137" s="1" t="s">
        <v>9</v>
      </c>
      <c r="G137" s="10" t="s">
        <v>37</v>
      </c>
      <c r="H137" s="109">
        <f t="shared" si="1"/>
        <v>2.1766786847779655E-2</v>
      </c>
      <c r="I137" s="436" t="s">
        <v>7</v>
      </c>
      <c r="K137" s="74" t="s">
        <v>355</v>
      </c>
      <c r="M137" s="1071"/>
      <c r="N137" s="486">
        <f>100*B137/B19</f>
        <v>91.316901046405405</v>
      </c>
      <c r="O137" s="13" t="s">
        <v>18</v>
      </c>
      <c r="P137" s="85"/>
      <c r="W137" s="26"/>
      <c r="X137" s="26"/>
      <c r="Y137" s="26"/>
      <c r="Z137" s="46"/>
      <c r="AA137" s="46"/>
      <c r="AB137" s="454"/>
      <c r="AC137" s="47"/>
      <c r="AD137" s="26"/>
      <c r="AE137" s="26"/>
      <c r="AF137" s="26"/>
    </row>
    <row r="138" spans="1:36" x14ac:dyDescent="0.35">
      <c r="A138" s="1071"/>
      <c r="B138" s="606">
        <f>B118</f>
        <v>6.5518028411816756E+21</v>
      </c>
      <c r="C138" s="1"/>
      <c r="D138" s="10"/>
      <c r="E138" s="580">
        <f t="shared" si="0"/>
        <v>45.207439604153564</v>
      </c>
      <c r="F138" s="1"/>
      <c r="G138" s="10"/>
      <c r="H138" s="606">
        <f>B138*2/(6.02*10^23)</f>
        <v>2.1766786847779655E-2</v>
      </c>
      <c r="I138" s="436"/>
      <c r="K138" s="74"/>
      <c r="M138" s="1071"/>
      <c r="N138" s="626">
        <f>100*B138/B19</f>
        <v>91.316901046405405</v>
      </c>
      <c r="P138" s="85"/>
      <c r="R138" s="52"/>
      <c r="S138" s="13"/>
      <c r="T138" s="26"/>
      <c r="U138" s="26"/>
      <c r="V138" s="46"/>
      <c r="AA138" s="46"/>
      <c r="AB138" s="454"/>
      <c r="AC138" s="47"/>
      <c r="AD138" s="26"/>
      <c r="AE138" s="26"/>
      <c r="AF138" s="26"/>
    </row>
    <row r="139" spans="1:36" x14ac:dyDescent="0.35">
      <c r="B139" s="209">
        <f>B119</f>
        <v>6.7085850753102911E+21</v>
      </c>
      <c r="C139" s="112"/>
      <c r="D139" s="124"/>
      <c r="E139" s="431">
        <f t="shared" si="0"/>
        <v>46.289237019641014</v>
      </c>
      <c r="F139" s="112"/>
      <c r="G139" s="124"/>
      <c r="H139" s="209">
        <f t="shared" si="1"/>
        <v>2.2287658057509277E-2</v>
      </c>
      <c r="I139" s="436"/>
      <c r="N139" s="487">
        <f>100*B139/B19</f>
        <v>93.50208092846286</v>
      </c>
      <c r="P139" s="85"/>
      <c r="R139" s="52"/>
      <c r="S139" s="13"/>
      <c r="T139" s="26"/>
      <c r="U139" s="26"/>
      <c r="V139" s="46"/>
      <c r="AA139" s="46"/>
      <c r="AB139" s="454"/>
      <c r="AC139" s="47"/>
      <c r="AD139" s="26"/>
      <c r="AE139" s="26"/>
      <c r="AF139" s="26"/>
    </row>
    <row r="140" spans="1:36" x14ac:dyDescent="0.35">
      <c r="A140" s="436"/>
      <c r="B140" s="110"/>
      <c r="C140" s="19"/>
      <c r="D140" s="406"/>
      <c r="E140" s="1072"/>
      <c r="F140" s="19"/>
      <c r="G140" s="406"/>
      <c r="H140" s="285"/>
      <c r="I140" s="436"/>
      <c r="K140" s="10" t="s">
        <v>559</v>
      </c>
      <c r="L140" s="1312" t="s">
        <v>558</v>
      </c>
      <c r="M140" s="295"/>
      <c r="N140" s="551"/>
      <c r="R140" s="25"/>
      <c r="S140" s="13"/>
      <c r="T140" s="26"/>
      <c r="U140" s="26"/>
      <c r="V140" s="46"/>
      <c r="AA140" s="46"/>
      <c r="AB140" s="454"/>
      <c r="AC140" s="47"/>
      <c r="AD140" s="26"/>
      <c r="AE140" s="26"/>
      <c r="AF140" s="26"/>
    </row>
    <row r="141" spans="1:36" x14ac:dyDescent="0.35">
      <c r="A141" s="1071" t="s">
        <v>551</v>
      </c>
      <c r="B141" s="68">
        <f>B102+B32</f>
        <v>7.1574621326892272E+21</v>
      </c>
      <c r="C141" s="13" t="s">
        <v>14</v>
      </c>
      <c r="D141" s="1070" t="s">
        <v>37</v>
      </c>
      <c r="E141" s="667">
        <f>E131+E134+E137</f>
        <v>100.08131595477097</v>
      </c>
      <c r="F141" s="13" t="s">
        <v>9</v>
      </c>
      <c r="G141" s="1070" t="s">
        <v>37</v>
      </c>
      <c r="H141" s="109">
        <f>B141*2/(6.02*10^23)</f>
        <v>2.3778943962422684E-2</v>
      </c>
      <c r="I141" s="436" t="s">
        <v>7</v>
      </c>
      <c r="J141" s="564">
        <f>K141+'баланс тритий'!K141</f>
        <v>1</v>
      </c>
      <c r="K141" s="734">
        <f>P141/(P141+'баланс тритий'!P141)</f>
        <v>0.5</v>
      </c>
      <c r="L141" s="748">
        <f>($B$4-$B$9-$B$13+$B$10+B141)/'параметры для расчета'!$K$5</f>
        <v>1.0062196779040956E+20</v>
      </c>
      <c r="M141" s="94" t="s">
        <v>104</v>
      </c>
      <c r="N141" s="207">
        <f>B141/B145</f>
        <v>0.99758383632358194</v>
      </c>
      <c r="O141" s="1201">
        <f>'баланс тритий'!L141*(1/'параметры для расчета'!C21%-1)</f>
        <v>1.0062196779040956E+20</v>
      </c>
      <c r="P141" s="978">
        <f>($B$4-$B$9-$B$13+$B$10+B141)/'параметры для расчета'!$K$5</f>
        <v>1.0062196779040956E+20</v>
      </c>
      <c r="R141" s="25"/>
      <c r="S141" s="13"/>
      <c r="T141" s="26"/>
      <c r="U141" s="26"/>
      <c r="V141" s="46"/>
      <c r="AA141" s="46"/>
      <c r="AB141" s="454"/>
      <c r="AC141" s="47"/>
      <c r="AD141" s="26"/>
      <c r="AE141" s="26"/>
      <c r="AF141" s="26"/>
    </row>
    <row r="142" spans="1:36" x14ac:dyDescent="0.35">
      <c r="A142" s="94"/>
      <c r="B142" s="489">
        <f>B103+B33</f>
        <v>7.1574621326892272E+21</v>
      </c>
      <c r="D142" s="1070"/>
      <c r="E142" s="133">
        <f>E132+E135+E138</f>
        <v>100.08131595477097</v>
      </c>
      <c r="G142" s="1070"/>
      <c r="H142" s="606">
        <f>B142*2/(6.02*10^23)</f>
        <v>2.3778943962422684E-2</v>
      </c>
      <c r="I142" s="436"/>
      <c r="J142" s="564">
        <f>K142+'баланс тритий'!K142</f>
        <v>1</v>
      </c>
      <c r="K142" s="734">
        <f>P142/(P142+'баланс тритий'!P142)</f>
        <v>0.5</v>
      </c>
      <c r="L142" s="748">
        <f>($B$4-$B$9-$B$13+$B$10+B142)/'параметры для расчета'!$K$5</f>
        <v>1.0062196779040956E+20</v>
      </c>
      <c r="N142" s="594">
        <f>B142/B145</f>
        <v>0.99758383632358194</v>
      </c>
      <c r="O142" s="1201">
        <f>'баланс тритий'!L142*(1/'параметры для расчета'!C21%-1)</f>
        <v>1.0062196779040956E+20</v>
      </c>
      <c r="P142" s="978">
        <f>($B$4-$B$9-$B$13+$B$10+B142)/'параметры для расчета'!$K$5</f>
        <v>1.0062196779040956E+20</v>
      </c>
      <c r="R142" s="25"/>
      <c r="S142" s="13"/>
      <c r="T142" s="26"/>
      <c r="U142" s="26"/>
      <c r="V142" s="46"/>
      <c r="AA142" s="46"/>
      <c r="AB142" s="454"/>
      <c r="AC142" s="47"/>
      <c r="AD142" s="26"/>
      <c r="AE142" s="26"/>
      <c r="AF142" s="26"/>
    </row>
    <row r="143" spans="1:36" x14ac:dyDescent="0.35">
      <c r="B143" s="182">
        <f>B104+B34</f>
        <v>7.0163581219734741E+21</v>
      </c>
      <c r="C143" s="19"/>
      <c r="D143" s="406"/>
      <c r="E143" s="211">
        <f>E133+E136+E139</f>
        <v>100.08131595477099</v>
      </c>
      <c r="F143" s="19"/>
      <c r="G143" s="406"/>
      <c r="H143" s="209">
        <f>B143*2/(6.02*10^23)</f>
        <v>2.3310159873666029E-2</v>
      </c>
      <c r="I143" s="436"/>
      <c r="J143" s="564">
        <f>K143+'баланс тритий'!K143</f>
        <v>1</v>
      </c>
      <c r="K143" s="734">
        <f>P143/(P143+'баланс тритий'!P143)</f>
        <v>0.49420673328923576</v>
      </c>
      <c r="L143" s="748">
        <f>($B$4-$B$9-$B$13+$B$10+B143)/'параметры для расчета'!$K$5</f>
        <v>9.9456107997666017E+19</v>
      </c>
      <c r="N143" s="621">
        <f>B143/B145</f>
        <v>0.97791721738506476</v>
      </c>
      <c r="O143" s="1201">
        <f>'баланс тритий'!L143*(1/'параметры для расчета'!C21%-1)</f>
        <v>1.0178782758315311E+20</v>
      </c>
      <c r="P143" s="978">
        <f>($B$4-$B$9-$B$13+$B$10+B143)/'параметры для расчета'!$K$5</f>
        <v>9.9456107997666017E+19</v>
      </c>
      <c r="R143" s="85"/>
      <c r="S143" s="13"/>
      <c r="T143" s="26"/>
      <c r="U143" s="26"/>
      <c r="V143" s="46"/>
      <c r="AA143" s="46"/>
      <c r="AB143" s="454"/>
      <c r="AC143" s="47"/>
      <c r="AD143" s="26"/>
      <c r="AE143" s="26"/>
      <c r="AF143" s="26"/>
    </row>
    <row r="144" spans="1:36" x14ac:dyDescent="0.35">
      <c r="B144" s="69"/>
      <c r="C144" s="26"/>
      <c r="D144" s="1016"/>
      <c r="E144" s="1073"/>
      <c r="F144" s="26"/>
      <c r="G144" s="1016"/>
      <c r="H144" s="285"/>
      <c r="I144" s="436"/>
      <c r="J144" s="94"/>
      <c r="K144" s="74"/>
      <c r="N144" s="13"/>
      <c r="O144" s="1202" t="s">
        <v>383</v>
      </c>
      <c r="P144" s="74"/>
      <c r="Q144" s="144"/>
      <c r="R144" s="115"/>
      <c r="T144" s="26"/>
      <c r="U144" s="26"/>
      <c r="V144" s="46"/>
      <c r="AA144" s="46"/>
      <c r="AB144" s="454"/>
      <c r="AC144" s="47"/>
      <c r="AD144" s="26"/>
      <c r="AE144" s="26"/>
      <c r="AF144" s="26"/>
    </row>
    <row r="145" spans="1:34" x14ac:dyDescent="0.35">
      <c r="A145" s="94" t="s">
        <v>281</v>
      </c>
      <c r="B145" s="204">
        <f>B19</f>
        <v>7.1747976180796825E+21</v>
      </c>
      <c r="C145" s="74" t="s">
        <v>14</v>
      </c>
      <c r="D145" s="203" t="s">
        <v>37</v>
      </c>
      <c r="E145" s="670">
        <f>B145*(1/2*1.38E-23*1000)</f>
        <v>49.506103564749814</v>
      </c>
      <c r="F145" s="74" t="s">
        <v>9</v>
      </c>
      <c r="G145" s="203" t="s">
        <v>37</v>
      </c>
      <c r="H145" s="204">
        <f>B145*2/(6.02*10^23)</f>
        <v>2.3836536937141804E-2</v>
      </c>
      <c r="I145" s="85" t="s">
        <v>7</v>
      </c>
      <c r="J145" s="280"/>
      <c r="K145" s="746" t="s">
        <v>372</v>
      </c>
      <c r="L145" s="403">
        <f>L141+'баланс тритий'!L141</f>
        <v>2.0124393558081913E+20</v>
      </c>
      <c r="O145" s="52"/>
      <c r="Q145" s="144"/>
      <c r="T145" s="26"/>
      <c r="U145" s="26"/>
      <c r="V145" s="46"/>
      <c r="AA145" s="46"/>
      <c r="AB145" s="454"/>
      <c r="AC145" s="47"/>
      <c r="AD145" s="26"/>
      <c r="AE145" s="26"/>
      <c r="AF145" s="26"/>
    </row>
    <row r="146" spans="1:34" x14ac:dyDescent="0.35">
      <c r="B146" s="111"/>
      <c r="E146" s="104"/>
      <c r="L146" s="403">
        <f>L142+'баланс тритий'!L142</f>
        <v>2.0124393558081913E+20</v>
      </c>
      <c r="P146" s="25"/>
      <c r="Q146" s="144"/>
      <c r="T146" s="26"/>
      <c r="U146" s="26"/>
      <c r="V146" s="46"/>
      <c r="AA146" s="46"/>
      <c r="AB146" s="454"/>
      <c r="AC146" s="47"/>
      <c r="AD146" s="26"/>
      <c r="AE146" s="26"/>
      <c r="AF146" s="26"/>
    </row>
    <row r="147" spans="1:34" x14ac:dyDescent="0.35">
      <c r="A147" s="1363" t="s">
        <v>541</v>
      </c>
      <c r="B147" s="68">
        <f>B36-B32+B98-B102+B117</f>
        <v>7.3470764114804778E+21</v>
      </c>
      <c r="C147" s="13" t="s">
        <v>14</v>
      </c>
      <c r="D147" s="1241" t="s">
        <v>37</v>
      </c>
      <c r="E147" s="666">
        <f>E134+E137+E141</f>
        <v>198.72513190954194</v>
      </c>
      <c r="F147" s="13" t="s">
        <v>9</v>
      </c>
      <c r="G147" s="1241" t="s">
        <v>37</v>
      </c>
      <c r="H147" s="77">
        <f>B147*3/(6.02*10^23)</f>
        <v>3.6613337598739928E-2</v>
      </c>
      <c r="I147" s="436" t="s">
        <v>7</v>
      </c>
      <c r="L147" s="403">
        <f>L143+'баланс тритий'!L143</f>
        <v>2.0124393558081913E+20</v>
      </c>
      <c r="Q147" s="144"/>
      <c r="T147" s="26"/>
      <c r="U147" s="26"/>
      <c r="V147" s="46"/>
      <c r="AA147" s="46"/>
      <c r="AB147" s="454"/>
      <c r="AC147" s="47"/>
      <c r="AD147" s="26"/>
      <c r="AE147" s="26"/>
      <c r="AF147" s="26"/>
    </row>
    <row r="148" spans="1:34" x14ac:dyDescent="0.35">
      <c r="B148" s="489">
        <f>B37-B33+B99-B103+B118</f>
        <v>7.3470764114804778E+21</v>
      </c>
      <c r="D148" s="1241"/>
      <c r="E148" s="580">
        <f>E135+E138+E142</f>
        <v>198.72513190954194</v>
      </c>
      <c r="G148" s="1241"/>
      <c r="H148" s="582">
        <f>B148*3/(6.02*10^23)</f>
        <v>3.6613337598739928E-2</v>
      </c>
      <c r="I148" s="436"/>
      <c r="Q148" s="144"/>
      <c r="R148" s="115"/>
      <c r="T148" s="26"/>
      <c r="U148" s="26"/>
      <c r="V148" s="46"/>
      <c r="AA148" s="46"/>
      <c r="AB148" s="454"/>
      <c r="AC148" s="47"/>
      <c r="AD148" s="26"/>
      <c r="AE148" s="26"/>
      <c r="AF148" s="26"/>
    </row>
    <row r="149" spans="1:34" x14ac:dyDescent="0.35">
      <c r="B149" s="182">
        <f>B38-B34+B100-B104+B119</f>
        <v>7.4881804221962319E+21</v>
      </c>
      <c r="C149" s="19"/>
      <c r="D149" s="406"/>
      <c r="E149" s="211">
        <f>E139+E143+E136</f>
        <v>197.28763190954197</v>
      </c>
      <c r="F149" s="19"/>
      <c r="G149" s="406"/>
      <c r="H149" s="184">
        <f>B149*3/(6.02*10^23)</f>
        <v>3.7316513731874917E-2</v>
      </c>
      <c r="I149" s="436"/>
      <c r="Q149" s="144"/>
      <c r="R149" s="115"/>
      <c r="T149" s="26"/>
      <c r="U149" s="26"/>
      <c r="V149" s="46"/>
      <c r="AA149" s="46"/>
      <c r="AB149" s="454"/>
      <c r="AC149" s="47"/>
      <c r="AD149" s="26"/>
      <c r="AE149" s="26"/>
      <c r="AF149" s="26"/>
    </row>
    <row r="150" spans="1:34" x14ac:dyDescent="0.35">
      <c r="Q150" s="144"/>
      <c r="R150" s="115"/>
      <c r="T150" s="26"/>
      <c r="U150" s="26"/>
      <c r="V150" s="46"/>
      <c r="AA150" s="46"/>
      <c r="AB150" s="454"/>
      <c r="AC150" s="47"/>
      <c r="AD150" s="26"/>
      <c r="AE150" s="26"/>
      <c r="AF150" s="26"/>
    </row>
    <row r="151" spans="1:34" x14ac:dyDescent="0.35">
      <c r="E151" s="104"/>
      <c r="K151" s="63"/>
      <c r="Q151" s="144"/>
      <c r="R151" s="115"/>
      <c r="T151" s="26"/>
      <c r="U151" s="26"/>
      <c r="V151" s="46"/>
      <c r="AA151" s="46"/>
      <c r="AB151" s="454"/>
      <c r="AC151" s="47"/>
      <c r="AD151" s="26"/>
      <c r="AE151" s="26"/>
      <c r="AF151" s="26"/>
    </row>
    <row r="152" spans="1:34" ht="18.75" customHeight="1" x14ac:dyDescent="0.35">
      <c r="E152" s="104"/>
      <c r="Q152" s="144"/>
      <c r="R152" s="115"/>
      <c r="T152" s="26"/>
      <c r="U152" s="26"/>
      <c r="V152" s="46"/>
      <c r="AA152" s="46"/>
      <c r="AB152" s="454"/>
      <c r="AC152" s="47"/>
      <c r="AD152" s="26"/>
      <c r="AE152" s="26"/>
      <c r="AF152" s="26"/>
    </row>
    <row r="153" spans="1:34" x14ac:dyDescent="0.35">
      <c r="A153" s="1" t="s">
        <v>548</v>
      </c>
      <c r="E153" s="104"/>
      <c r="K153" s="10" t="s">
        <v>559</v>
      </c>
      <c r="P153" s="251" t="s">
        <v>142</v>
      </c>
      <c r="U153" s="45"/>
      <c r="V153" s="26"/>
      <c r="W153" s="26"/>
      <c r="X153" s="26"/>
      <c r="Y153" s="26"/>
      <c r="Z153" s="46"/>
      <c r="AA153" s="46"/>
      <c r="AB153" s="454"/>
      <c r="AC153" s="47"/>
      <c r="AD153" s="26"/>
      <c r="AE153" s="26"/>
      <c r="AF153" s="26"/>
    </row>
    <row r="154" spans="1:34" x14ac:dyDescent="0.35">
      <c r="A154" s="71" t="s">
        <v>906</v>
      </c>
      <c r="B154" s="68">
        <f>(B131+B134+B137)-B141+B12-B10+B13</f>
        <v>1.4492753623188406E+22</v>
      </c>
      <c r="C154" s="13" t="s">
        <v>14</v>
      </c>
      <c r="D154" s="1070" t="s">
        <v>37</v>
      </c>
      <c r="E154" s="55">
        <f>B154*(1/2*1.38E-23*300)</f>
        <v>30.000000000000004</v>
      </c>
      <c r="F154" s="13" t="s">
        <v>9</v>
      </c>
      <c r="G154" s="1070" t="s">
        <v>37</v>
      </c>
      <c r="H154" s="109">
        <f>B154*2/(6.02*10^23)</f>
        <v>4.8148683133516307E-2</v>
      </c>
      <c r="I154" s="436" t="s">
        <v>7</v>
      </c>
      <c r="J154" s="564">
        <f>K154+'баланс тритий'!K154</f>
        <v>1</v>
      </c>
      <c r="K154" s="734">
        <f>B154/(B154+'баланс тритий'!B154)</f>
        <v>0.5</v>
      </c>
      <c r="L154" s="238"/>
      <c r="M154" s="14" t="s">
        <v>313</v>
      </c>
      <c r="N154" s="173">
        <f>E154/('параметры для расчета'!$C$9*K154)</f>
        <v>30.000000000000004</v>
      </c>
      <c r="O154" s="102" t="s">
        <v>253</v>
      </c>
      <c r="P154" s="1340">
        <f>1-K154</f>
        <v>0.5</v>
      </c>
      <c r="Q154" s="117"/>
      <c r="U154" s="45"/>
      <c r="V154" s="26"/>
      <c r="W154" s="26"/>
      <c r="X154" s="26"/>
      <c r="Y154" s="26"/>
      <c r="Z154" s="46"/>
      <c r="AA154" s="46"/>
      <c r="AB154" s="454"/>
      <c r="AC154" s="47"/>
      <c r="AD154" s="26"/>
      <c r="AE154" s="26"/>
      <c r="AF154" s="26"/>
    </row>
    <row r="155" spans="1:34" x14ac:dyDescent="0.35">
      <c r="A155" s="1"/>
      <c r="B155" s="489">
        <f>(B132+B135+B138)-B142+E12-B10+E13</f>
        <v>1.4492753623188406E+22</v>
      </c>
      <c r="D155" s="1070"/>
      <c r="E155" s="133">
        <f>B155*(1/2*1.38E-23*300)</f>
        <v>30.000000000000004</v>
      </c>
      <c r="G155" s="1070"/>
      <c r="H155" s="606">
        <f>B155*2/(6.02*10^23)</f>
        <v>4.8148683133516307E-2</v>
      </c>
      <c r="I155" s="436"/>
      <c r="J155" s="564">
        <f>K155+'баланс тритий'!K155</f>
        <v>1</v>
      </c>
      <c r="K155" s="734">
        <f>B155/(B155+'баланс тритий'!B155)</f>
        <v>0.5</v>
      </c>
      <c r="L155" s="238"/>
      <c r="M155" s="63"/>
      <c r="N155" s="173">
        <f>E155/('параметры для расчета'!$C$9*K155)</f>
        <v>30.000000000000004</v>
      </c>
      <c r="P155" s="1138"/>
      <c r="Q155" s="117"/>
      <c r="U155" s="45"/>
      <c r="V155" s="26"/>
      <c r="W155" s="26"/>
      <c r="X155" s="26"/>
      <c r="Y155" s="26"/>
      <c r="Z155" s="46"/>
      <c r="AA155" s="46"/>
      <c r="AB155" s="454"/>
      <c r="AC155" s="47"/>
      <c r="AD155" s="26"/>
      <c r="AE155" s="26"/>
      <c r="AF155" s="26"/>
    </row>
    <row r="156" spans="1:34" ht="15.75" customHeight="1" x14ac:dyDescent="0.35">
      <c r="A156" s="1"/>
      <c r="B156" s="182">
        <f>(B133+B136+B139)-B143+H12-B10+H13</f>
        <v>1.4492753623188406E+22</v>
      </c>
      <c r="C156" s="19"/>
      <c r="D156" s="406"/>
      <c r="E156" s="211">
        <f>B156*(1/2*1.38E-23*300)</f>
        <v>30.000000000000004</v>
      </c>
      <c r="F156" s="19"/>
      <c r="G156" s="406"/>
      <c r="H156" s="209">
        <f>B156*2/(6.02*10^23)</f>
        <v>4.8148683133516307E-2</v>
      </c>
      <c r="I156" s="436"/>
      <c r="J156" s="564">
        <f>K156+'баланс тритий'!K156</f>
        <v>1</v>
      </c>
      <c r="K156" s="734">
        <f>B156/(B156+'баланс тритий'!B156)</f>
        <v>0.5</v>
      </c>
      <c r="L156" s="238"/>
      <c r="M156" s="63"/>
      <c r="N156" s="173">
        <f>E156/('параметры для расчета'!$C$9*K156)</f>
        <v>30.000000000000004</v>
      </c>
      <c r="O156" s="13" t="s">
        <v>550</v>
      </c>
      <c r="P156" s="1138"/>
      <c r="Q156" s="117"/>
      <c r="U156" s="45"/>
      <c r="V156" s="26"/>
      <c r="W156" s="26"/>
      <c r="X156" s="26"/>
      <c r="Y156" s="26"/>
      <c r="Z156" s="46"/>
      <c r="AA156" s="46"/>
      <c r="AB156" s="454"/>
      <c r="AC156" s="47"/>
      <c r="AD156" s="26"/>
      <c r="AE156" s="26"/>
      <c r="AF156" s="26"/>
    </row>
    <row r="157" spans="1:34" x14ac:dyDescent="0.35">
      <c r="A157" s="1"/>
      <c r="B157" s="1232"/>
      <c r="C157" s="26"/>
      <c r="D157" s="1016"/>
      <c r="E157" s="159"/>
      <c r="F157" s="26"/>
      <c r="G157" s="1016"/>
      <c r="H157" s="285"/>
      <c r="I157" s="136"/>
      <c r="L157" s="376"/>
      <c r="N157" s="661">
        <v>10</v>
      </c>
      <c r="O157" s="25" t="s">
        <v>383</v>
      </c>
      <c r="U157" s="45"/>
      <c r="V157" s="26"/>
      <c r="W157" s="26"/>
      <c r="X157" s="26"/>
      <c r="Y157" s="26"/>
      <c r="Z157" s="46"/>
      <c r="AA157" s="46"/>
      <c r="AB157" s="454"/>
      <c r="AC157" s="47"/>
      <c r="AD157" s="26"/>
      <c r="AE157" s="26"/>
      <c r="AF157" s="26"/>
    </row>
    <row r="158" spans="1:34" x14ac:dyDescent="0.35">
      <c r="A158" s="151"/>
      <c r="B158" s="69"/>
      <c r="C158" s="26"/>
      <c r="D158" s="1016"/>
      <c r="E158" s="159"/>
      <c r="F158" s="26"/>
      <c r="G158" s="1016"/>
      <c r="H158" s="285"/>
      <c r="I158" s="136"/>
      <c r="K158" s="74"/>
      <c r="M158" s="14"/>
      <c r="U158" s="45"/>
      <c r="V158" s="26"/>
      <c r="W158" s="26"/>
      <c r="X158" s="26"/>
      <c r="Y158" s="26"/>
      <c r="Z158" s="46"/>
      <c r="AA158" s="46"/>
      <c r="AB158" s="454"/>
      <c r="AC158" s="47"/>
      <c r="AD158" s="26"/>
      <c r="AE158" s="26"/>
      <c r="AF158" s="26"/>
    </row>
    <row r="159" spans="1:34" ht="16.5" customHeight="1" x14ac:dyDescent="0.35">
      <c r="E159" s="104"/>
      <c r="N159" s="1180">
        <f>'баланс тритий'!B9-B9</f>
        <v>0</v>
      </c>
      <c r="O159" s="1181" t="s">
        <v>752</v>
      </c>
      <c r="U159" s="45"/>
      <c r="V159" s="26"/>
      <c r="W159" s="26"/>
      <c r="X159" s="26"/>
      <c r="Y159" s="26"/>
      <c r="Z159" s="46"/>
      <c r="AA159" s="46"/>
      <c r="AB159" s="454"/>
      <c r="AC159" s="47"/>
      <c r="AD159" s="26"/>
      <c r="AE159" s="26"/>
      <c r="AF159" s="26"/>
    </row>
    <row r="160" spans="1:34" x14ac:dyDescent="0.35">
      <c r="A160" s="1071" t="s">
        <v>114</v>
      </c>
      <c r="B160" s="25"/>
      <c r="C160" s="19"/>
      <c r="D160" s="406"/>
      <c r="E160" s="381"/>
      <c r="F160" s="19"/>
      <c r="G160" s="406"/>
      <c r="H160" s="58"/>
      <c r="I160" s="22"/>
      <c r="J160" s="19"/>
      <c r="L160" s="14"/>
      <c r="M160" s="14"/>
      <c r="N160" s="1180">
        <f>'баланс тритий'!B131-B131+'баланс тритий'!B134-B134+'баланс тритий'!B137-B137</f>
        <v>0</v>
      </c>
      <c r="O160" s="1192" t="s">
        <v>743</v>
      </c>
      <c r="V160" s="435"/>
      <c r="W160" s="27"/>
      <c r="X160" s="46"/>
      <c r="Y160" s="44"/>
      <c r="Z160" s="26"/>
      <c r="AA160" s="26"/>
      <c r="AB160" s="147"/>
      <c r="AC160" s="26"/>
      <c r="AD160" s="26"/>
      <c r="AE160" s="26"/>
      <c r="AF160" s="26"/>
      <c r="AG160" s="26"/>
      <c r="AH160" s="26"/>
    </row>
    <row r="161" spans="1:34" x14ac:dyDescent="0.35">
      <c r="A161" s="48" t="s">
        <v>427</v>
      </c>
      <c r="B161" s="68">
        <f>B154-(B167+B170)-B58*B41</f>
        <v>1.1451896170511648E+22</v>
      </c>
      <c r="C161" s="13" t="s">
        <v>14</v>
      </c>
      <c r="D161" s="1070" t="s">
        <v>37</v>
      </c>
      <c r="E161" s="55">
        <f t="shared" ref="E161:E166" si="2">B161*(1/2*1.38E-23*300)</f>
        <v>23.705425072959112</v>
      </c>
      <c r="F161" s="13" t="s">
        <v>9</v>
      </c>
      <c r="G161" s="1070" t="s">
        <v>37</v>
      </c>
      <c r="H161" s="455">
        <f>B161*2/(6.02*10^23)</f>
        <v>3.8046166679440697E-2</v>
      </c>
      <c r="I161" s="436" t="s">
        <v>7</v>
      </c>
      <c r="K161" s="25" t="s">
        <v>200</v>
      </c>
      <c r="N161" s="1193"/>
      <c r="O161" s="1181">
        <f>'баланс тритий'!B161-B161</f>
        <v>1.7308420319215616E+16</v>
      </c>
      <c r="P161" s="256" t="s">
        <v>113</v>
      </c>
      <c r="R161" s="13"/>
      <c r="S161" s="13"/>
      <c r="V161" s="435"/>
      <c r="W161" s="27"/>
      <c r="X161" s="46"/>
      <c r="Y161" s="44"/>
      <c r="Z161" s="26"/>
      <c r="AA161" s="26"/>
      <c r="AB161" s="147"/>
      <c r="AC161" s="26"/>
      <c r="AD161" s="26"/>
      <c r="AE161" s="26"/>
      <c r="AF161" s="26"/>
      <c r="AG161" s="26"/>
      <c r="AH161" s="26"/>
    </row>
    <row r="162" spans="1:34" ht="15.75" customHeight="1" x14ac:dyDescent="0.35">
      <c r="A162" s="48"/>
      <c r="B162" s="606">
        <f>B155-(B168+B171)-B58*B41</f>
        <v>1.1451896170511648E+22</v>
      </c>
      <c r="D162" s="1070"/>
      <c r="E162" s="133">
        <f t="shared" si="2"/>
        <v>23.705425072959112</v>
      </c>
      <c r="G162" s="1070"/>
      <c r="H162" s="622">
        <f t="shared" ref="H162:H172" si="3">B162*2/(6.02*10^23)</f>
        <v>3.8046166679440697E-2</v>
      </c>
      <c r="I162" s="436"/>
      <c r="N162" s="1180">
        <f>'баланс тритий'!B12-B12</f>
        <v>0</v>
      </c>
      <c r="O162" s="1181" t="s">
        <v>741</v>
      </c>
      <c r="P162" s="256"/>
      <c r="R162" s="13"/>
      <c r="S162" s="13"/>
      <c r="V162" s="435"/>
      <c r="W162" s="27"/>
      <c r="X162" s="46"/>
      <c r="Y162" s="44"/>
      <c r="Z162" s="26"/>
      <c r="AA162" s="26"/>
      <c r="AB162" s="147"/>
      <c r="AC162" s="26"/>
      <c r="AD162" s="26"/>
      <c r="AE162" s="26"/>
      <c r="AF162" s="26"/>
      <c r="AG162" s="26"/>
      <c r="AH162" s="26"/>
    </row>
    <row r="163" spans="1:34" x14ac:dyDescent="0.35">
      <c r="A163" s="1"/>
      <c r="B163" s="209">
        <f>B156-(B169+B172)-B58*B41</f>
        <v>1.1451896170511648E+22</v>
      </c>
      <c r="C163" s="112"/>
      <c r="D163" s="124"/>
      <c r="E163" s="431">
        <f t="shared" si="2"/>
        <v>23.705425072959112</v>
      </c>
      <c r="F163" s="112"/>
      <c r="G163" s="124"/>
      <c r="H163" s="457">
        <f t="shared" si="3"/>
        <v>3.8046166679440697E-2</v>
      </c>
      <c r="I163" s="436"/>
      <c r="K163" s="25"/>
      <c r="N163" s="1180">
        <f>'баланс тритий'!B10-B10</f>
        <v>0</v>
      </c>
      <c r="O163" s="1181" t="s">
        <v>742</v>
      </c>
      <c r="R163" s="13"/>
      <c r="S163" s="13"/>
      <c r="V163" s="435"/>
      <c r="W163" s="27"/>
      <c r="X163" s="46"/>
      <c r="Y163" s="44"/>
      <c r="Z163" s="26"/>
      <c r="AA163" s="26"/>
      <c r="AB163" s="147"/>
      <c r="AC163" s="26"/>
      <c r="AD163" s="26"/>
      <c r="AE163" s="26"/>
      <c r="AF163" s="26"/>
      <c r="AG163" s="26"/>
      <c r="AH163" s="26"/>
    </row>
    <row r="164" spans="1:34" x14ac:dyDescent="0.35">
      <c r="A164" s="48" t="s">
        <v>432</v>
      </c>
      <c r="B164" s="109">
        <f>B61*B41</f>
        <v>2.3122294685990335E+22</v>
      </c>
      <c r="C164" s="1" t="s">
        <v>14</v>
      </c>
      <c r="D164" s="10" t="s">
        <v>37</v>
      </c>
      <c r="E164" s="114">
        <f t="shared" si="2"/>
        <v>47.863149999999997</v>
      </c>
      <c r="F164" s="1" t="s">
        <v>9</v>
      </c>
      <c r="G164" s="10" t="s">
        <v>37</v>
      </c>
      <c r="H164" s="455">
        <f t="shared" si="3"/>
        <v>7.6818254770732022E-2</v>
      </c>
      <c r="I164" s="436" t="s">
        <v>7</v>
      </c>
      <c r="K164" s="25" t="s">
        <v>203</v>
      </c>
      <c r="M164" s="1192"/>
      <c r="N164" s="1193"/>
      <c r="O164" s="1181">
        <f>'баланс тритий'!B164-B164</f>
        <v>0</v>
      </c>
      <c r="R164" s="13"/>
      <c r="S164" s="13"/>
      <c r="V164" s="435"/>
      <c r="W164" s="27"/>
      <c r="X164" s="46"/>
      <c r="Y164" s="44"/>
      <c r="Z164" s="28"/>
      <c r="AA164" s="26"/>
      <c r="AB164" s="147"/>
      <c r="AC164" s="26"/>
      <c r="AD164" s="26"/>
      <c r="AE164" s="26"/>
      <c r="AF164" s="26"/>
      <c r="AG164" s="26"/>
      <c r="AH164" s="26"/>
    </row>
    <row r="165" spans="1:34" x14ac:dyDescent="0.35">
      <c r="A165" s="48"/>
      <c r="B165" s="606">
        <f>B62*B41</f>
        <v>2.3122294685990335E+22</v>
      </c>
      <c r="C165" s="1"/>
      <c r="D165" s="10"/>
      <c r="E165" s="580">
        <f t="shared" si="2"/>
        <v>47.863149999999997</v>
      </c>
      <c r="F165" s="1"/>
      <c r="G165" s="10"/>
      <c r="H165" s="622">
        <f t="shared" si="3"/>
        <v>7.6818254770732022E-2</v>
      </c>
      <c r="I165" s="436"/>
      <c r="K165" s="25"/>
      <c r="M165" s="1182" t="s">
        <v>15</v>
      </c>
      <c r="N165" s="1180">
        <f>'баланс тритий'!B131-B131</f>
        <v>0</v>
      </c>
      <c r="O165" s="1181"/>
      <c r="R165" s="13"/>
      <c r="S165" s="13"/>
      <c r="V165" s="435"/>
      <c r="W165" s="27"/>
      <c r="X165" s="46"/>
      <c r="Y165" s="44"/>
      <c r="Z165" s="28"/>
      <c r="AA165" s="26"/>
      <c r="AB165" s="147"/>
      <c r="AC165" s="26"/>
      <c r="AD165" s="26"/>
      <c r="AE165" s="26"/>
      <c r="AF165" s="26"/>
      <c r="AG165" s="26"/>
      <c r="AH165" s="26"/>
    </row>
    <row r="166" spans="1:34" x14ac:dyDescent="0.35">
      <c r="A166" s="1"/>
      <c r="B166" s="209">
        <f>B63*B41</f>
        <v>4.6102367149758444E+22</v>
      </c>
      <c r="C166" s="112"/>
      <c r="D166" s="124"/>
      <c r="E166" s="431">
        <f t="shared" si="2"/>
        <v>95.431899999999985</v>
      </c>
      <c r="F166" s="112"/>
      <c r="G166" s="124"/>
      <c r="H166" s="457">
        <f t="shared" si="3"/>
        <v>0.15316401046431377</v>
      </c>
      <c r="I166" s="436"/>
      <c r="K166" s="25" t="s">
        <v>212</v>
      </c>
      <c r="L166" s="90"/>
      <c r="M166" s="1194" t="s">
        <v>745</v>
      </c>
      <c r="N166" s="1180">
        <f>'баланс тритий'!B134-B134</f>
        <v>0</v>
      </c>
      <c r="O166" s="1181"/>
      <c r="R166" s="13"/>
      <c r="S166" s="13"/>
      <c r="V166" s="435"/>
      <c r="W166" s="27"/>
      <c r="X166" s="46"/>
      <c r="Y166" s="44"/>
      <c r="Z166" s="28"/>
      <c r="AA166" s="26"/>
      <c r="AB166" s="147"/>
      <c r="AC166" s="26"/>
      <c r="AD166" s="26"/>
      <c r="AE166" s="26"/>
      <c r="AF166" s="26"/>
      <c r="AG166" s="323"/>
      <c r="AH166" s="189"/>
    </row>
    <row r="167" spans="1:34" x14ac:dyDescent="0.35">
      <c r="A167" s="169" t="s">
        <v>433</v>
      </c>
      <c r="B167" s="671">
        <f t="shared" ref="B167:B172" si="4">E167/(1/2*1.38E-23*600)</f>
        <v>2.8985507246376815E+21</v>
      </c>
      <c r="C167" s="645" t="s">
        <v>14</v>
      </c>
      <c r="D167" s="646" t="s">
        <v>37</v>
      </c>
      <c r="E167" s="688">
        <f>'[4]поэлементый расчет систем'!M204</f>
        <v>12.000000000000002</v>
      </c>
      <c r="F167" s="645" t="s">
        <v>9</v>
      </c>
      <c r="G167" s="646" t="s">
        <v>37</v>
      </c>
      <c r="H167" s="458">
        <f t="shared" si="3"/>
        <v>9.6297366267032621E-3</v>
      </c>
      <c r="I167" s="436" t="s">
        <v>7</v>
      </c>
      <c r="K167" s="14" t="s">
        <v>328</v>
      </c>
      <c r="M167" s="1179"/>
      <c r="O167" s="1177">
        <f>'баланс тритий'!B167-B167</f>
        <v>0</v>
      </c>
      <c r="R167" s="13"/>
      <c r="S167" s="13"/>
      <c r="V167" s="435"/>
      <c r="W167" s="27"/>
      <c r="X167" s="46"/>
      <c r="Y167" s="44"/>
      <c r="Z167" s="28"/>
      <c r="AA167" s="26"/>
      <c r="AB167" s="147"/>
      <c r="AC167" s="26"/>
      <c r="AD167" s="26"/>
      <c r="AE167" s="26"/>
      <c r="AF167" s="26"/>
      <c r="AG167" s="323"/>
      <c r="AH167" s="189"/>
    </row>
    <row r="168" spans="1:34" x14ac:dyDescent="0.35">
      <c r="A168" s="169"/>
      <c r="B168" s="606">
        <f t="shared" si="4"/>
        <v>2.8985507246376815E+21</v>
      </c>
      <c r="C168" s="645"/>
      <c r="D168" s="646"/>
      <c r="E168" s="580">
        <f>'[4]поэлементый расчет систем'!O204</f>
        <v>12.000000000000002</v>
      </c>
      <c r="F168" s="645"/>
      <c r="G168" s="646"/>
      <c r="H168" s="616">
        <f t="shared" si="3"/>
        <v>9.6297366267032621E-3</v>
      </c>
      <c r="I168" s="436"/>
      <c r="K168" s="91"/>
      <c r="M168" s="1182" t="s">
        <v>744</v>
      </c>
      <c r="N168" s="1180">
        <f>'баланс тритий'!B137-B137</f>
        <v>0</v>
      </c>
      <c r="O168" s="1178"/>
      <c r="R168" s="13"/>
      <c r="S168" s="13"/>
      <c r="V168" s="435"/>
      <c r="W168" s="27"/>
      <c r="X168" s="46"/>
      <c r="Y168" s="44"/>
      <c r="Z168" s="26"/>
      <c r="AA168" s="26"/>
      <c r="AB168" s="147"/>
      <c r="AC168" s="26"/>
      <c r="AD168" s="26"/>
      <c r="AE168" s="26"/>
      <c r="AF168" s="26"/>
      <c r="AG168" s="26"/>
      <c r="AH168" s="26"/>
    </row>
    <row r="169" spans="1:34" x14ac:dyDescent="0.35">
      <c r="A169" s="1"/>
      <c r="B169" s="209">
        <f t="shared" si="4"/>
        <v>2.8985507246376815E+21</v>
      </c>
      <c r="C169" s="643"/>
      <c r="D169" s="644"/>
      <c r="E169" s="431">
        <f>'[4]поэлементый расчет систем'!Q204</f>
        <v>12.000000000000002</v>
      </c>
      <c r="F169" s="643"/>
      <c r="G169" s="644"/>
      <c r="H169" s="307">
        <f t="shared" si="3"/>
        <v>9.6297366267032621E-3</v>
      </c>
      <c r="I169" s="436"/>
      <c r="N169" s="316">
        <f>B87*B90*B93</f>
        <v>0</v>
      </c>
      <c r="O169" s="74" t="s">
        <v>729</v>
      </c>
      <c r="R169" s="13"/>
      <c r="S169" s="13"/>
      <c r="V169" s="435"/>
      <c r="W169" s="27"/>
      <c r="X169" s="46"/>
      <c r="Y169" s="44"/>
      <c r="Z169" s="26"/>
      <c r="AA169" s="26"/>
      <c r="AB169" s="147"/>
      <c r="AC169" s="26"/>
      <c r="AD169" s="26"/>
      <c r="AE169" s="26"/>
      <c r="AF169" s="26"/>
      <c r="AG169" s="26"/>
      <c r="AH169" s="26"/>
    </row>
    <row r="170" spans="1:34" x14ac:dyDescent="0.35">
      <c r="A170" s="169" t="s">
        <v>430</v>
      </c>
      <c r="B170" s="671">
        <f t="shared" si="4"/>
        <v>8.4505816853461344E+16</v>
      </c>
      <c r="C170" s="645" t="s">
        <v>14</v>
      </c>
      <c r="D170" s="646" t="s">
        <v>37</v>
      </c>
      <c r="E170" s="692">
        <f>'[4]поэлементый расчет систем'!M233</f>
        <v>3.4985408177333E-4</v>
      </c>
      <c r="F170" s="645" t="s">
        <v>9</v>
      </c>
      <c r="G170" s="646" t="s">
        <v>37</v>
      </c>
      <c r="H170" s="510">
        <f t="shared" si="3"/>
        <v>2.8075022210452279E-7</v>
      </c>
      <c r="I170" s="436" t="s">
        <v>7</v>
      </c>
      <c r="K170" s="14" t="s">
        <v>328</v>
      </c>
      <c r="L170" s="19"/>
      <c r="M170" s="19"/>
      <c r="O170" s="1177">
        <f>'баланс тритий'!B170-B170</f>
        <v>-1.7308420319383656E+16</v>
      </c>
      <c r="R170" s="13"/>
      <c r="S170" s="13"/>
      <c r="V170" s="435"/>
      <c r="W170" s="27"/>
      <c r="X170" s="46"/>
      <c r="Y170" s="44"/>
      <c r="Z170" s="308"/>
      <c r="AA170" s="26"/>
      <c r="AB170" s="147"/>
      <c r="AC170" s="26"/>
      <c r="AD170" s="26"/>
      <c r="AE170" s="26"/>
      <c r="AF170" s="26"/>
      <c r="AG170" s="26"/>
      <c r="AH170" s="26"/>
    </row>
    <row r="171" spans="1:34" x14ac:dyDescent="0.35">
      <c r="A171" s="208"/>
      <c r="B171" s="606">
        <f t="shared" si="4"/>
        <v>8.4505816853461344E+16</v>
      </c>
      <c r="C171" s="645"/>
      <c r="D171" s="646"/>
      <c r="E171" s="693">
        <f>'[4]поэлементый расчет систем'!M233</f>
        <v>3.4985408177333E-4</v>
      </c>
      <c r="F171" s="645"/>
      <c r="G171" s="646"/>
      <c r="H171" s="606">
        <f t="shared" si="3"/>
        <v>2.8075022210452279E-7</v>
      </c>
      <c r="I171" s="436"/>
      <c r="K171" s="19"/>
      <c r="L171" s="19"/>
      <c r="M171" s="19"/>
      <c r="O171" s="1178"/>
      <c r="R171" s="13"/>
      <c r="S171" s="13"/>
      <c r="V171" s="435"/>
      <c r="W171" s="27"/>
      <c r="X171" s="46"/>
      <c r="Y171" s="44"/>
      <c r="Z171" s="26"/>
      <c r="AA171" s="26"/>
      <c r="AB171" s="147"/>
      <c r="AC171" s="26"/>
      <c r="AD171" s="26"/>
      <c r="AE171" s="26"/>
      <c r="AF171" s="26"/>
      <c r="AG171" s="26"/>
      <c r="AH171" s="26"/>
    </row>
    <row r="172" spans="1:34" x14ac:dyDescent="0.35">
      <c r="B172" s="856">
        <f t="shared" si="4"/>
        <v>8.4505816853461344E+16</v>
      </c>
      <c r="C172" s="643"/>
      <c r="D172" s="644"/>
      <c r="E172" s="857">
        <f>'[4]поэлементый расчет систем'!M233</f>
        <v>3.4985408177333E-4</v>
      </c>
      <c r="F172" s="643"/>
      <c r="G172" s="644"/>
      <c r="H172" s="856">
        <f t="shared" si="3"/>
        <v>2.8075022210452279E-7</v>
      </c>
      <c r="I172" s="436"/>
      <c r="L172" s="19"/>
      <c r="M172" s="19"/>
      <c r="O172" s="1178"/>
      <c r="R172" s="13"/>
      <c r="S172" s="13"/>
      <c r="V172" s="435"/>
      <c r="W172" s="27"/>
      <c r="X172" s="46"/>
      <c r="Y172" s="44"/>
      <c r="Z172" s="26"/>
      <c r="AA172" s="26"/>
      <c r="AB172" s="147"/>
      <c r="AC172" s="26"/>
      <c r="AD172" s="26"/>
      <c r="AE172" s="26"/>
      <c r="AF172" s="26"/>
      <c r="AG172" s="26"/>
      <c r="AH172" s="26"/>
    </row>
    <row r="173" spans="1:34" x14ac:dyDescent="0.35">
      <c r="B173" s="10"/>
      <c r="C173" s="1"/>
      <c r="D173" s="1"/>
      <c r="E173" s="401"/>
      <c r="F173" s="1"/>
      <c r="G173" s="1"/>
      <c r="H173" s="537"/>
      <c r="K173" s="10" t="s">
        <v>370</v>
      </c>
      <c r="O173" s="1178"/>
      <c r="S173" s="13"/>
      <c r="U173" s="13"/>
      <c r="V173" s="435"/>
      <c r="W173" s="27"/>
      <c r="X173" s="46"/>
      <c r="Y173" s="44"/>
      <c r="Z173" s="26"/>
      <c r="AA173" s="26"/>
      <c r="AB173" s="147"/>
      <c r="AC173" s="26"/>
      <c r="AD173" s="26"/>
      <c r="AE173" s="26"/>
      <c r="AF173" s="26"/>
      <c r="AG173" s="26"/>
      <c r="AH173" s="26"/>
    </row>
    <row r="174" spans="1:34" x14ac:dyDescent="0.35">
      <c r="A174" s="120" t="s">
        <v>116</v>
      </c>
      <c r="B174" s="109">
        <f>B170+B167+B161+B164</f>
        <v>3.7472826086956521E+22</v>
      </c>
      <c r="C174" s="1" t="s">
        <v>14</v>
      </c>
      <c r="D174" s="10" t="s">
        <v>37</v>
      </c>
      <c r="E174" s="486">
        <f>B174*(1/2*1.38E-23*300)</f>
        <v>77.568750000000009</v>
      </c>
      <c r="F174" s="1" t="s">
        <v>9</v>
      </c>
      <c r="G174" s="10" t="s">
        <v>37</v>
      </c>
      <c r="H174" s="455">
        <f>B174*2/(6.02*10^23)</f>
        <v>0.12449443882709808</v>
      </c>
      <c r="I174" s="436" t="s">
        <v>7</v>
      </c>
      <c r="J174" s="90"/>
      <c r="K174" s="734">
        <f>B174/(B174+'баланс тритий'!B174)</f>
        <v>0.5</v>
      </c>
      <c r="M174" s="42"/>
      <c r="N174" s="1181">
        <f>'баланс тритий'!B174-B174</f>
        <v>0</v>
      </c>
      <c r="R174" s="180"/>
      <c r="S174" s="13"/>
      <c r="U174" s="13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x14ac:dyDescent="0.35">
      <c r="A175" s="120"/>
      <c r="B175" s="606">
        <f>B171+B168+B162</f>
        <v>1.4350531400966183E+22</v>
      </c>
      <c r="C175" s="1"/>
      <c r="D175" s="10"/>
      <c r="E175" s="626">
        <f>B175*(1/2*1.38E-23*300)</f>
        <v>29.7056</v>
      </c>
      <c r="F175" s="1"/>
      <c r="G175" s="10"/>
      <c r="H175" s="622">
        <f>B175*2/(6.02*10^23)</f>
        <v>4.7676184056366061E-2</v>
      </c>
      <c r="I175" s="436"/>
      <c r="J175" s="90"/>
      <c r="K175" s="734">
        <f>B175/(B175+'баланс тритий'!B175)</f>
        <v>0.5</v>
      </c>
      <c r="M175" s="42"/>
      <c r="N175" s="110"/>
      <c r="O175" s="1177"/>
      <c r="R175" s="180"/>
      <c r="S175" s="13"/>
      <c r="U175" s="13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x14ac:dyDescent="0.35">
      <c r="A176" s="230" t="s">
        <v>165</v>
      </c>
      <c r="B176" s="209">
        <f>B172+B169+B163</f>
        <v>1.4350531400966183E+22</v>
      </c>
      <c r="C176" s="1"/>
      <c r="D176" s="10"/>
      <c r="E176" s="487">
        <f>B176*(1/2*1.38E-23*300)</f>
        <v>29.7056</v>
      </c>
      <c r="F176" s="1"/>
      <c r="G176" s="10"/>
      <c r="H176" s="457">
        <f>B176*2/(6.02*10^23)</f>
        <v>4.7676184056366061E-2</v>
      </c>
      <c r="I176" s="436"/>
      <c r="J176" s="90"/>
      <c r="K176" s="734">
        <f>B176/(B176+'баланс тритий'!B176)</f>
        <v>0.5</v>
      </c>
      <c r="M176" s="42"/>
      <c r="N176" s="110"/>
      <c r="O176" s="1177"/>
      <c r="R176" s="104"/>
      <c r="S176" s="13"/>
      <c r="U176" s="13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64" x14ac:dyDescent="0.35">
      <c r="E177" s="104"/>
      <c r="J177" s="90"/>
      <c r="N177" s="130"/>
      <c r="R177" s="1070"/>
      <c r="S177" s="13"/>
      <c r="U177" s="13"/>
      <c r="V177" s="26"/>
      <c r="W177" s="1016"/>
      <c r="X177" s="26"/>
      <c r="Y177" s="26"/>
      <c r="Z177" s="44"/>
      <c r="AA177" s="26"/>
      <c r="AB177" s="26"/>
      <c r="AC177" s="147"/>
      <c r="AD177" s="26"/>
      <c r="AE177" s="26"/>
      <c r="AF177" s="26"/>
      <c r="AG177" s="26"/>
      <c r="AH177" s="26"/>
    </row>
    <row r="178" spans="1:64" x14ac:dyDescent="0.35">
      <c r="E178" s="104"/>
      <c r="J178" s="129"/>
      <c r="R178" s="1070"/>
      <c r="S178" s="13"/>
      <c r="U178" s="13"/>
      <c r="V178" s="26"/>
      <c r="W178" s="435"/>
      <c r="X178" s="27"/>
      <c r="Y178" s="46"/>
      <c r="Z178" s="44"/>
      <c r="AA178" s="26"/>
      <c r="AB178" s="26"/>
      <c r="AC178" s="147"/>
      <c r="AD178" s="26"/>
      <c r="AE178" s="26"/>
      <c r="AF178" s="26"/>
      <c r="AG178" s="26"/>
      <c r="AH178" s="26"/>
    </row>
    <row r="179" spans="1:64" x14ac:dyDescent="0.35">
      <c r="E179" s="104"/>
      <c r="J179" s="129"/>
      <c r="R179" s="1070"/>
      <c r="S179" s="13"/>
      <c r="U179" s="13"/>
      <c r="V179" s="26"/>
      <c r="W179" s="435"/>
      <c r="X179" s="27"/>
      <c r="Y179" s="46"/>
      <c r="Z179" s="44"/>
      <c r="AA179" s="26"/>
      <c r="AB179" s="26"/>
      <c r="AC179" s="147"/>
      <c r="AD179" s="26"/>
      <c r="AE179" s="26"/>
      <c r="AF179" s="26"/>
      <c r="AG179" s="26"/>
      <c r="AH179" s="26"/>
    </row>
    <row r="180" spans="1:64" x14ac:dyDescent="0.35">
      <c r="B180" s="120" t="s">
        <v>164</v>
      </c>
      <c r="C180" s="81">
        <f>'параметры для расчета'!C71</f>
        <v>2</v>
      </c>
      <c r="D180" s="13" t="s">
        <v>86</v>
      </c>
      <c r="E180" s="426" t="s">
        <v>87</v>
      </c>
      <c r="P180" s="257" t="s">
        <v>117</v>
      </c>
      <c r="R180" s="1070"/>
      <c r="V180" s="26"/>
      <c r="W180" s="435"/>
      <c r="X180" s="27"/>
      <c r="Y180" s="46"/>
      <c r="Z180" s="44"/>
      <c r="AA180" s="46"/>
      <c r="AB180" s="26"/>
      <c r="AC180" s="147"/>
      <c r="AD180" s="26"/>
      <c r="AE180" s="26"/>
      <c r="AF180" s="26"/>
      <c r="AG180" s="26"/>
      <c r="AH180" s="26"/>
    </row>
    <row r="181" spans="1:64" x14ac:dyDescent="0.35">
      <c r="A181" s="120" t="s">
        <v>90</v>
      </c>
      <c r="B181" s="68">
        <f>B174*('параметры для расчета'!C71)%</f>
        <v>7.4945652173913037E+20</v>
      </c>
      <c r="C181" s="13" t="s">
        <v>14</v>
      </c>
      <c r="D181" s="1070" t="s">
        <v>37</v>
      </c>
      <c r="E181" s="55">
        <f>B181*(1/2*1.38E-23*300)</f>
        <v>1.5513749999999999</v>
      </c>
      <c r="F181" s="13" t="s">
        <v>9</v>
      </c>
      <c r="G181" s="1070" t="s">
        <v>37</v>
      </c>
      <c r="H181" s="109">
        <f>B181*2/(6.02*10^23)</f>
        <v>2.4898887765419618E-3</v>
      </c>
      <c r="I181" s="436" t="s">
        <v>7</v>
      </c>
      <c r="J181" s="94" t="s">
        <v>132</v>
      </c>
      <c r="K181" s="25" t="s">
        <v>20</v>
      </c>
      <c r="R181" s="105"/>
      <c r="V181" s="26"/>
      <c r="W181" s="435"/>
      <c r="X181" s="27"/>
      <c r="Y181" s="46"/>
      <c r="Z181" s="44"/>
      <c r="AA181" s="324"/>
      <c r="AB181" s="26"/>
      <c r="AC181" s="147"/>
      <c r="AD181" s="26"/>
      <c r="AE181" s="26"/>
      <c r="AF181" s="26"/>
      <c r="AG181" s="26"/>
      <c r="AH181" s="26"/>
    </row>
    <row r="182" spans="1:64" x14ac:dyDescent="0.35">
      <c r="A182" s="120"/>
      <c r="B182" s="606">
        <f>B175*('параметры для расчета'!C71)%</f>
        <v>2.8701062801932367E+20</v>
      </c>
      <c r="C182" s="1"/>
      <c r="D182" s="10"/>
      <c r="E182" s="580">
        <f>B182*(1/2*1.38E-23*300)</f>
        <v>0.59411199999999997</v>
      </c>
      <c r="F182" s="1"/>
      <c r="G182" s="10"/>
      <c r="H182" s="606">
        <f>B182*2/(6.02*10^23)</f>
        <v>9.5352368112732128E-4</v>
      </c>
      <c r="I182" s="436"/>
      <c r="J182" s="94"/>
      <c r="K182" s="25"/>
      <c r="P182" s="257"/>
      <c r="R182" s="105"/>
      <c r="V182" s="26"/>
      <c r="W182" s="435"/>
      <c r="X182" s="27"/>
      <c r="Y182" s="46"/>
      <c r="Z182" s="44"/>
      <c r="AA182" s="324"/>
      <c r="AB182" s="26"/>
      <c r="AC182" s="147"/>
      <c r="AD182" s="26"/>
      <c r="AE182" s="26"/>
      <c r="AF182" s="26"/>
      <c r="AG182" s="26"/>
      <c r="AH182" s="26"/>
    </row>
    <row r="183" spans="1:64" x14ac:dyDescent="0.35">
      <c r="B183" s="209">
        <f>B176*('параметры для расчета'!C71)%</f>
        <v>2.8701062801932367E+20</v>
      </c>
      <c r="C183" s="1"/>
      <c r="D183" s="10"/>
      <c r="E183" s="431">
        <f>B183*(1/2*1.38E-23*300)</f>
        <v>0.59411199999999997</v>
      </c>
      <c r="F183" s="1"/>
      <c r="G183" s="10"/>
      <c r="H183" s="209">
        <f>B183*2/(6.02*10^23)</f>
        <v>9.5352368112732128E-4</v>
      </c>
      <c r="I183" s="436"/>
      <c r="J183" s="168" t="s">
        <v>132</v>
      </c>
      <c r="K183" s="37" t="s">
        <v>214</v>
      </c>
      <c r="R183" s="105"/>
      <c r="V183" s="26"/>
      <c r="W183" s="435"/>
      <c r="X183" s="27"/>
      <c r="Y183" s="46"/>
      <c r="Z183" s="44"/>
      <c r="AA183" s="26"/>
      <c r="AB183" s="26"/>
      <c r="AC183" s="147"/>
      <c r="AD183" s="26"/>
      <c r="AE183" s="26"/>
      <c r="AF183" s="26"/>
      <c r="AG183" s="26"/>
      <c r="AH183" s="26"/>
    </row>
    <row r="184" spans="1:64" x14ac:dyDescent="0.35">
      <c r="A184" s="834" t="s">
        <v>698</v>
      </c>
      <c r="B184" s="285"/>
      <c r="C184" s="112"/>
      <c r="D184" s="124"/>
      <c r="E184" s="339"/>
      <c r="F184" s="112"/>
      <c r="G184" s="124"/>
      <c r="H184" s="285"/>
      <c r="I184" s="436"/>
      <c r="J184" s="90"/>
      <c r="K184" s="91"/>
      <c r="R184" s="105"/>
      <c r="V184" s="26"/>
      <c r="W184" s="435"/>
      <c r="X184" s="27"/>
      <c r="Y184" s="46"/>
      <c r="Z184" s="44"/>
      <c r="AA184" s="26"/>
      <c r="AB184" s="26"/>
      <c r="AC184" s="147"/>
      <c r="AD184" s="26"/>
      <c r="AE184" s="26"/>
      <c r="AF184" s="26"/>
      <c r="AG184" s="26"/>
      <c r="AH184" s="26"/>
    </row>
    <row r="185" spans="1:64" x14ac:dyDescent="0.35">
      <c r="B185" s="13"/>
      <c r="E185" s="13"/>
      <c r="H185" s="13"/>
      <c r="R185" s="1070"/>
      <c r="V185" s="26"/>
      <c r="W185" s="1016"/>
      <c r="X185" s="26"/>
      <c r="Y185" s="26"/>
      <c r="Z185" s="44"/>
      <c r="AA185" s="26"/>
      <c r="AB185" s="26"/>
      <c r="AC185" s="147"/>
      <c r="AD185" s="26"/>
      <c r="AE185" s="26"/>
      <c r="AF185" s="26"/>
      <c r="AG185" s="26"/>
      <c r="AH185" s="26"/>
    </row>
    <row r="186" spans="1:64" x14ac:dyDescent="0.35">
      <c r="A186" s="358" t="s">
        <v>88</v>
      </c>
      <c r="B186" s="10"/>
      <c r="C186" s="1"/>
      <c r="D186" s="1"/>
      <c r="E186" s="401"/>
      <c r="F186" s="1"/>
      <c r="G186" s="1"/>
      <c r="H186" s="537"/>
      <c r="R186" s="105"/>
      <c r="V186" s="26"/>
      <c r="W186" s="1016"/>
      <c r="X186" s="1016"/>
      <c r="Y186" s="46"/>
      <c r="Z186" s="44"/>
      <c r="AA186" s="26"/>
      <c r="AB186" s="26"/>
      <c r="AC186" s="147"/>
      <c r="AD186" s="26"/>
      <c r="AE186" s="26"/>
      <c r="AF186" s="26"/>
      <c r="AG186" s="26"/>
      <c r="AH186" s="26"/>
    </row>
    <row r="187" spans="1:64" x14ac:dyDescent="0.35">
      <c r="A187" s="120" t="s">
        <v>658</v>
      </c>
      <c r="B187" s="109">
        <f>B202</f>
        <v>7.7444023696546962E+21</v>
      </c>
      <c r="C187" s="1" t="s">
        <v>14</v>
      </c>
      <c r="D187" s="10" t="s">
        <v>37</v>
      </c>
      <c r="E187" s="114">
        <f t="shared" ref="E187:E192" si="5">B187*(1/2*1.38E-23*300)</f>
        <v>16.030912905185222</v>
      </c>
      <c r="F187" s="1" t="s">
        <v>9</v>
      </c>
      <c r="G187" s="10" t="s">
        <v>37</v>
      </c>
      <c r="H187" s="109">
        <f t="shared" ref="H187:H192" si="6">B187*2/(6.02*10^23)</f>
        <v>2.5728911527092016E-2</v>
      </c>
      <c r="I187" s="436" t="s">
        <v>7</v>
      </c>
      <c r="J187" s="94"/>
      <c r="K187" s="975">
        <f>B187/B174</f>
        <v>0.20666715533233707</v>
      </c>
      <c r="R187" s="105"/>
      <c r="V187" s="26"/>
      <c r="W187" s="1016"/>
      <c r="X187" s="1016"/>
      <c r="Y187" s="46"/>
      <c r="Z187" s="44"/>
      <c r="AA187" s="26"/>
      <c r="AB187" s="26"/>
      <c r="AC187" s="147"/>
      <c r="AD187" s="26"/>
      <c r="AE187" s="26"/>
      <c r="AF187" s="26"/>
      <c r="AG187" s="26"/>
      <c r="AH187" s="26"/>
    </row>
    <row r="188" spans="1:64" x14ac:dyDescent="0.35">
      <c r="A188" s="120"/>
      <c r="B188" s="606">
        <f>B203</f>
        <v>7.9527357029880294E+21</v>
      </c>
      <c r="C188" s="1"/>
      <c r="D188" s="10"/>
      <c r="E188" s="580">
        <f t="shared" si="5"/>
        <v>16.46216290518522</v>
      </c>
      <c r="F188" s="1"/>
      <c r="G188" s="10"/>
      <c r="H188" s="606">
        <f t="shared" si="6"/>
        <v>2.6421048847136315E-2</v>
      </c>
      <c r="I188" s="436"/>
      <c r="J188" s="94"/>
      <c r="K188" s="564">
        <f>B188/B175</f>
        <v>0.55417708799637855</v>
      </c>
      <c r="R188" s="105"/>
      <c r="V188" s="26"/>
      <c r="W188" s="1016"/>
      <c r="X188" s="26"/>
      <c r="Y188" s="1016"/>
      <c r="Z188" s="44"/>
      <c r="AA188" s="26"/>
      <c r="AB188" s="1016"/>
      <c r="AC188" s="147"/>
      <c r="AD188" s="136"/>
      <c r="AE188" s="26"/>
      <c r="AF188" s="308"/>
      <c r="AG188" s="26"/>
      <c r="AH188" s="26"/>
    </row>
    <row r="189" spans="1:64" x14ac:dyDescent="0.35">
      <c r="B189" s="209">
        <f>B204</f>
        <v>8.1095179371166428E+21</v>
      </c>
      <c r="C189" s="1"/>
      <c r="D189" s="10"/>
      <c r="E189" s="431">
        <f t="shared" si="5"/>
        <v>16.78670212983145</v>
      </c>
      <c r="F189" s="1"/>
      <c r="G189" s="10"/>
      <c r="H189" s="209">
        <f t="shared" si="6"/>
        <v>2.6941920056865926E-2</v>
      </c>
      <c r="I189" s="436"/>
      <c r="K189" s="564">
        <f>B189/B176</f>
        <v>0.56510227464960983</v>
      </c>
      <c r="N189" s="312"/>
      <c r="R189" s="284"/>
      <c r="V189" s="26"/>
      <c r="W189" s="1016"/>
      <c r="X189" s="26"/>
      <c r="Y189" s="26"/>
      <c r="Z189" s="44"/>
      <c r="AA189" s="26"/>
      <c r="AB189" s="26"/>
      <c r="AC189" s="147"/>
      <c r="AD189" s="26"/>
      <c r="AE189" s="26"/>
      <c r="AF189" s="26"/>
      <c r="AG189" s="26"/>
      <c r="AH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</row>
    <row r="190" spans="1:64" x14ac:dyDescent="0.35">
      <c r="A190" s="835" t="s">
        <v>657</v>
      </c>
      <c r="B190" s="417">
        <f>B174-B187</f>
        <v>2.9728423717301826E+22</v>
      </c>
      <c r="C190" s="1" t="s">
        <v>14</v>
      </c>
      <c r="D190" s="10" t="s">
        <v>37</v>
      </c>
      <c r="E190" s="114">
        <f t="shared" si="5"/>
        <v>61.537837094814783</v>
      </c>
      <c r="F190" s="1" t="s">
        <v>9</v>
      </c>
      <c r="G190" s="10" t="s">
        <v>37</v>
      </c>
      <c r="H190" s="109">
        <f t="shared" si="6"/>
        <v>9.8765527300006081E-2</v>
      </c>
      <c r="I190" s="436" t="s">
        <v>7</v>
      </c>
      <c r="J190" s="129"/>
      <c r="K190" s="975">
        <f>B190/B174</f>
        <v>0.79333284466766296</v>
      </c>
      <c r="N190" s="312"/>
      <c r="R190" s="284"/>
      <c r="V190" s="26"/>
      <c r="W190" s="1016"/>
      <c r="X190" s="26"/>
      <c r="Y190" s="26"/>
      <c r="Z190" s="44"/>
      <c r="AA190" s="26"/>
      <c r="AB190" s="26"/>
      <c r="AC190" s="147"/>
      <c r="AD190" s="26"/>
      <c r="AE190" s="26"/>
      <c r="AF190" s="26"/>
      <c r="AG190" s="26"/>
      <c r="AH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 spans="1:64" x14ac:dyDescent="0.35">
      <c r="A191" s="226"/>
      <c r="B191" s="587">
        <f>B175-B188</f>
        <v>6.3977956979781539E+21</v>
      </c>
      <c r="C191" s="1"/>
      <c r="D191" s="10"/>
      <c r="E191" s="580">
        <f t="shared" si="5"/>
        <v>13.243437094814778</v>
      </c>
      <c r="F191" s="1"/>
      <c r="G191" s="10"/>
      <c r="H191" s="606">
        <f t="shared" si="6"/>
        <v>2.1255135209229749E-2</v>
      </c>
      <c r="I191" s="436"/>
      <c r="J191" s="129"/>
      <c r="K191" s="564">
        <f>B191/B175</f>
        <v>0.44582291200362151</v>
      </c>
      <c r="R191" s="284"/>
      <c r="V191" s="26"/>
      <c r="W191" s="1016"/>
      <c r="X191" s="26"/>
      <c r="Y191" s="1016"/>
      <c r="Z191" s="44"/>
      <c r="AA191" s="26"/>
      <c r="AB191" s="1016"/>
      <c r="AC191" s="285"/>
      <c r="AD191" s="136"/>
      <c r="AE191" s="308"/>
      <c r="AF191" s="26"/>
      <c r="AG191" s="26"/>
      <c r="AH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</row>
    <row r="192" spans="1:64" x14ac:dyDescent="0.35">
      <c r="B192" s="382">
        <f>B176-B189</f>
        <v>6.2410134638495405E+21</v>
      </c>
      <c r="C192" s="1"/>
      <c r="D192" s="10"/>
      <c r="E192" s="431">
        <f t="shared" si="5"/>
        <v>12.91889787016855</v>
      </c>
      <c r="F192" s="1"/>
      <c r="G192" s="10"/>
      <c r="H192" s="209">
        <f t="shared" si="6"/>
        <v>2.0734263999500138E-2</v>
      </c>
      <c r="I192" s="436"/>
      <c r="J192" s="310"/>
      <c r="K192" s="564">
        <f>B192/B176</f>
        <v>0.43489772535039012</v>
      </c>
      <c r="R192" s="10"/>
      <c r="V192" s="26"/>
      <c r="W192" s="1016"/>
      <c r="X192" s="26"/>
      <c r="Y192" s="26"/>
      <c r="Z192" s="44"/>
      <c r="AA192" s="26"/>
      <c r="AB192" s="26"/>
      <c r="AC192" s="147"/>
      <c r="AD192" s="26"/>
      <c r="AE192" s="26"/>
      <c r="AF192" s="26"/>
      <c r="AG192" s="26"/>
      <c r="AH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 spans="1:64" x14ac:dyDescent="0.35">
      <c r="B193" s="10"/>
      <c r="C193" s="1"/>
      <c r="D193" s="1"/>
      <c r="E193" s="401"/>
      <c r="F193" s="1"/>
      <c r="G193" s="1"/>
      <c r="H193" s="537"/>
      <c r="R193" s="10"/>
      <c r="V193" s="26"/>
      <c r="W193" s="1016"/>
      <c r="X193" s="26"/>
      <c r="Y193" s="1016"/>
      <c r="Z193" s="44"/>
      <c r="AA193" s="26"/>
      <c r="AB193" s="1016"/>
      <c r="AC193" s="285"/>
      <c r="AD193" s="136"/>
      <c r="AE193" s="26"/>
      <c r="AF193" s="26"/>
      <c r="AG193" s="26"/>
      <c r="AH193" s="26"/>
      <c r="AP193" s="26"/>
      <c r="AQ193" s="9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 spans="1:64" x14ac:dyDescent="0.35">
      <c r="A194" s="1071"/>
      <c r="B194" s="10"/>
      <c r="C194" s="10"/>
      <c r="D194" s="1"/>
      <c r="E194" s="401"/>
      <c r="F194" s="1"/>
      <c r="G194" s="1"/>
      <c r="H194" s="537"/>
      <c r="R194" s="10"/>
      <c r="V194" s="26"/>
      <c r="W194" s="435"/>
      <c r="X194" s="1016"/>
      <c r="Y194" s="46"/>
      <c r="Z194" s="44"/>
      <c r="AA194" s="324"/>
      <c r="AB194" s="26"/>
      <c r="AC194" s="147"/>
      <c r="AD194" s="26"/>
      <c r="AE194" s="26"/>
      <c r="AF194" s="26"/>
      <c r="AG194" s="26"/>
      <c r="AH194" s="26"/>
      <c r="AP194" s="97"/>
      <c r="AQ194" s="26"/>
      <c r="AR194" s="1016"/>
      <c r="AS194" s="1016"/>
      <c r="AT194" s="1016"/>
      <c r="AU194" s="1016"/>
      <c r="AV194" s="1016"/>
      <c r="AW194" s="1016"/>
      <c r="AX194" s="1016"/>
      <c r="AY194" s="1016"/>
      <c r="AZ194" s="1016"/>
      <c r="BA194" s="1016"/>
      <c r="BB194" s="1016"/>
      <c r="BC194" s="1016"/>
      <c r="BD194" s="1016"/>
      <c r="BE194" s="1016"/>
      <c r="BF194" s="1016"/>
      <c r="BG194" s="1016"/>
      <c r="BH194" s="1016"/>
      <c r="BI194" s="1016"/>
      <c r="BJ194" s="1016"/>
      <c r="BK194" s="1016"/>
      <c r="BL194" s="26"/>
    </row>
    <row r="195" spans="1:64" x14ac:dyDescent="0.35">
      <c r="N195" s="264"/>
      <c r="O195" s="110"/>
      <c r="R195" s="284"/>
      <c r="V195" s="26"/>
      <c r="W195" s="1016"/>
      <c r="X195" s="26"/>
      <c r="Y195" s="1016"/>
      <c r="Z195" s="44"/>
      <c r="AA195" s="26"/>
      <c r="AB195" s="1016"/>
      <c r="AC195" s="285"/>
      <c r="AD195" s="136"/>
      <c r="AE195" s="26"/>
      <c r="AF195" s="308"/>
      <c r="AG195" s="26"/>
      <c r="AH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 spans="1:64" x14ac:dyDescent="0.35">
      <c r="A196" s="11" t="s">
        <v>359</v>
      </c>
      <c r="B196" s="10"/>
      <c r="C196" s="1"/>
      <c r="D196" s="1"/>
      <c r="E196" s="401"/>
      <c r="F196" s="1"/>
      <c r="G196" s="1"/>
      <c r="H196" s="537"/>
      <c r="J196" s="32"/>
      <c r="P196" s="258" t="s">
        <v>376</v>
      </c>
      <c r="R196" s="10"/>
      <c r="S196" s="136"/>
      <c r="T196" s="26"/>
      <c r="U196" s="45"/>
      <c r="V196" s="27"/>
      <c r="W196" s="27"/>
      <c r="X196" s="28"/>
      <c r="Y196" s="239"/>
      <c r="Z196" s="324"/>
      <c r="AA196" s="26"/>
      <c r="AB196" s="147"/>
      <c r="AC196" s="26"/>
      <c r="AD196" s="26"/>
      <c r="AE196" s="26"/>
      <c r="AF196" s="26"/>
      <c r="AG196" s="26"/>
      <c r="AH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 spans="1:64" x14ac:dyDescent="0.35">
      <c r="A197" s="11" t="s">
        <v>659</v>
      </c>
      <c r="B197" s="854">
        <f>'параметры для расчета'!C61</f>
        <v>100</v>
      </c>
      <c r="C197" s="25" t="s">
        <v>420</v>
      </c>
      <c r="D197" s="1"/>
      <c r="E197" s="401"/>
      <c r="F197" s="11"/>
      <c r="G197" s="1"/>
      <c r="H197" s="537"/>
      <c r="J197" s="32"/>
      <c r="R197" s="10"/>
      <c r="S197" s="136"/>
      <c r="T197" s="26"/>
      <c r="U197" s="45"/>
      <c r="V197" s="27"/>
      <c r="W197" s="27"/>
      <c r="X197" s="28"/>
      <c r="Y197" s="239"/>
      <c r="Z197" s="324"/>
      <c r="AA197" s="26"/>
      <c r="AB197" s="147"/>
      <c r="AC197" s="26"/>
      <c r="AD197" s="26"/>
      <c r="AE197" s="26"/>
      <c r="AF197" s="26"/>
      <c r="AG197" s="26"/>
      <c r="AH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 spans="1:64" x14ac:dyDescent="0.35">
      <c r="A198" s="12" t="s">
        <v>421</v>
      </c>
      <c r="B198" s="699">
        <f>100-'параметры для расчета'!C61</f>
        <v>0</v>
      </c>
      <c r="C198" s="14" t="s">
        <v>422</v>
      </c>
      <c r="D198" s="1"/>
      <c r="E198" s="401"/>
      <c r="F198" s="1"/>
      <c r="G198" s="1"/>
      <c r="H198" s="537"/>
      <c r="J198" s="32"/>
      <c r="R198" s="10"/>
      <c r="S198" s="136"/>
      <c r="T198" s="26"/>
      <c r="U198" s="45"/>
      <c r="V198" s="27"/>
      <c r="W198" s="27"/>
      <c r="X198" s="28"/>
      <c r="Y198" s="239"/>
      <c r="Z198" s="324"/>
      <c r="AA198" s="26"/>
      <c r="AB198" s="147"/>
      <c r="AC198" s="26"/>
      <c r="AD198" s="26"/>
      <c r="AE198" s="26"/>
      <c r="AF198" s="26"/>
      <c r="AG198" s="26"/>
      <c r="AH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 spans="1:64" x14ac:dyDescent="0.35">
      <c r="A199" s="295"/>
      <c r="B199" s="332"/>
      <c r="C199" s="308"/>
      <c r="D199" s="28"/>
      <c r="E199" s="477"/>
      <c r="F199" s="837"/>
      <c r="G199" s="477"/>
      <c r="H199" s="477"/>
      <c r="I199" s="136"/>
      <c r="J199" s="355"/>
      <c r="K199" s="63"/>
      <c r="L199" s="63"/>
      <c r="R199" s="10"/>
      <c r="S199" s="136"/>
      <c r="T199" s="26"/>
      <c r="U199" s="45"/>
      <c r="V199" s="27"/>
      <c r="W199" s="27"/>
      <c r="X199" s="28"/>
      <c r="Y199" s="239"/>
      <c r="Z199" s="324"/>
      <c r="AA199" s="26"/>
      <c r="AB199" s="147"/>
      <c r="AC199" s="26"/>
      <c r="AD199" s="26"/>
      <c r="AE199" s="26"/>
      <c r="AF199" s="26"/>
      <c r="AG199" s="26"/>
      <c r="AH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 spans="1:64" x14ac:dyDescent="0.35">
      <c r="A200" s="51" t="s">
        <v>423</v>
      </c>
      <c r="B200" s="477"/>
      <c r="C200" s="28"/>
      <c r="D200" s="27"/>
      <c r="E200" s="477"/>
      <c r="F200" s="28"/>
      <c r="G200" s="27"/>
      <c r="H200" s="477"/>
      <c r="I200" s="136"/>
      <c r="J200" s="355"/>
      <c r="K200" s="63"/>
      <c r="L200" s="63"/>
      <c r="R200" s="10"/>
      <c r="S200" s="136"/>
      <c r="T200" s="26"/>
      <c r="U200" s="45"/>
      <c r="V200" s="27"/>
      <c r="W200" s="27"/>
      <c r="X200" s="28"/>
      <c r="Y200" s="239"/>
      <c r="Z200" s="324"/>
      <c r="AA200" s="26"/>
      <c r="AB200" s="147"/>
      <c r="AC200" s="26"/>
      <c r="AD200" s="26"/>
      <c r="AE200" s="26"/>
      <c r="AF200" s="26"/>
      <c r="AG200" s="26"/>
      <c r="AH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 spans="1:64" x14ac:dyDescent="0.35">
      <c r="A201" s="63"/>
      <c r="B201" s="284"/>
      <c r="C201" s="28"/>
      <c r="D201" s="27"/>
      <c r="E201" s="477"/>
      <c r="F201" s="28"/>
      <c r="G201" s="27"/>
      <c r="H201" s="477"/>
      <c r="I201" s="136"/>
      <c r="J201" s="355"/>
      <c r="K201" s="63"/>
      <c r="L201" s="63"/>
      <c r="R201" s="10"/>
      <c r="S201" s="136"/>
      <c r="T201" s="26"/>
      <c r="U201" s="45"/>
      <c r="V201" s="27"/>
      <c r="W201" s="27"/>
      <c r="X201" s="28"/>
      <c r="Y201" s="239"/>
      <c r="Z201" s="324"/>
      <c r="AA201" s="26"/>
      <c r="AB201" s="147"/>
      <c r="AC201" s="26"/>
      <c r="AD201" s="26"/>
      <c r="AE201" s="26"/>
      <c r="AF201" s="26"/>
      <c r="AG201" s="26"/>
      <c r="AH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 spans="1:64" x14ac:dyDescent="0.35">
      <c r="A202" s="90" t="s">
        <v>425</v>
      </c>
      <c r="B202" s="109">
        <f>'баланс тритий'!B202*(1/'параметры для расчета'!C21%-1)</f>
        <v>7.7444023696546962E+21</v>
      </c>
      <c r="C202" s="1" t="s">
        <v>14</v>
      </c>
      <c r="D202" s="10" t="s">
        <v>37</v>
      </c>
      <c r="E202" s="114">
        <f>B202*(1/2*1.38E-23*300)</f>
        <v>16.030912905185222</v>
      </c>
      <c r="F202" s="1" t="s">
        <v>9</v>
      </c>
      <c r="G202" s="10" t="s">
        <v>37</v>
      </c>
      <c r="H202" s="77">
        <f>B202*2/(6.02*10^23)</f>
        <v>2.5728911527092016E-2</v>
      </c>
      <c r="I202" s="436" t="s">
        <v>7</v>
      </c>
      <c r="J202" s="363" t="s">
        <v>728</v>
      </c>
      <c r="R202" s="10"/>
      <c r="S202" s="136"/>
      <c r="T202" s="26"/>
      <c r="U202" s="45"/>
      <c r="V202" s="27"/>
      <c r="W202" s="27"/>
      <c r="X202" s="28"/>
      <c r="Y202" s="239"/>
      <c r="Z202" s="324"/>
      <c r="AA202" s="26"/>
      <c r="AB202" s="147"/>
      <c r="AC202" s="26"/>
      <c r="AD202" s="26"/>
      <c r="AE202" s="26"/>
      <c r="AF202" s="26"/>
      <c r="AG202" s="26"/>
      <c r="AH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 spans="1:64" x14ac:dyDescent="0.35">
      <c r="A203" s="90"/>
      <c r="B203" s="609">
        <f>'баланс тритий'!B203*(1/'параметры для расчета'!C21%-1)</f>
        <v>7.9527357029880294E+21</v>
      </c>
      <c r="C203" s="1"/>
      <c r="D203" s="10"/>
      <c r="E203" s="580">
        <f>B203*(1/2*1.38E-23*300)</f>
        <v>16.46216290518522</v>
      </c>
      <c r="F203" s="1"/>
      <c r="G203" s="10"/>
      <c r="H203" s="606">
        <f>B203*2/(6.02*10^23)</f>
        <v>2.6421048847136315E-2</v>
      </c>
      <c r="I203" s="436"/>
      <c r="J203" s="853"/>
      <c r="L203" s="63"/>
      <c r="R203" s="10"/>
      <c r="S203" s="136"/>
      <c r="T203" s="26"/>
      <c r="U203" s="45"/>
      <c r="V203" s="27"/>
      <c r="W203" s="27"/>
      <c r="X203" s="28"/>
      <c r="Y203" s="239"/>
      <c r="Z203" s="324"/>
      <c r="AA203" s="26"/>
      <c r="AB203" s="147"/>
      <c r="AC203" s="26"/>
      <c r="AD203" s="26"/>
      <c r="AE203" s="26"/>
      <c r="AF203" s="26"/>
      <c r="AG203" s="26"/>
      <c r="AH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 spans="1:64" x14ac:dyDescent="0.35">
      <c r="A204" s="168" t="s">
        <v>803</v>
      </c>
      <c r="B204" s="209">
        <f>'баланс тритий'!B204*(1/'параметры для расчета'!C21%-1)</f>
        <v>8.1095179371166428E+21</v>
      </c>
      <c r="C204" s="1"/>
      <c r="D204" s="10"/>
      <c r="E204" s="431">
        <f>B204*(1/2*1.38E-23*300)</f>
        <v>16.78670212983145</v>
      </c>
      <c r="F204" s="1"/>
      <c r="G204" s="10"/>
      <c r="H204" s="209">
        <f>B204*2/(6.02*10^23)</f>
        <v>2.6941920056865926E-2</v>
      </c>
      <c r="I204" s="436"/>
      <c r="J204" s="363"/>
      <c r="L204" s="63"/>
      <c r="R204" s="10"/>
      <c r="S204" s="136"/>
      <c r="T204" s="26"/>
      <c r="U204" s="45"/>
      <c r="V204" s="27"/>
      <c r="W204" s="27"/>
      <c r="X204" s="28"/>
      <c r="Y204" s="239"/>
      <c r="Z204" s="324"/>
      <c r="AA204" s="26"/>
      <c r="AB204" s="147"/>
      <c r="AC204" s="26"/>
      <c r="AD204" s="26"/>
      <c r="AE204" s="26"/>
      <c r="AF204" s="26"/>
      <c r="AG204" s="26"/>
      <c r="AH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 spans="1:64" x14ac:dyDescent="0.35">
      <c r="A205" s="52"/>
      <c r="K205" s="1126"/>
      <c r="L205" s="66"/>
      <c r="M205" s="19"/>
      <c r="N205" s="130"/>
      <c r="R205" s="10"/>
      <c r="S205" s="136"/>
      <c r="T205" s="26"/>
      <c r="U205" s="45"/>
      <c r="V205" s="27"/>
      <c r="W205" s="27"/>
      <c r="X205" s="28"/>
      <c r="Y205" s="239"/>
      <c r="Z205" s="324"/>
      <c r="AA205" s="26"/>
      <c r="AB205" s="147"/>
      <c r="AC205" s="26"/>
      <c r="AD205" s="26"/>
      <c r="AE205" s="26"/>
      <c r="AF205" s="26"/>
      <c r="AG205" s="26"/>
      <c r="AH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</row>
    <row r="206" spans="1:64" x14ac:dyDescent="0.35">
      <c r="A206" s="372"/>
      <c r="B206" s="81"/>
      <c r="C206" s="59"/>
      <c r="D206" s="59"/>
      <c r="E206" s="1195"/>
      <c r="F206" s="59"/>
      <c r="G206" s="59"/>
      <c r="H206" s="1196"/>
      <c r="I206" s="59"/>
      <c r="J206" s="59"/>
      <c r="K206" s="19"/>
      <c r="L206" s="19"/>
      <c r="M206" s="19"/>
      <c r="N206" s="130"/>
      <c r="R206" s="10"/>
      <c r="S206" s="136"/>
      <c r="T206" s="26"/>
      <c r="U206" s="45"/>
      <c r="V206" s="27"/>
      <c r="W206" s="27"/>
      <c r="X206" s="28"/>
      <c r="Y206" s="239"/>
      <c r="Z206" s="324"/>
      <c r="AA206" s="26"/>
      <c r="AB206" s="147"/>
      <c r="AC206" s="26"/>
      <c r="AD206" s="26"/>
      <c r="AE206" s="26"/>
      <c r="AF206" s="26"/>
      <c r="AG206" s="26"/>
      <c r="AH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 spans="1:64" x14ac:dyDescent="0.35">
      <c r="A207" s="79"/>
      <c r="B207" s="239"/>
      <c r="C207" s="241"/>
      <c r="D207" s="282"/>
      <c r="E207" s="334"/>
      <c r="F207" s="241"/>
      <c r="G207" s="282"/>
      <c r="H207" s="763"/>
      <c r="I207" s="566"/>
      <c r="J207" s="1197"/>
      <c r="K207" s="110"/>
      <c r="L207" s="19"/>
      <c r="M207" s="1131"/>
      <c r="N207" s="434"/>
      <c r="R207" s="10"/>
      <c r="S207" s="136"/>
      <c r="T207" s="26"/>
      <c r="U207" s="45"/>
      <c r="V207" s="27"/>
      <c r="W207" s="27"/>
      <c r="X207" s="28"/>
      <c r="Y207" s="239"/>
      <c r="Z207" s="324"/>
      <c r="AA207" s="26"/>
      <c r="AB207" s="147"/>
      <c r="AC207" s="26"/>
      <c r="AD207" s="26"/>
      <c r="AE207" s="26"/>
      <c r="AF207" s="26"/>
      <c r="AG207" s="26"/>
      <c r="AH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 spans="1:64" x14ac:dyDescent="0.35">
      <c r="A208" s="79"/>
      <c r="B208" s="239"/>
      <c r="C208" s="46"/>
      <c r="D208" s="435"/>
      <c r="E208" s="334"/>
      <c r="F208" s="46"/>
      <c r="G208" s="435"/>
      <c r="H208" s="763"/>
      <c r="I208" s="47"/>
      <c r="J208" s="44"/>
      <c r="K208" s="110"/>
      <c r="L208" s="19"/>
      <c r="M208" s="1132"/>
      <c r="N208" s="434"/>
      <c r="R208" s="10"/>
      <c r="S208" s="136"/>
      <c r="T208" s="26"/>
      <c r="U208" s="45"/>
      <c r="V208" s="27"/>
      <c r="W208" s="27"/>
      <c r="X208" s="28"/>
      <c r="Y208" s="239"/>
      <c r="Z208" s="324"/>
      <c r="AA208" s="26"/>
      <c r="AB208" s="147"/>
      <c r="AC208" s="26"/>
      <c r="AD208" s="26"/>
      <c r="AE208" s="26"/>
      <c r="AF208" s="26"/>
      <c r="AG208" s="26"/>
      <c r="AH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 spans="1:64" x14ac:dyDescent="0.35">
      <c r="A209" s="872"/>
      <c r="B209" s="239"/>
      <c r="C209" s="46"/>
      <c r="D209" s="435"/>
      <c r="E209" s="334"/>
      <c r="F209" s="46"/>
      <c r="G209" s="435"/>
      <c r="H209" s="763"/>
      <c r="I209" s="47"/>
      <c r="J209" s="44"/>
      <c r="K209" s="110"/>
      <c r="L209" s="19"/>
      <c r="M209" s="1132"/>
      <c r="N209" s="434"/>
      <c r="R209" s="10"/>
      <c r="S209" s="136"/>
      <c r="T209" s="26"/>
      <c r="U209" s="45"/>
      <c r="V209" s="27"/>
      <c r="W209" s="27"/>
      <c r="X209" s="28"/>
      <c r="Y209" s="239"/>
      <c r="Z209" s="324"/>
      <c r="AA209" s="26"/>
      <c r="AB209" s="147"/>
      <c r="AC209" s="26"/>
      <c r="AD209" s="26"/>
      <c r="AE209" s="26"/>
      <c r="AF209" s="26"/>
      <c r="AG209" s="26"/>
      <c r="AH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 spans="1:64" x14ac:dyDescent="0.35">
      <c r="A210" s="884"/>
      <c r="B210" s="110"/>
      <c r="C210" s="19"/>
      <c r="D210" s="19"/>
      <c r="E210" s="66"/>
      <c r="F210" s="19"/>
      <c r="G210" s="19"/>
      <c r="H210" s="58"/>
      <c r="I210" s="19"/>
      <c r="J210" s="19"/>
      <c r="K210" s="763"/>
      <c r="L210" s="376"/>
      <c r="M210" s="19"/>
      <c r="N210" s="434"/>
      <c r="R210" s="10"/>
      <c r="S210" s="136"/>
      <c r="T210" s="26"/>
      <c r="U210" s="45"/>
      <c r="V210" s="27"/>
      <c r="W210" s="27"/>
      <c r="X210" s="28"/>
      <c r="Y210" s="239"/>
      <c r="Z210" s="324"/>
      <c r="AA210" s="26"/>
      <c r="AB210" s="147"/>
      <c r="AC210" s="26"/>
      <c r="AD210" s="26"/>
      <c r="AE210" s="26"/>
      <c r="AF210" s="26"/>
      <c r="AG210" s="26"/>
      <c r="AH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 spans="1:64" x14ac:dyDescent="0.35">
      <c r="A211" s="169" t="s">
        <v>807</v>
      </c>
      <c r="B211" s="109">
        <f>B98</f>
        <v>7.7444023696546962E+21</v>
      </c>
      <c r="C211" s="1" t="s">
        <v>14</v>
      </c>
      <c r="D211" s="10" t="s">
        <v>37</v>
      </c>
      <c r="E211" s="617">
        <f>B211*(1/2*1.38E-23*300)</f>
        <v>16.030912905185222</v>
      </c>
      <c r="F211" s="1" t="s">
        <v>9</v>
      </c>
      <c r="G211" s="10" t="s">
        <v>37</v>
      </c>
      <c r="H211" s="188">
        <f>B211*2/(6.02*10^23)</f>
        <v>2.5728911527092016E-2</v>
      </c>
      <c r="I211" s="36" t="s">
        <v>7</v>
      </c>
      <c r="K211" s="763"/>
      <c r="L211" s="376"/>
      <c r="M211" s="121"/>
      <c r="N211" s="434"/>
      <c r="R211" s="10"/>
      <c r="S211" s="136"/>
      <c r="T211" s="26"/>
      <c r="U211" s="45"/>
      <c r="V211" s="27"/>
      <c r="W211" s="27"/>
      <c r="X211" s="28"/>
      <c r="Y211" s="239"/>
      <c r="Z211" s="324"/>
      <c r="AA211" s="26"/>
      <c r="AB211" s="147"/>
      <c r="AC211" s="26"/>
      <c r="AD211" s="26"/>
      <c r="AE211" s="26"/>
      <c r="AF211" s="26"/>
      <c r="AG211" s="26"/>
      <c r="AH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 spans="1:64" x14ac:dyDescent="0.35">
      <c r="A212" s="230" t="s">
        <v>701</v>
      </c>
      <c r="B212" s="609">
        <f>B99</f>
        <v>7.7444023696546962E+21</v>
      </c>
      <c r="C212" s="1"/>
      <c r="D212" s="10"/>
      <c r="E212" s="580">
        <f>B212*(1/2*1.38E-23*300)</f>
        <v>16.030912905185222</v>
      </c>
      <c r="F212" s="1"/>
      <c r="G212" s="10"/>
      <c r="H212" s="606">
        <f>B212*2/(6.02*10^23)</f>
        <v>2.5728911527092016E-2</v>
      </c>
      <c r="I212" s="36"/>
      <c r="J212" s="48"/>
      <c r="K212" s="1127"/>
      <c r="L212" s="376"/>
      <c r="M212" s="121"/>
      <c r="N212" s="434"/>
      <c r="R212" s="10"/>
      <c r="S212" s="136"/>
      <c r="T212" s="26"/>
      <c r="U212" s="45"/>
      <c r="V212" s="27"/>
      <c r="W212" s="27"/>
      <c r="X212" s="28"/>
      <c r="Y212" s="239"/>
      <c r="Z212" s="324"/>
      <c r="AA212" s="26"/>
      <c r="AB212" s="147"/>
      <c r="AC212" s="26"/>
      <c r="AD212" s="26"/>
      <c r="AE212" s="26"/>
      <c r="AF212" s="26"/>
      <c r="AG212" s="26"/>
      <c r="AH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 spans="1:64" x14ac:dyDescent="0.35">
      <c r="A213" s="230" t="s">
        <v>702</v>
      </c>
      <c r="B213" s="209">
        <f>B100</f>
        <v>7.3792868021927485E+21</v>
      </c>
      <c r="C213" s="1"/>
      <c r="D213" s="10"/>
      <c r="E213" s="431">
        <f>B213*(1/2*1.38E-23*300)</f>
        <v>15.275123680538989</v>
      </c>
      <c r="F213" s="1"/>
      <c r="G213" s="10"/>
      <c r="H213" s="209">
        <f>B213*2/(6.02*10^23)</f>
        <v>2.4515902997318106E-2</v>
      </c>
      <c r="I213" s="36"/>
      <c r="J213" s="199"/>
      <c r="K213" s="763"/>
      <c r="L213" s="376"/>
      <c r="M213" s="121"/>
      <c r="N213" s="130"/>
      <c r="R213" s="10"/>
      <c r="S213" s="136"/>
      <c r="T213" s="26"/>
      <c r="U213" s="45"/>
      <c r="V213" s="27"/>
      <c r="W213" s="27"/>
      <c r="X213" s="28"/>
      <c r="Y213" s="239"/>
      <c r="Z213" s="324"/>
      <c r="AA213" s="26"/>
      <c r="AB213" s="147"/>
      <c r="AC213" s="26"/>
      <c r="AD213" s="26"/>
      <c r="AE213" s="26"/>
      <c r="AF213" s="26"/>
      <c r="AG213" s="26"/>
      <c r="AH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 spans="1:64" x14ac:dyDescent="0.35">
      <c r="A214" s="230"/>
      <c r="B214" s="498"/>
      <c r="E214" s="13"/>
      <c r="H214" s="13"/>
      <c r="J214" s="199"/>
      <c r="K214" s="763"/>
      <c r="L214" s="376"/>
      <c r="M214" s="121"/>
      <c r="N214" s="130"/>
      <c r="R214" s="10"/>
      <c r="S214" s="136"/>
      <c r="T214" s="26"/>
      <c r="U214" s="45"/>
      <c r="V214" s="27"/>
      <c r="W214" s="27"/>
      <c r="X214" s="28"/>
      <c r="Y214" s="239"/>
      <c r="Z214" s="324"/>
      <c r="AA214" s="26"/>
      <c r="AB214" s="147"/>
      <c r="AC214" s="26"/>
      <c r="AD214" s="26"/>
      <c r="AE214" s="26"/>
      <c r="AF214" s="26"/>
      <c r="AG214" s="26"/>
      <c r="AH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 spans="1:64" x14ac:dyDescent="0.35">
      <c r="A215" s="246" t="s">
        <v>761</v>
      </c>
      <c r="B215" s="109"/>
      <c r="C215" s="1" t="s">
        <v>14</v>
      </c>
      <c r="D215" s="10" t="s">
        <v>37</v>
      </c>
      <c r="E215" s="617">
        <f>B215*(1/2*1.38E-23*300)</f>
        <v>0</v>
      </c>
      <c r="F215" s="1" t="s">
        <v>9</v>
      </c>
      <c r="G215" s="10" t="s">
        <v>37</v>
      </c>
      <c r="H215" s="188">
        <f>B215*3/(6.02*10^23)</f>
        <v>0</v>
      </c>
      <c r="I215" s="116" t="s">
        <v>7</v>
      </c>
      <c r="J215" s="199"/>
      <c r="K215" s="763"/>
      <c r="L215" s="376"/>
      <c r="M215" s="121"/>
      <c r="N215" s="130"/>
      <c r="R215" s="10"/>
      <c r="S215" s="136"/>
      <c r="T215" s="26"/>
      <c r="U215" s="45"/>
      <c r="V215" s="27"/>
      <c r="W215" s="27"/>
      <c r="X215" s="28"/>
      <c r="Y215" s="239"/>
      <c r="Z215" s="324"/>
      <c r="AA215" s="26"/>
      <c r="AB215" s="147"/>
      <c r="AC215" s="26"/>
      <c r="AD215" s="26"/>
      <c r="AE215" s="26"/>
      <c r="AF215" s="26"/>
      <c r="AG215" s="26"/>
      <c r="AH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</row>
    <row r="216" spans="1:64" x14ac:dyDescent="0.35">
      <c r="A216" s="246" t="s">
        <v>762</v>
      </c>
      <c r="B216" s="606"/>
      <c r="C216" s="1"/>
      <c r="D216" s="10"/>
      <c r="E216" s="580">
        <f>B216*(1/2*1.38E-23*300)</f>
        <v>0</v>
      </c>
      <c r="F216" s="1"/>
      <c r="G216" s="10"/>
      <c r="H216" s="582">
        <f>B216*3/(6.02*10^23)</f>
        <v>0</v>
      </c>
      <c r="I216" s="47"/>
      <c r="J216" s="199"/>
      <c r="K216" s="763"/>
      <c r="L216" s="376"/>
      <c r="M216" s="121"/>
      <c r="N216" s="130"/>
      <c r="R216" s="10"/>
      <c r="S216" s="136"/>
      <c r="T216" s="26"/>
      <c r="U216" s="45"/>
      <c r="V216" s="27"/>
      <c r="W216" s="27"/>
      <c r="X216" s="28"/>
      <c r="Y216" s="239"/>
      <c r="Z216" s="324"/>
      <c r="AA216" s="26"/>
      <c r="AB216" s="147"/>
      <c r="AC216" s="26"/>
      <c r="AD216" s="26"/>
      <c r="AE216" s="26"/>
      <c r="AF216" s="26"/>
      <c r="AG216" s="26"/>
      <c r="AH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</row>
    <row r="217" spans="1:64" x14ac:dyDescent="0.35">
      <c r="A217" s="246" t="s">
        <v>763</v>
      </c>
      <c r="B217" s="209"/>
      <c r="C217" s="1"/>
      <c r="D217" s="10"/>
      <c r="E217" s="431">
        <f>B217*(1/2*1.38E-23*300)</f>
        <v>0</v>
      </c>
      <c r="F217" s="1"/>
      <c r="G217" s="10"/>
      <c r="H217" s="184">
        <f>B217*3/(6.02*10^23)</f>
        <v>0</v>
      </c>
      <c r="I217" s="47"/>
      <c r="J217" s="199"/>
      <c r="K217" s="763"/>
      <c r="L217" s="376"/>
      <c r="M217" s="121"/>
      <c r="N217" s="130"/>
      <c r="R217" s="10"/>
      <c r="S217" s="136"/>
      <c r="T217" s="26"/>
      <c r="U217" s="45"/>
      <c r="V217" s="27"/>
      <c r="W217" s="27"/>
      <c r="X217" s="28"/>
      <c r="Y217" s="239"/>
      <c r="Z217" s="324"/>
      <c r="AA217" s="26"/>
      <c r="AB217" s="147"/>
      <c r="AC217" s="26"/>
      <c r="AD217" s="26"/>
      <c r="AE217" s="26"/>
      <c r="AF217" s="26"/>
      <c r="AG217" s="26"/>
      <c r="AH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</row>
    <row r="218" spans="1:64" x14ac:dyDescent="0.35">
      <c r="B218" s="285"/>
      <c r="C218" s="112"/>
      <c r="D218" s="124"/>
      <c r="E218" s="339"/>
      <c r="F218" s="112"/>
      <c r="G218" s="124"/>
      <c r="H218" s="285"/>
      <c r="I218" s="22"/>
      <c r="J218" s="406"/>
      <c r="K218" s="763"/>
      <c r="L218" s="376"/>
      <c r="M218" s="19"/>
      <c r="N218" s="130"/>
      <c r="R218" s="10"/>
      <c r="S218" s="136"/>
      <c r="T218" s="26"/>
      <c r="U218" s="45"/>
      <c r="V218" s="27"/>
      <c r="W218" s="27"/>
      <c r="X218" s="28"/>
      <c r="Y218" s="239"/>
      <c r="Z218" s="324"/>
      <c r="AA218" s="26"/>
      <c r="AB218" s="147"/>
      <c r="AC218" s="26"/>
      <c r="AD218" s="26"/>
      <c r="AE218" s="26"/>
      <c r="AF218" s="26"/>
      <c r="AG218" s="26"/>
      <c r="AH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</row>
    <row r="219" spans="1:64" x14ac:dyDescent="0.35">
      <c r="A219" s="169" t="s">
        <v>834</v>
      </c>
      <c r="B219" s="109">
        <f>IF(B202-B211&gt;0, (B202-B211), 0)</f>
        <v>0</v>
      </c>
      <c r="C219" s="1" t="s">
        <v>14</v>
      </c>
      <c r="D219" s="10" t="s">
        <v>37</v>
      </c>
      <c r="E219" s="617">
        <f>B219*(1/2*1.38E-23*300)</f>
        <v>0</v>
      </c>
      <c r="F219" s="1" t="s">
        <v>9</v>
      </c>
      <c r="G219" s="10" t="s">
        <v>37</v>
      </c>
      <c r="H219" s="188">
        <f>B219*2/(6.02*10^23)</f>
        <v>0</v>
      </c>
      <c r="I219" s="116" t="s">
        <v>7</v>
      </c>
      <c r="J219" s="1201">
        <f>B32</f>
        <v>1.875E+20</v>
      </c>
      <c r="K219" s="1236" t="s">
        <v>772</v>
      </c>
      <c r="L219" s="1201">
        <f>B36</f>
        <v>2.0833333333333334E+20</v>
      </c>
      <c r="M219" s="1237" t="s">
        <v>773</v>
      </c>
      <c r="N219" s="1201">
        <f>L219-B219</f>
        <v>2.0833333333333334E+20</v>
      </c>
      <c r="O219" s="1218" t="s">
        <v>777</v>
      </c>
      <c r="P219" s="1238" t="s">
        <v>775</v>
      </c>
      <c r="R219" s="10"/>
      <c r="S219" s="136"/>
      <c r="T219" s="26"/>
      <c r="U219" s="45"/>
      <c r="V219" s="27"/>
      <c r="W219" s="27"/>
      <c r="X219" s="28"/>
      <c r="Y219" s="239"/>
      <c r="Z219" s="324"/>
      <c r="AA219" s="26"/>
      <c r="AB219" s="147"/>
      <c r="AC219" s="26"/>
      <c r="AD219" s="26"/>
      <c r="AE219" s="26"/>
      <c r="AF219" s="26"/>
      <c r="AG219" s="26"/>
      <c r="AH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</row>
    <row r="220" spans="1:64" x14ac:dyDescent="0.35">
      <c r="A220" s="1217" t="s">
        <v>769</v>
      </c>
      <c r="B220" s="569">
        <f>(B203-B212)</f>
        <v>2.0833333333333325E+20</v>
      </c>
      <c r="C220" s="1"/>
      <c r="D220" s="10"/>
      <c r="E220" s="580">
        <f>B220*(1/2*1.38E-23*300)</f>
        <v>0.43124999999999986</v>
      </c>
      <c r="F220" s="1"/>
      <c r="G220" s="10"/>
      <c r="H220" s="582">
        <f>B220*2/(6.02*10^23)</f>
        <v>6.9213732004429662E-4</v>
      </c>
      <c r="I220" s="47"/>
      <c r="J220" s="1201">
        <f>B33</f>
        <v>1.875E+20</v>
      </c>
      <c r="K220" s="1236"/>
      <c r="L220" s="1201">
        <f>B37</f>
        <v>2.0833333333333334E+20</v>
      </c>
      <c r="M220" s="1239" t="s">
        <v>776</v>
      </c>
      <c r="N220" s="1201">
        <f>L220-B220</f>
        <v>0</v>
      </c>
      <c r="O220" s="1218"/>
      <c r="P220" s="1240">
        <f>B267</f>
        <v>2.0833333333333334E+20</v>
      </c>
      <c r="R220" s="10"/>
      <c r="S220" s="136"/>
      <c r="T220" s="26"/>
      <c r="U220" s="45"/>
      <c r="V220" s="27"/>
      <c r="W220" s="27"/>
      <c r="X220" s="28"/>
      <c r="Y220" s="239"/>
      <c r="Z220" s="324"/>
      <c r="AA220" s="26"/>
      <c r="AB220" s="147"/>
      <c r="AC220" s="26"/>
      <c r="AD220" s="26"/>
      <c r="AE220" s="26"/>
      <c r="AF220" s="26"/>
      <c r="AG220" s="26"/>
      <c r="AH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</row>
    <row r="221" spans="1:64" x14ac:dyDescent="0.35">
      <c r="A221" s="230" t="s">
        <v>774</v>
      </c>
      <c r="B221" s="569">
        <f>(B204-B213)</f>
        <v>7.3023113492389429E+20</v>
      </c>
      <c r="C221" s="1"/>
      <c r="D221" s="10"/>
      <c r="E221" s="431">
        <f>B221*(1/2*1.38E-23*300)</f>
        <v>1.5115784492924613</v>
      </c>
      <c r="F221" s="1"/>
      <c r="G221" s="10"/>
      <c r="H221" s="184">
        <f>B221*2/(6.02*10^23)</f>
        <v>2.4260170595478219E-3</v>
      </c>
      <c r="I221" s="47"/>
      <c r="J221" s="1201">
        <f>B34</f>
        <v>3.75E+20</v>
      </c>
      <c r="K221" s="1236"/>
      <c r="L221" s="1201">
        <f>B38</f>
        <v>4.1666666666666669E+20</v>
      </c>
      <c r="M221" s="1239" t="s">
        <v>778</v>
      </c>
      <c r="N221" s="1201">
        <f>L221-B221</f>
        <v>-3.135644682572276E+20</v>
      </c>
      <c r="O221" s="1218"/>
      <c r="P221" s="1240">
        <f>B270</f>
        <v>2.7444444444444446E+20</v>
      </c>
      <c r="R221" s="10"/>
      <c r="S221" s="136"/>
      <c r="T221" s="26"/>
      <c r="U221" s="45"/>
      <c r="V221" s="27"/>
      <c r="W221" s="27"/>
      <c r="X221" s="28"/>
      <c r="Y221" s="239"/>
      <c r="Z221" s="324"/>
      <c r="AA221" s="26"/>
      <c r="AB221" s="147"/>
      <c r="AC221" s="26"/>
      <c r="AD221" s="26"/>
      <c r="AE221" s="26"/>
      <c r="AF221" s="26"/>
      <c r="AG221" s="26"/>
      <c r="AH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</row>
    <row r="222" spans="1:64" x14ac:dyDescent="0.35">
      <c r="A222" s="1125"/>
      <c r="B222" s="1226"/>
      <c r="C222" s="112"/>
      <c r="D222" s="124"/>
      <c r="E222" s="339"/>
      <c r="F222" s="112"/>
      <c r="G222" s="124"/>
      <c r="H222" s="285"/>
      <c r="I222" s="436"/>
      <c r="J222" s="199"/>
      <c r="K222" s="52"/>
      <c r="N222" s="199"/>
      <c r="R222" s="10"/>
      <c r="S222" s="136"/>
      <c r="T222" s="26"/>
      <c r="U222" s="45"/>
      <c r="V222" s="27"/>
      <c r="W222" s="27"/>
      <c r="X222" s="28"/>
      <c r="Y222" s="239"/>
      <c r="Z222" s="324"/>
      <c r="AA222" s="26"/>
      <c r="AB222" s="147"/>
      <c r="AC222" s="26"/>
      <c r="AD222" s="26"/>
      <c r="AE222" s="26"/>
      <c r="AF222" s="26"/>
      <c r="AG222" s="26"/>
      <c r="AH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 spans="1:64" x14ac:dyDescent="0.35">
      <c r="A223" s="90"/>
      <c r="B223" s="285"/>
      <c r="C223" s="112"/>
      <c r="D223" s="124"/>
      <c r="E223" s="339"/>
      <c r="F223" s="112"/>
      <c r="G223" s="124"/>
      <c r="H223" s="285"/>
      <c r="I223" s="436"/>
      <c r="J223" s="199"/>
      <c r="N223" s="199"/>
      <c r="R223" s="10"/>
      <c r="S223" s="136"/>
      <c r="T223" s="26"/>
      <c r="U223" s="45"/>
      <c r="V223" s="27"/>
      <c r="W223" s="27"/>
      <c r="X223" s="28"/>
      <c r="Y223" s="239"/>
      <c r="Z223" s="324"/>
      <c r="AA223" s="26"/>
      <c r="AB223" s="147"/>
      <c r="AC223" s="26"/>
      <c r="AD223" s="26"/>
      <c r="AE223" s="26"/>
      <c r="AF223" s="26"/>
      <c r="AG223" s="26"/>
      <c r="AH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</row>
    <row r="224" spans="1:64" x14ac:dyDescent="0.35">
      <c r="A224" s="168" t="s">
        <v>813</v>
      </c>
      <c r="B224" s="284"/>
      <c r="C224" s="1"/>
      <c r="D224" s="1"/>
      <c r="E224" s="548"/>
      <c r="F224" s="1"/>
      <c r="G224" s="1"/>
      <c r="H224" s="537"/>
      <c r="K224" s="10" t="s">
        <v>370</v>
      </c>
      <c r="M224" s="1180" t="s">
        <v>810</v>
      </c>
      <c r="N224" s="403" t="s">
        <v>811</v>
      </c>
      <c r="R224" s="10"/>
      <c r="S224" s="136"/>
      <c r="T224" s="26"/>
      <c r="U224" s="45"/>
      <c r="V224" s="27"/>
      <c r="W224" s="27"/>
      <c r="X224" s="28"/>
      <c r="Y224" s="239"/>
      <c r="Z224" s="324"/>
      <c r="AA224" s="26"/>
      <c r="AB224" s="147"/>
      <c r="AC224" s="26"/>
      <c r="AD224" s="26"/>
      <c r="AE224" s="26"/>
      <c r="AF224" s="26"/>
      <c r="AG224" s="26"/>
      <c r="AH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 spans="1:64" x14ac:dyDescent="0.35">
      <c r="A225" s="11" t="s">
        <v>814</v>
      </c>
      <c r="B225" s="109">
        <f>B174-B202+B9</f>
        <v>2.9740208638283127E+22</v>
      </c>
      <c r="C225" s="1" t="s">
        <v>14</v>
      </c>
      <c r="D225" s="10" t="s">
        <v>37</v>
      </c>
      <c r="E225" s="114">
        <f>B225*(1/2*1.38E-23*300)</f>
        <v>61.562231881246078</v>
      </c>
      <c r="F225" s="1" t="s">
        <v>9</v>
      </c>
      <c r="G225" s="10" t="s">
        <v>37</v>
      </c>
      <c r="H225" s="123">
        <f>B225*2/(6.02*10^23)</f>
        <v>9.8804679861405745E-2</v>
      </c>
      <c r="I225" s="436" t="s">
        <v>7</v>
      </c>
      <c r="K225" s="734">
        <f>B225/(B225+'баланс тритий'!B225)</f>
        <v>0.5</v>
      </c>
      <c r="M225" s="1180">
        <f>B225-B235+B219</f>
        <v>6.5518028411816787E+21</v>
      </c>
      <c r="N225" s="403">
        <f>B225-B229</f>
        <v>2.3188405797101452E+22</v>
      </c>
      <c r="P225" s="259" t="s">
        <v>119</v>
      </c>
      <c r="R225" s="284"/>
      <c r="S225" s="136"/>
      <c r="T225" s="26"/>
      <c r="U225" s="45"/>
      <c r="V225" s="27"/>
      <c r="W225" s="27"/>
      <c r="X225" s="28"/>
      <c r="Y225" s="239"/>
      <c r="Z225" s="26"/>
      <c r="AA225" s="26"/>
      <c r="AB225" s="147"/>
      <c r="AC225" s="26"/>
      <c r="AD225" s="26"/>
      <c r="AE225" s="26"/>
      <c r="AF225" s="26"/>
      <c r="AG225" s="26"/>
      <c r="AH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</row>
    <row r="226" spans="1:64" x14ac:dyDescent="0.35">
      <c r="A226" s="12" t="s">
        <v>828</v>
      </c>
      <c r="B226" s="606">
        <f>B175-B203+B9</f>
        <v>6.4095806189594529E+21</v>
      </c>
      <c r="C226" s="1"/>
      <c r="D226" s="10"/>
      <c r="E226" s="580">
        <f>B226*(1/2*1.38E-23*300)</f>
        <v>13.267831881246067</v>
      </c>
      <c r="F226" s="1"/>
      <c r="G226" s="10"/>
      <c r="H226" s="622">
        <f>B226*2/(6.02*10^23)</f>
        <v>2.1294287770629413E-2</v>
      </c>
      <c r="I226" s="436"/>
      <c r="J226" s="309"/>
      <c r="K226" s="734">
        <f>B226/(B226+'баланс тритий'!B226)</f>
        <v>0.48669084684762337</v>
      </c>
      <c r="M226" s="1180">
        <f>B226-B236+B220</f>
        <v>6.5518028411816745E+21</v>
      </c>
      <c r="N226" s="1307">
        <f>B226-B230</f>
        <v>-1.4222222222222269E+20</v>
      </c>
      <c r="R226" s="284"/>
      <c r="S226" s="136"/>
      <c r="T226" s="26"/>
      <c r="U226" s="45"/>
      <c r="V226" s="27"/>
      <c r="W226" s="27"/>
      <c r="X226" s="28"/>
      <c r="Y226" s="239"/>
      <c r="Z226" s="26"/>
      <c r="AA226" s="26"/>
      <c r="AB226" s="147"/>
      <c r="AC226" s="26"/>
      <c r="AD226" s="26"/>
      <c r="AE226" s="26"/>
      <c r="AF226" s="26"/>
      <c r="AG226" s="26"/>
      <c r="AH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 spans="1:64" x14ac:dyDescent="0.35">
      <c r="A227" s="94" t="s">
        <v>829</v>
      </c>
      <c r="B227" s="209">
        <f>B176-B204+B9</f>
        <v>6.2527983848308395E+21</v>
      </c>
      <c r="C227" s="1"/>
      <c r="D227" s="10"/>
      <c r="E227" s="431">
        <f>B227*(1/2*1.38E-23*300)</f>
        <v>12.943292656599839</v>
      </c>
      <c r="F227" s="1"/>
      <c r="G227" s="10"/>
      <c r="H227" s="457">
        <f>B227*2/(6.02*10^23)</f>
        <v>2.0773416560899802E-2</v>
      </c>
      <c r="I227" s="436"/>
      <c r="K227" s="734">
        <f>B227/(B227+'баланс тритий'!B227)</f>
        <v>0.49437759892383476</v>
      </c>
      <c r="M227" s="1180">
        <f>B227-B237+B221+'[3]динамика трития в инжекторах'!$F$6</f>
        <v>6.708585075310289E+21</v>
      </c>
      <c r="N227" s="1136">
        <f>B227-B231</f>
        <v>-4.5578669047945154E+20</v>
      </c>
      <c r="R227" s="285"/>
      <c r="S227" s="136"/>
      <c r="T227" s="26"/>
      <c r="U227" s="45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 spans="1:64" x14ac:dyDescent="0.35">
      <c r="A228" s="233" t="s">
        <v>13</v>
      </c>
      <c r="B228" s="284"/>
      <c r="C228" s="1"/>
      <c r="D228" s="1"/>
      <c r="E228" s="395"/>
      <c r="F228" s="1"/>
      <c r="G228" s="1"/>
      <c r="H228" s="537"/>
      <c r="M228" s="1246">
        <f>M225-B229</f>
        <v>0</v>
      </c>
      <c r="N228" s="421">
        <f>N225-B235</f>
        <v>0</v>
      </c>
      <c r="O228" s="42"/>
      <c r="R228" s="27"/>
      <c r="S228" s="136"/>
      <c r="T228" s="26"/>
      <c r="U228" s="45"/>
      <c r="V228" s="95"/>
      <c r="W228" s="1016"/>
      <c r="X228" s="26"/>
      <c r="Y228" s="1016"/>
      <c r="Z228" s="435"/>
      <c r="AA228" s="26"/>
      <c r="AB228" s="26"/>
      <c r="AC228" s="26"/>
      <c r="AD228" s="26"/>
      <c r="AE228" s="26"/>
      <c r="AF228" s="26"/>
      <c r="AG228" s="26"/>
      <c r="AH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 spans="1:64" x14ac:dyDescent="0.35">
      <c r="A229" s="1071" t="s">
        <v>282</v>
      </c>
      <c r="B229" s="68">
        <f>B117</f>
        <v>6.5518028411816756E+21</v>
      </c>
      <c r="C229" s="13" t="s">
        <v>14</v>
      </c>
      <c r="D229" s="1070" t="s">
        <v>37</v>
      </c>
      <c r="E229" s="55">
        <f t="shared" ref="E229:E237" si="7">B229*(1/2*1.38E-23*300)</f>
        <v>13.562231881246069</v>
      </c>
      <c r="F229" s="13" t="s">
        <v>9</v>
      </c>
      <c r="G229" s="1070" t="s">
        <v>37</v>
      </c>
      <c r="H229" s="123">
        <f t="shared" ref="H229:H237" si="8">B229*2/(6.02*10^23)</f>
        <v>2.1766786847779655E-2</v>
      </c>
      <c r="I229" s="436" t="s">
        <v>7</v>
      </c>
      <c r="L229" s="67"/>
      <c r="M229" s="1246">
        <f>M226-B230</f>
        <v>0</v>
      </c>
      <c r="N229" s="1308">
        <f>N226-B236</f>
        <v>-2.0833333333333377E+20</v>
      </c>
      <c r="O229" s="1244">
        <f>N229+B220</f>
        <v>-524288</v>
      </c>
      <c r="P229" s="74"/>
      <c r="R229" s="285"/>
      <c r="S229" s="136"/>
      <c r="T229" s="26"/>
      <c r="U229" s="45"/>
      <c r="V229" s="95"/>
      <c r="W229" s="1016"/>
      <c r="X229" s="26"/>
      <c r="Y229" s="1016"/>
      <c r="Z229" s="435"/>
      <c r="AA229" s="26"/>
      <c r="AB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</row>
    <row r="230" spans="1:64" x14ac:dyDescent="0.35">
      <c r="A230" s="90"/>
      <c r="B230" s="489">
        <f>B118</f>
        <v>6.5518028411816756E+21</v>
      </c>
      <c r="D230" s="1070"/>
      <c r="E230" s="133">
        <f t="shared" si="7"/>
        <v>13.562231881246069</v>
      </c>
      <c r="G230" s="1070"/>
      <c r="H230" s="623">
        <f t="shared" si="8"/>
        <v>2.1766786847779655E-2</v>
      </c>
      <c r="I230" s="436"/>
      <c r="L230" s="67"/>
      <c r="M230" s="1246">
        <f>M227-B231</f>
        <v>0</v>
      </c>
      <c r="N230" s="1308">
        <f>N227-B237</f>
        <v>-7.30231134923896E+20</v>
      </c>
      <c r="O230" s="1136">
        <f>N230+B221</f>
        <v>-1703936</v>
      </c>
      <c r="P230" s="1245">
        <f>O230+'[3]динамика трития в инжекторах'!$F$6</f>
        <v>-1703936</v>
      </c>
      <c r="R230" s="285"/>
      <c r="S230" s="136"/>
      <c r="T230" s="26"/>
      <c r="U230" s="45"/>
      <c r="V230" s="95"/>
      <c r="W230" s="1016"/>
      <c r="X230" s="26"/>
      <c r="Y230" s="1016"/>
      <c r="Z230" s="435"/>
      <c r="AA230" s="26"/>
      <c r="AB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 spans="1:64" x14ac:dyDescent="0.35">
      <c r="A231" s="90"/>
      <c r="B231" s="182">
        <f>B119</f>
        <v>6.7085850753102911E+21</v>
      </c>
      <c r="D231" s="1070"/>
      <c r="E231" s="211">
        <f t="shared" si="7"/>
        <v>13.886771105892302</v>
      </c>
      <c r="G231" s="1070"/>
      <c r="H231" s="441">
        <f t="shared" si="8"/>
        <v>2.2287658057509277E-2</v>
      </c>
      <c r="I231" s="436"/>
      <c r="L231" s="25"/>
      <c r="M231" s="1247" t="s">
        <v>811</v>
      </c>
      <c r="N231" s="311" t="s">
        <v>810</v>
      </c>
      <c r="O231" s="69"/>
      <c r="P231" s="308"/>
      <c r="R231" s="285"/>
      <c r="S231" s="136"/>
      <c r="T231" s="26"/>
      <c r="U231" s="45"/>
      <c r="V231" s="95"/>
      <c r="W231" s="1016"/>
      <c r="X231" s="26"/>
      <c r="Y231" s="1016"/>
      <c r="Z231" s="435"/>
      <c r="AA231" s="26"/>
      <c r="AB231" s="26"/>
      <c r="AK231" s="32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 spans="1:64" x14ac:dyDescent="0.35">
      <c r="A232" s="1071" t="s">
        <v>362</v>
      </c>
      <c r="B232" s="68">
        <f>B211</f>
        <v>7.7444023696546962E+21</v>
      </c>
      <c r="C232" s="13" t="s">
        <v>14</v>
      </c>
      <c r="D232" s="1070" t="s">
        <v>37</v>
      </c>
      <c r="E232" s="55">
        <f t="shared" si="7"/>
        <v>16.030912905185222</v>
      </c>
      <c r="F232" s="13" t="s">
        <v>9</v>
      </c>
      <c r="G232" s="1070" t="s">
        <v>37</v>
      </c>
      <c r="H232" s="694">
        <f t="shared" si="8"/>
        <v>2.5728911527092016E-2</v>
      </c>
      <c r="I232" s="436" t="s">
        <v>7</v>
      </c>
      <c r="K232" s="875"/>
      <c r="L232" s="26"/>
      <c r="M232" s="26"/>
      <c r="N232" s="148"/>
      <c r="O232" s="69"/>
      <c r="P232" s="308"/>
      <c r="AA232" s="26"/>
      <c r="AB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</row>
    <row r="233" spans="1:64" x14ac:dyDescent="0.35">
      <c r="A233" s="1071"/>
      <c r="B233" s="489">
        <f>B212</f>
        <v>7.7444023696546962E+21</v>
      </c>
      <c r="D233" s="1070"/>
      <c r="E233" s="133">
        <f t="shared" si="7"/>
        <v>16.030912905185222</v>
      </c>
      <c r="G233" s="1070"/>
      <c r="H233" s="616">
        <f t="shared" si="8"/>
        <v>2.5728911527092016E-2</v>
      </c>
      <c r="I233" s="436"/>
      <c r="K233" s="875"/>
      <c r="L233" s="26"/>
      <c r="M233" s="26"/>
      <c r="N233" s="148"/>
      <c r="O233" s="69"/>
      <c r="P233" s="308"/>
      <c r="AA233" s="26"/>
      <c r="AB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</row>
    <row r="234" spans="1:64" x14ac:dyDescent="0.35">
      <c r="B234" s="182">
        <f>B213</f>
        <v>7.3792868021927485E+21</v>
      </c>
      <c r="C234" s="216"/>
      <c r="D234" s="217"/>
      <c r="E234" s="211">
        <f t="shared" si="7"/>
        <v>15.275123680538989</v>
      </c>
      <c r="F234" s="216"/>
      <c r="G234" s="217"/>
      <c r="H234" s="307">
        <f t="shared" si="8"/>
        <v>2.4515902997318106E-2</v>
      </c>
      <c r="I234" s="436"/>
      <c r="K234" s="875"/>
      <c r="O234" s="1016"/>
      <c r="P234" s="26"/>
      <c r="Q234" s="187"/>
      <c r="AA234" s="26"/>
      <c r="AB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 spans="1:64" x14ac:dyDescent="0.35">
      <c r="A235" s="1071" t="s">
        <v>360</v>
      </c>
      <c r="B235" s="109">
        <f>B54*B41</f>
        <v>2.3188405797101448E+22</v>
      </c>
      <c r="C235" s="1" t="s">
        <v>14</v>
      </c>
      <c r="D235" s="10" t="s">
        <v>37</v>
      </c>
      <c r="E235" s="114">
        <f t="shared" si="7"/>
        <v>48</v>
      </c>
      <c r="F235" s="1" t="s">
        <v>9</v>
      </c>
      <c r="G235" s="10" t="s">
        <v>37</v>
      </c>
      <c r="H235" s="123">
        <f t="shared" si="8"/>
        <v>7.7037893013626083E-2</v>
      </c>
      <c r="I235" s="436" t="s">
        <v>7</v>
      </c>
      <c r="J235" s="25"/>
      <c r="L235" s="171"/>
      <c r="M235" s="403"/>
      <c r="N235" s="362"/>
      <c r="O235" s="69"/>
      <c r="P235" s="46"/>
      <c r="R235" s="285"/>
      <c r="S235" s="136"/>
      <c r="T235" s="26"/>
      <c r="U235" s="45"/>
      <c r="V235" s="95"/>
      <c r="W235" s="26"/>
      <c r="X235" s="26"/>
      <c r="Y235" s="1016"/>
      <c r="Z235" s="456"/>
      <c r="AA235" s="136"/>
      <c r="AB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 spans="1:64" x14ac:dyDescent="0.35">
      <c r="A236" s="1071"/>
      <c r="B236" s="606">
        <f>B37-'[3]динамика трития в инжекторах'!$AC$99*$B$41</f>
        <v>6.6111111111111098E+19</v>
      </c>
      <c r="C236" s="645"/>
      <c r="D236" s="646"/>
      <c r="E236" s="133">
        <f t="shared" si="7"/>
        <v>0.13684999999999997</v>
      </c>
      <c r="F236" s="645"/>
      <c r="G236" s="646"/>
      <c r="H236" s="1303">
        <f t="shared" si="8"/>
        <v>2.1963824289405684E-4</v>
      </c>
      <c r="I236" s="436"/>
      <c r="J236" s="25"/>
      <c r="K236" s="25" t="s">
        <v>830</v>
      </c>
      <c r="L236" s="171"/>
      <c r="M236" s="403"/>
      <c r="N236" s="362"/>
      <c r="O236" s="69"/>
      <c r="P236" s="46"/>
      <c r="R236" s="285"/>
      <c r="S236" s="136"/>
      <c r="T236" s="26"/>
      <c r="U236" s="45"/>
      <c r="V236" s="95"/>
      <c r="W236" s="26"/>
      <c r="X236" s="26"/>
      <c r="Y236" s="1016"/>
      <c r="Z236" s="456"/>
      <c r="AA236" s="136"/>
      <c r="AB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 spans="1:64" x14ac:dyDescent="0.35">
      <c r="B237" s="209">
        <f>B38-'[3]динамика трития в инжекторах'!$AC$99*$B$41</f>
        <v>2.7444444444444446E+20</v>
      </c>
      <c r="C237" s="645"/>
      <c r="D237" s="646"/>
      <c r="E237" s="211">
        <f t="shared" si="7"/>
        <v>0.56810000000000005</v>
      </c>
      <c r="F237" s="645"/>
      <c r="G237" s="646"/>
      <c r="H237" s="1304">
        <f t="shared" si="8"/>
        <v>9.1177556293835379E-4</v>
      </c>
      <c r="I237" s="436"/>
      <c r="J237" s="25"/>
      <c r="K237" s="14" t="s">
        <v>831</v>
      </c>
      <c r="L237" s="171"/>
      <c r="M237" s="403"/>
      <c r="N237" s="362"/>
      <c r="O237" s="69"/>
      <c r="P237" s="46"/>
      <c r="R237" s="285"/>
      <c r="S237" s="136"/>
      <c r="T237" s="26"/>
      <c r="U237" s="45"/>
      <c r="V237" s="95"/>
      <c r="W237" s="26"/>
      <c r="X237" s="26"/>
      <c r="Y237" s="1016"/>
      <c r="Z237" s="456"/>
      <c r="AA237" s="136"/>
      <c r="AB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</row>
    <row r="238" spans="1:64" x14ac:dyDescent="0.35">
      <c r="B238" s="199"/>
      <c r="L238" s="171"/>
      <c r="M238" s="403"/>
      <c r="N238" s="362"/>
      <c r="O238" s="69"/>
      <c r="P238" s="46"/>
      <c r="R238" s="285"/>
      <c r="S238" s="136"/>
      <c r="T238" s="26"/>
      <c r="U238" s="45"/>
      <c r="V238" s="95"/>
      <c r="W238" s="26"/>
      <c r="X238" s="26"/>
      <c r="Y238" s="1016"/>
      <c r="Z238" s="456"/>
      <c r="AA238" s="136"/>
      <c r="AB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 spans="1:64" x14ac:dyDescent="0.35">
      <c r="A239" s="228"/>
      <c r="B239" s="1180"/>
      <c r="L239" s="171"/>
      <c r="M239" s="403"/>
      <c r="N239" s="311"/>
      <c r="O239" s="1071"/>
      <c r="P239" s="186"/>
      <c r="R239" s="285"/>
      <c r="S239" s="136"/>
      <c r="T239" s="26"/>
      <c r="U239" s="45"/>
      <c r="V239" s="95"/>
      <c r="W239" s="1016"/>
      <c r="X239" s="26"/>
      <c r="Y239" s="26"/>
      <c r="Z239" s="26"/>
      <c r="AA239" s="26"/>
      <c r="AB239" s="26"/>
      <c r="AF239" s="83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</row>
    <row r="240" spans="1:64" x14ac:dyDescent="0.35">
      <c r="M240" s="526"/>
      <c r="N240" s="311"/>
      <c r="P240" s="25"/>
      <c r="Q240" s="187"/>
      <c r="R240" s="27"/>
      <c r="S240" s="136"/>
      <c r="T240" s="26"/>
      <c r="U240" s="45"/>
      <c r="V240" s="26"/>
      <c r="W240" s="1016"/>
      <c r="X240" s="26"/>
      <c r="Y240" s="1016"/>
      <c r="Z240" s="1016"/>
      <c r="AA240" s="1016"/>
      <c r="AB240" s="13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</row>
    <row r="241" spans="1:64" x14ac:dyDescent="0.35">
      <c r="M241" s="300"/>
      <c r="N241" s="300"/>
      <c r="O241" s="740"/>
      <c r="P241" s="741"/>
      <c r="R241" s="27"/>
      <c r="S241" s="136"/>
      <c r="T241" s="26"/>
      <c r="U241" s="45"/>
      <c r="V241" s="26"/>
      <c r="W241" s="26"/>
      <c r="X241" s="26"/>
      <c r="Y241" s="26"/>
      <c r="Z241" s="26"/>
      <c r="AA241" s="26"/>
      <c r="AB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</row>
    <row r="242" spans="1:64" x14ac:dyDescent="0.35">
      <c r="B242" s="1112"/>
      <c r="M242" s="54" t="s">
        <v>668</v>
      </c>
      <c r="N242" s="522"/>
      <c r="P242" s="741"/>
      <c r="R242" s="27"/>
      <c r="S242" s="136"/>
      <c r="T242" s="26"/>
      <c r="U242" s="45"/>
      <c r="V242" s="26"/>
      <c r="W242" s="26"/>
      <c r="X242" s="26"/>
      <c r="Y242" s="26"/>
      <c r="Z242" s="26"/>
      <c r="AA242" s="26"/>
      <c r="AB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</row>
    <row r="243" spans="1:64" x14ac:dyDescent="0.35">
      <c r="A243" s="80" t="s">
        <v>675</v>
      </c>
      <c r="B243" s="1112"/>
      <c r="E243" s="104"/>
      <c r="L243" s="246" t="s">
        <v>132</v>
      </c>
      <c r="M243" s="186" t="s">
        <v>664</v>
      </c>
      <c r="N243" s="284"/>
      <c r="O243" s="63"/>
      <c r="P243" s="741"/>
      <c r="R243" s="27"/>
      <c r="S243" s="136"/>
      <c r="T243" s="26"/>
      <c r="U243" s="45"/>
      <c r="V243" s="26"/>
      <c r="W243" s="26"/>
      <c r="X243" s="26"/>
      <c r="Y243" s="26"/>
      <c r="Z243" s="26"/>
      <c r="AA243" s="26"/>
      <c r="AB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 spans="1:64" x14ac:dyDescent="0.35">
      <c r="A244" s="94" t="s">
        <v>674</v>
      </c>
      <c r="B244" s="85" t="s">
        <v>673</v>
      </c>
      <c r="L244" s="246" t="s">
        <v>132</v>
      </c>
      <c r="M244" s="186" t="s">
        <v>663</v>
      </c>
      <c r="O244" s="63"/>
      <c r="R244" s="27"/>
      <c r="S244" s="136"/>
      <c r="T244" s="26"/>
      <c r="U244" s="45"/>
      <c r="V244" s="26"/>
      <c r="W244" s="26"/>
      <c r="X244" s="26"/>
      <c r="Y244" s="26"/>
      <c r="Z244" s="26"/>
      <c r="AA244" s="26"/>
      <c r="AB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 spans="1:64" x14ac:dyDescent="0.35">
      <c r="A245" s="558" t="s">
        <v>133</v>
      </c>
      <c r="B245" s="109">
        <f>B235+B232+B229</f>
        <v>3.7484611007937818E+22</v>
      </c>
      <c r="C245" s="13" t="s">
        <v>14</v>
      </c>
      <c r="D245" s="1070" t="s">
        <v>37</v>
      </c>
      <c r="E245" s="55">
        <f>B245*(1/2*1.38E-23*300)</f>
        <v>77.593144786431282</v>
      </c>
      <c r="F245" s="13" t="s">
        <v>9</v>
      </c>
      <c r="G245" s="1070" t="s">
        <v>37</v>
      </c>
      <c r="H245" s="114">
        <f>B245*2/(6.02*10^23)</f>
        <v>0.12453359138849775</v>
      </c>
      <c r="I245" s="436" t="s">
        <v>7</v>
      </c>
      <c r="M245" s="42" t="s">
        <v>228</v>
      </c>
      <c r="O245" s="55">
        <v>67.595303172437312</v>
      </c>
      <c r="R245" s="27"/>
      <c r="S245" s="136"/>
      <c r="T245" s="26"/>
      <c r="U245" s="45"/>
      <c r="V245" s="26"/>
      <c r="W245" s="26"/>
      <c r="X245" s="26"/>
      <c r="Y245" s="26"/>
      <c r="Z245" s="26"/>
      <c r="AA245" s="26"/>
      <c r="AB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 spans="1:64" x14ac:dyDescent="0.35">
      <c r="A246" s="12" t="s">
        <v>137</v>
      </c>
      <c r="B246" s="489">
        <f>B236+B233+B230</f>
        <v>1.4362316321947482E+22</v>
      </c>
      <c r="D246" s="1070"/>
      <c r="E246" s="133">
        <f>B246*(1/2*1.38E-23*300)</f>
        <v>29.729994786431291</v>
      </c>
      <c r="G246" s="1070"/>
      <c r="H246" s="616">
        <f>B246*2/(6.02*10^23)</f>
        <v>4.7715336617765725E-2</v>
      </c>
      <c r="I246" s="436"/>
      <c r="K246" s="410" t="s">
        <v>137</v>
      </c>
      <c r="L246" s="417">
        <f>B249-B245</f>
        <v>-1.1784920981296906E+19</v>
      </c>
      <c r="N246" s="421"/>
      <c r="O246" s="133">
        <v>20.020975511219664</v>
      </c>
      <c r="R246" s="27"/>
      <c r="S246" s="136"/>
      <c r="T246" s="26"/>
      <c r="U246" s="45"/>
      <c r="V246" s="26"/>
      <c r="W246" s="26"/>
      <c r="X246" s="26"/>
      <c r="Y246" s="26"/>
      <c r="Z246" s="26"/>
      <c r="AA246" s="26"/>
      <c r="AB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 spans="1:64" x14ac:dyDescent="0.35">
      <c r="A247" s="275" t="s">
        <v>666</v>
      </c>
      <c r="B247" s="182">
        <f>B237+B234+B231+(-'[3]динамика трития в инжекторах'!$F$6)</f>
        <v>1.4362316321947484E+22</v>
      </c>
      <c r="C247" s="1"/>
      <c r="D247" s="10"/>
      <c r="E247" s="431">
        <f>B247*(1/2*1.38E-23*300)</f>
        <v>29.729994786431295</v>
      </c>
      <c r="F247" s="1"/>
      <c r="G247" s="10"/>
      <c r="H247" s="307">
        <f>B247*2/(6.02*10^23)</f>
        <v>4.7715336617765731E-2</v>
      </c>
      <c r="I247" s="436"/>
      <c r="L247" s="697">
        <f>M247-L246</f>
        <v>-2156544</v>
      </c>
      <c r="M247" s="418">
        <f>-B9</f>
        <v>-1.1784920981299063E+19</v>
      </c>
      <c r="N247" s="264"/>
      <c r="O247" s="431">
        <v>20.060614680194579</v>
      </c>
      <c r="R247" s="27"/>
      <c r="S247" s="136"/>
      <c r="T247" s="26"/>
      <c r="U247" s="45"/>
      <c r="V247" s="26"/>
      <c r="W247" s="26"/>
      <c r="X247" s="26"/>
      <c r="Y247" s="26"/>
      <c r="Z247" s="26"/>
      <c r="AA247" s="26"/>
      <c r="AB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 spans="1:64" x14ac:dyDescent="0.35">
      <c r="A248" s="53"/>
      <c r="B248" s="347"/>
      <c r="C248" s="26"/>
      <c r="D248" s="1016"/>
      <c r="E248" s="336"/>
      <c r="F248" s="26"/>
      <c r="G248" s="1016"/>
      <c r="H248" s="336"/>
      <c r="I248" s="136"/>
      <c r="J248" s="26"/>
      <c r="K248" s="435"/>
      <c r="L248" s="587">
        <f>B250-B246</f>
        <v>-1.1784920981299003E+19</v>
      </c>
      <c r="N248" s="421"/>
      <c r="O248" s="336"/>
      <c r="R248" s="27"/>
      <c r="S248" s="136"/>
      <c r="T248" s="26"/>
      <c r="U248" s="45"/>
      <c r="V248" s="26"/>
      <c r="W248" s="26"/>
      <c r="X248" s="26"/>
      <c r="Y248" s="26"/>
      <c r="Z248" s="26"/>
      <c r="AA248" s="26"/>
      <c r="AB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</row>
    <row r="249" spans="1:64" x14ac:dyDescent="0.35">
      <c r="A249" s="9" t="s">
        <v>672</v>
      </c>
      <c r="B249" s="109">
        <f>B174</f>
        <v>3.7472826086956521E+22</v>
      </c>
      <c r="C249" s="1" t="s">
        <v>14</v>
      </c>
      <c r="D249" s="10" t="s">
        <v>37</v>
      </c>
      <c r="E249" s="114">
        <f>B249*(1/2*1.38E-23*300)</f>
        <v>77.568750000000009</v>
      </c>
      <c r="F249" s="1" t="s">
        <v>9</v>
      </c>
      <c r="G249" s="10" t="s">
        <v>37</v>
      </c>
      <c r="H249" s="114">
        <f>B249*2/(6.02*10^23)</f>
        <v>0.12449443882709808</v>
      </c>
      <c r="I249" s="436" t="s">
        <v>7</v>
      </c>
      <c r="L249" s="238">
        <f>M249-L248</f>
        <v>-59392</v>
      </c>
      <c r="M249" s="587">
        <f>-B9</f>
        <v>-1.1784920981299063E+19</v>
      </c>
      <c r="N249" s="264"/>
      <c r="O249" s="114">
        <v>67.56874999999998</v>
      </c>
      <c r="R249" s="27"/>
      <c r="S249" s="136"/>
      <c r="T249" s="26"/>
      <c r="U249" s="45"/>
      <c r="V249" s="26"/>
      <c r="W249" s="26"/>
      <c r="X249" s="26"/>
      <c r="Y249" s="26"/>
      <c r="Z249" s="26"/>
      <c r="AA249" s="26"/>
      <c r="AB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 spans="1:64" ht="15.75" customHeight="1" x14ac:dyDescent="0.35">
      <c r="A250" s="12" t="s">
        <v>138</v>
      </c>
      <c r="B250" s="489">
        <f>B175</f>
        <v>1.4350531400966183E+22</v>
      </c>
      <c r="C250" s="1"/>
      <c r="D250" s="10"/>
      <c r="E250" s="580">
        <f>B250*(1/2*1.38E-23*300)</f>
        <v>29.7056</v>
      </c>
      <c r="F250" s="1"/>
      <c r="G250" s="10"/>
      <c r="H250" s="616">
        <f>B250*2/(6.02*10^23)</f>
        <v>4.7676184056366061E-2</v>
      </c>
      <c r="I250" s="436"/>
      <c r="K250" s="410" t="s">
        <v>138</v>
      </c>
      <c r="L250" s="382">
        <f>B251-B247</f>
        <v>-1.1784920981301101E+19</v>
      </c>
      <c r="N250" s="421"/>
      <c r="O250" s="580">
        <v>19.994422338782343</v>
      </c>
      <c r="P250" s="518"/>
      <c r="R250" s="27"/>
      <c r="S250" s="136"/>
      <c r="T250" s="26"/>
      <c r="U250" s="45"/>
      <c r="V250" s="26"/>
      <c r="W250" s="26"/>
      <c r="X250" s="26"/>
      <c r="Y250" s="26"/>
      <c r="Z250" s="26"/>
      <c r="AA250" s="26"/>
      <c r="AB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 spans="1:64" x14ac:dyDescent="0.3">
      <c r="A251" s="1118" t="s">
        <v>667</v>
      </c>
      <c r="B251" s="182">
        <f>B176</f>
        <v>1.4350531400966183E+22</v>
      </c>
      <c r="C251" s="1"/>
      <c r="D251" s="10"/>
      <c r="E251" s="431">
        <f>B251*(1/2*1.38E-23*300)</f>
        <v>29.7056</v>
      </c>
      <c r="F251" s="1"/>
      <c r="G251" s="10"/>
      <c r="H251" s="307">
        <f>B251*2/(6.02*10^23)</f>
        <v>4.7676184056366061E-2</v>
      </c>
      <c r="I251" s="436"/>
      <c r="L251" s="238">
        <f>M251-L250</f>
        <v>2037760</v>
      </c>
      <c r="M251" s="419">
        <f>-B9</f>
        <v>-1.1784920981299063E+19</v>
      </c>
      <c r="O251" s="431">
        <v>20.014241923269804</v>
      </c>
      <c r="P251" s="19"/>
      <c r="R251" s="27"/>
      <c r="S251" s="136"/>
      <c r="T251" s="26"/>
      <c r="U251" s="45"/>
      <c r="V251" s="26"/>
      <c r="W251" s="26"/>
      <c r="X251" s="26"/>
      <c r="Y251" s="26"/>
      <c r="Z251" s="26"/>
      <c r="AA251" s="26"/>
      <c r="AB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</row>
    <row r="252" spans="1:64" x14ac:dyDescent="0.35">
      <c r="E252" s="105"/>
      <c r="L252" s="236"/>
      <c r="M252" s="26"/>
      <c r="N252" s="42" t="s">
        <v>228</v>
      </c>
      <c r="O252" s="186"/>
      <c r="P252" s="187"/>
      <c r="R252" s="27"/>
      <c r="S252" s="136"/>
      <c r="T252" s="26"/>
      <c r="U252" s="45"/>
      <c r="V252" s="26"/>
      <c r="W252" s="26"/>
      <c r="X252" s="26"/>
      <c r="Y252" s="26"/>
      <c r="Z252" s="26"/>
      <c r="AA252" s="26"/>
      <c r="AB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 spans="1:64" x14ac:dyDescent="0.35">
      <c r="A253" s="291" t="s">
        <v>665</v>
      </c>
      <c r="B253" s="109">
        <f>-(B249-B245)+B275</f>
        <v>1.1796705902278205E+19</v>
      </c>
      <c r="C253" s="1" t="s">
        <v>14</v>
      </c>
      <c r="D253" s="10" t="s">
        <v>37</v>
      </c>
      <c r="E253" s="114">
        <f>B253*(1/2*1.38E-23*300)</f>
        <v>2.4419181217715885E-2</v>
      </c>
      <c r="F253" s="1" t="s">
        <v>9</v>
      </c>
      <c r="G253" s="10" t="s">
        <v>37</v>
      </c>
      <c r="H253" s="109">
        <f>B253*2/(6.02*10^23)</f>
        <v>3.9191713961057163E-5</v>
      </c>
      <c r="I253" s="426" t="s">
        <v>7</v>
      </c>
      <c r="J253" s="111" t="s">
        <v>37</v>
      </c>
      <c r="K253" s="832">
        <f>H253/1000*365*24*60*60</f>
        <v>1.2359498914758986</v>
      </c>
      <c r="L253" s="379" t="s">
        <v>131</v>
      </c>
      <c r="M253" s="1140">
        <f>K253-N253</f>
        <v>-2.2604140781368187E-13</v>
      </c>
      <c r="N253" s="721">
        <f>N257+K274</f>
        <v>1.2359498914761247</v>
      </c>
      <c r="O253" s="85" t="s">
        <v>131</v>
      </c>
      <c r="P253" s="25" t="s">
        <v>413</v>
      </c>
      <c r="R253" s="27"/>
      <c r="S253" s="136"/>
      <c r="T253" s="26"/>
      <c r="U253" s="45"/>
      <c r="V253" s="26"/>
      <c r="W253" s="26"/>
      <c r="X253" s="26"/>
      <c r="Y253" s="26"/>
      <c r="Z253" s="26"/>
      <c r="AA253" s="26"/>
      <c r="AB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</row>
    <row r="254" spans="1:64" x14ac:dyDescent="0.35">
      <c r="A254" s="12" t="s">
        <v>384</v>
      </c>
      <c r="B254" s="606">
        <f>-(B250-B246)+B275</f>
        <v>1.1796705902280303E+19</v>
      </c>
      <c r="C254" s="1"/>
      <c r="D254" s="10"/>
      <c r="E254" s="580">
        <f>B254*(1/2*1.38E-23*300)</f>
        <v>2.4419181217720229E-2</v>
      </c>
      <c r="F254" s="1"/>
      <c r="G254" s="10"/>
      <c r="H254" s="609">
        <f>B254*2/(6.02*10^23)</f>
        <v>3.9191713961064136E-5</v>
      </c>
      <c r="I254" s="426"/>
      <c r="J254" s="111"/>
      <c r="K254" s="832">
        <f>H254/1000*365*24*60*60</f>
        <v>1.2359498914761187</v>
      </c>
      <c r="L254" s="379"/>
      <c r="M254" s="1141">
        <f>K254-N254</f>
        <v>-5.9952043329758453E-15</v>
      </c>
      <c r="N254" s="722">
        <f xml:space="preserve"> N257+K274</f>
        <v>1.2359498914761247</v>
      </c>
      <c r="O254" s="665"/>
      <c r="P254" s="25" t="s">
        <v>792</v>
      </c>
    </row>
    <row r="255" spans="1:64" x14ac:dyDescent="0.35">
      <c r="A255" s="1234" t="s">
        <v>808</v>
      </c>
      <c r="B255" s="209">
        <f>-(B251-B247)+B275</f>
        <v>1.17967059022824E+19</v>
      </c>
      <c r="C255" s="645"/>
      <c r="D255" s="646"/>
      <c r="E255" s="431">
        <f>B255*(1/2*1.38E-23*300)</f>
        <v>2.4419181217724569E-2</v>
      </c>
      <c r="F255" s="645"/>
      <c r="G255" s="646"/>
      <c r="H255" s="209">
        <f>B255*2/(6.02*10^23)</f>
        <v>3.9191713961071102E-5</v>
      </c>
      <c r="I255" s="426"/>
      <c r="J255" s="111"/>
      <c r="K255" s="462">
        <f>H255/1000*365*24*60*60</f>
        <v>1.2359498914763383</v>
      </c>
      <c r="L255" s="379"/>
      <c r="M255" s="1375">
        <f>K255-N255</f>
        <v>2.1360690993788012E-13</v>
      </c>
      <c r="N255" s="723">
        <f>N257+K274</f>
        <v>1.2359498914761247</v>
      </c>
      <c r="P255" s="25" t="s">
        <v>793</v>
      </c>
      <c r="R255" s="27"/>
      <c r="S255" s="136"/>
      <c r="T255" s="26"/>
      <c r="U255" s="45"/>
      <c r="V255" s="26"/>
      <c r="W255" s="26"/>
      <c r="X255" s="26"/>
      <c r="Y255" s="26"/>
      <c r="Z255" s="26"/>
      <c r="AA255" s="26"/>
      <c r="AB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</row>
    <row r="256" spans="1:64" x14ac:dyDescent="0.35">
      <c r="B256" s="1180">
        <f>B255-B254</f>
        <v>2097152</v>
      </c>
      <c r="E256" s="1181">
        <f>'[3]динамика трития в инжекторах'!$F$6</f>
        <v>0</v>
      </c>
      <c r="K256" s="16"/>
      <c r="O256" s="739"/>
      <c r="R256" s="27"/>
      <c r="S256" s="136"/>
      <c r="T256" s="26"/>
      <c r="U256" s="45"/>
      <c r="V256" s="26"/>
      <c r="W256" s="26"/>
      <c r="X256" s="26"/>
      <c r="Y256" s="26"/>
      <c r="Z256" s="26"/>
      <c r="AA256" s="26"/>
      <c r="AB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</row>
    <row r="257" spans="1:64" x14ac:dyDescent="0.35">
      <c r="A257" s="724" t="s">
        <v>790</v>
      </c>
      <c r="N257" s="838">
        <f>H9/1000*365*24*60*60</f>
        <v>1.2347151762998247</v>
      </c>
      <c r="O257" s="36" t="s">
        <v>276</v>
      </c>
      <c r="R257" s="27"/>
      <c r="S257" s="136"/>
      <c r="T257" s="26"/>
      <c r="U257" s="45"/>
      <c r="V257" s="26"/>
      <c r="W257" s="26"/>
      <c r="X257" s="26"/>
      <c r="Y257" s="26"/>
      <c r="Z257" s="26"/>
      <c r="AA257" s="26"/>
      <c r="AB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</row>
    <row r="258" spans="1:64" x14ac:dyDescent="0.35">
      <c r="A258" s="1071" t="s">
        <v>788</v>
      </c>
      <c r="B258" s="109">
        <f>B36</f>
        <v>2.0833333333333334E+20</v>
      </c>
      <c r="C258" s="1" t="s">
        <v>14</v>
      </c>
      <c r="D258" s="10" t="s">
        <v>37</v>
      </c>
      <c r="E258" s="114">
        <f>B258*(1/2*1.38E-23*300)</f>
        <v>0.43125000000000002</v>
      </c>
      <c r="F258" s="1" t="s">
        <v>9</v>
      </c>
      <c r="G258" s="10" t="s">
        <v>37</v>
      </c>
      <c r="H258" s="109">
        <f>B258*2/(6.02*10^23)</f>
        <v>6.9213732004429695E-4</v>
      </c>
      <c r="I258" s="426" t="s">
        <v>7</v>
      </c>
      <c r="J258" s="10" t="s">
        <v>37</v>
      </c>
      <c r="K258" s="832">
        <f>B258*2/(6.02*10^23)/1000*365*24*60*60</f>
        <v>21.827242524916947</v>
      </c>
      <c r="L258" s="112" t="s">
        <v>75</v>
      </c>
      <c r="R258" s="27"/>
      <c r="S258" s="136"/>
      <c r="T258" s="26"/>
      <c r="U258" s="45"/>
      <c r="V258" s="26"/>
      <c r="W258" s="26"/>
      <c r="X258" s="26"/>
      <c r="Y258" s="26"/>
      <c r="Z258" s="26"/>
      <c r="AA258" s="26"/>
      <c r="AB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</row>
    <row r="259" spans="1:64" x14ac:dyDescent="0.35">
      <c r="A259" s="230" t="s">
        <v>789</v>
      </c>
      <c r="B259" s="606">
        <f>B37</f>
        <v>2.0833333333333334E+20</v>
      </c>
      <c r="C259" s="1"/>
      <c r="D259" s="10"/>
      <c r="E259" s="580">
        <f>B259*(1/2*1.38E-23*300)</f>
        <v>0.43125000000000002</v>
      </c>
      <c r="F259" s="1"/>
      <c r="G259" s="10"/>
      <c r="H259" s="609">
        <f>B259*2/(6.02*10^23)</f>
        <v>6.9213732004429695E-4</v>
      </c>
      <c r="I259" s="426"/>
      <c r="J259" s="10"/>
      <c r="K259" s="832">
        <f>B259*2/(6.02*10^23)/1000*365*24*60*60</f>
        <v>21.827242524916947</v>
      </c>
      <c r="L259" s="1"/>
      <c r="M259" s="1137"/>
      <c r="N259" s="395">
        <f>-'[3]динамика трития в инжекторах'!$F$6*2/(6.02*10^23)/1000*365*24*60*60</f>
        <v>0</v>
      </c>
      <c r="O259" s="85" t="s">
        <v>131</v>
      </c>
      <c r="P259" s="25" t="s">
        <v>812</v>
      </c>
      <c r="R259" s="27"/>
      <c r="S259" s="136"/>
      <c r="T259" s="26"/>
      <c r="U259" s="45"/>
      <c r="V259" s="26"/>
      <c r="W259" s="26"/>
      <c r="X259" s="26"/>
      <c r="Y259" s="26"/>
      <c r="Z259" s="26"/>
      <c r="AA259" s="26"/>
      <c r="AB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</row>
    <row r="260" spans="1:64" x14ac:dyDescent="0.35">
      <c r="B260" s="209">
        <f>B38</f>
        <v>4.1666666666666669E+20</v>
      </c>
      <c r="C260" s="645"/>
      <c r="D260" s="646"/>
      <c r="E260" s="431">
        <f>B260*(1/2*1.38E-23*300)</f>
        <v>0.86250000000000004</v>
      </c>
      <c r="F260" s="645"/>
      <c r="G260" s="646"/>
      <c r="H260" s="209">
        <f>B260*2/(6.02*10^23)</f>
        <v>1.3842746400885939E-3</v>
      </c>
      <c r="I260" s="426"/>
      <c r="J260" s="92"/>
      <c r="K260" s="462">
        <f>B260*2/(6.02*10^23)/1000*365*24*60*60</f>
        <v>43.654485049833895</v>
      </c>
      <c r="L260" s="318"/>
      <c r="M260" s="1137"/>
      <c r="N260" s="481"/>
      <c r="R260" s="27"/>
      <c r="S260" s="136"/>
      <c r="T260" s="26"/>
      <c r="U260" s="45"/>
      <c r="V260" s="26"/>
      <c r="W260" s="26"/>
      <c r="X260" s="26"/>
      <c r="Y260" s="26"/>
      <c r="Z260" s="26"/>
      <c r="AA260" s="26"/>
      <c r="AB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</row>
    <row r="261" spans="1:64" x14ac:dyDescent="0.35">
      <c r="A261" s="208" t="s">
        <v>791</v>
      </c>
      <c r="L261" s="1136"/>
      <c r="M261" s="1137"/>
      <c r="N261" s="157"/>
      <c r="O261" s="26"/>
      <c r="P261" s="26"/>
      <c r="R261" s="27"/>
      <c r="S261" s="136"/>
      <c r="T261" s="26"/>
      <c r="U261" s="45"/>
      <c r="V261" s="26"/>
      <c r="W261" s="26"/>
      <c r="X261" s="26"/>
      <c r="Y261" s="26"/>
      <c r="Z261" s="26"/>
      <c r="AA261" s="26"/>
      <c r="AB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</row>
    <row r="262" spans="1:64" x14ac:dyDescent="0.35">
      <c r="A262" s="11" t="s">
        <v>691</v>
      </c>
      <c r="B262" s="737">
        <v>0</v>
      </c>
      <c r="C262" s="645" t="s">
        <v>14</v>
      </c>
      <c r="D262" s="646" t="s">
        <v>37</v>
      </c>
      <c r="E262" s="737">
        <v>0</v>
      </c>
      <c r="F262" s="112" t="s">
        <v>75</v>
      </c>
      <c r="G262" s="94" t="s">
        <v>132</v>
      </c>
      <c r="H262" s="85" t="s">
        <v>377</v>
      </c>
      <c r="R262" s="27"/>
      <c r="S262" s="136"/>
      <c r="T262" s="26"/>
      <c r="U262" s="45"/>
      <c r="V262" s="26"/>
      <c r="W262" s="26"/>
      <c r="X262" s="26"/>
      <c r="Y262" s="26"/>
      <c r="Z262" s="26"/>
      <c r="AA262" s="26"/>
      <c r="AB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</row>
    <row r="263" spans="1:64" x14ac:dyDescent="0.35">
      <c r="A263" s="508" t="s">
        <v>782</v>
      </c>
      <c r="B263" s="606">
        <f>B267-B220</f>
        <v>0</v>
      </c>
      <c r="C263" s="1"/>
      <c r="D263" s="10"/>
      <c r="E263" s="616">
        <f>B263*2/(6.02*10^23)/1000*365*24*60*60</f>
        <v>0</v>
      </c>
      <c r="G263" s="12"/>
      <c r="H263" s="1180">
        <f>B37*(1+(1-'параметры для расчета'!C39)/'параметры для расчета'!C39)-B220</f>
        <v>1.3888888888888898E+20</v>
      </c>
      <c r="R263" s="27"/>
      <c r="S263" s="136"/>
      <c r="T263" s="26"/>
      <c r="U263" s="45"/>
      <c r="V263" s="26"/>
      <c r="W263" s="26"/>
      <c r="X263" s="26"/>
      <c r="Y263" s="26"/>
      <c r="Z263" s="26"/>
      <c r="AA263" s="26"/>
      <c r="AB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</row>
    <row r="264" spans="1:64" x14ac:dyDescent="0.35">
      <c r="A264" s="1233" t="s">
        <v>809</v>
      </c>
      <c r="B264" s="209">
        <f>B270-B221</f>
        <v>-4.5578669047944983E+20</v>
      </c>
      <c r="C264" s="1"/>
      <c r="D264" s="10"/>
      <c r="E264" s="307">
        <f>B264*2/(6.02*10^23)/1000*365*24*60*60</f>
        <v>-47.753119837076191</v>
      </c>
      <c r="H264" s="1180">
        <f>B38-(B58-(-'[3]динамика трития в инжекторах'!F6)/B41)*B41-B221</f>
        <v>-4.5578669047944983E+20</v>
      </c>
      <c r="R264" s="27"/>
      <c r="S264" s="136"/>
      <c r="T264" s="26"/>
      <c r="U264" s="45"/>
      <c r="V264" s="26"/>
      <c r="W264" s="26"/>
      <c r="X264" s="26"/>
      <c r="Y264" s="26"/>
      <c r="Z264" s="26"/>
      <c r="AA264" s="26"/>
      <c r="AB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</row>
    <row r="265" spans="1:64" x14ac:dyDescent="0.35">
      <c r="A265" s="48"/>
      <c r="K265" s="747"/>
      <c r="M265" s="530"/>
      <c r="N265" s="742"/>
      <c r="O265" s="268"/>
      <c r="P265" s="19"/>
      <c r="R265" s="27"/>
      <c r="S265" s="136"/>
      <c r="T265" s="26"/>
      <c r="U265" s="45"/>
      <c r="V265" s="26"/>
      <c r="W265" s="26"/>
      <c r="X265" s="26"/>
      <c r="Y265" s="26"/>
      <c r="Z265" s="26"/>
      <c r="AA265" s="26"/>
      <c r="AB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</row>
    <row r="266" spans="1:64" x14ac:dyDescent="0.35">
      <c r="A266" s="1255" t="s">
        <v>832</v>
      </c>
      <c r="B266" s="606">
        <v>0</v>
      </c>
      <c r="C266" s="1" t="s">
        <v>14</v>
      </c>
      <c r="D266" s="10" t="s">
        <v>37</v>
      </c>
      <c r="E266" s="616">
        <f>B266*2/(6.02*10^23)/1000*365*24*60*60</f>
        <v>0</v>
      </c>
      <c r="F266" s="112" t="s">
        <v>75</v>
      </c>
      <c r="G266" s="42"/>
      <c r="H266" s="697"/>
      <c r="I266" s="696"/>
      <c r="K266" s="434"/>
      <c r="L266" s="1139"/>
      <c r="N266" s="379"/>
      <c r="P266" s="14"/>
      <c r="R266" s="27"/>
      <c r="S266" s="136"/>
      <c r="T266" s="26"/>
      <c r="U266" s="45"/>
      <c r="V266" s="26"/>
      <c r="W266" s="26"/>
      <c r="X266" s="26"/>
      <c r="Y266" s="26"/>
      <c r="Z266" s="26"/>
      <c r="AA266" s="26"/>
      <c r="AB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</row>
    <row r="267" spans="1:64" x14ac:dyDescent="0.35">
      <c r="A267" s="738" t="s">
        <v>706</v>
      </c>
      <c r="B267" s="606">
        <f>B259+B266</f>
        <v>2.0833333333333334E+20</v>
      </c>
      <c r="C267" s="1" t="s">
        <v>14</v>
      </c>
      <c r="D267" s="10" t="s">
        <v>37</v>
      </c>
      <c r="E267" s="1224">
        <f>B267*2/(6.02*10^23)/1000*365*24*60*60</f>
        <v>21.827242524916947</v>
      </c>
      <c r="F267" s="112" t="s">
        <v>75</v>
      </c>
      <c r="G267" s="296" t="s">
        <v>11</v>
      </c>
      <c r="H267" s="1223" t="s">
        <v>379</v>
      </c>
      <c r="K267" s="434"/>
      <c r="L267" s="403"/>
      <c r="P267" s="14"/>
      <c r="R267" s="27"/>
      <c r="S267" s="136"/>
      <c r="T267" s="26"/>
      <c r="U267" s="45"/>
      <c r="V267" s="26"/>
      <c r="W267" s="26"/>
      <c r="X267" s="26"/>
      <c r="Y267" s="26"/>
      <c r="Z267" s="26"/>
      <c r="AA267" s="26"/>
      <c r="AB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</row>
    <row r="268" spans="1:64" x14ac:dyDescent="0.35">
      <c r="A268" s="168"/>
      <c r="B268" s="10"/>
      <c r="C268" s="1"/>
      <c r="D268" s="1"/>
      <c r="E268" s="401"/>
      <c r="F268" s="1"/>
      <c r="H268" s="744"/>
      <c r="I268" s="483"/>
      <c r="J268" s="744"/>
      <c r="K268" s="744"/>
      <c r="L268" s="1138"/>
      <c r="N268" s="91" t="s">
        <v>309</v>
      </c>
      <c r="O268" s="95"/>
      <c r="R268" s="27"/>
      <c r="S268" s="136"/>
      <c r="T268" s="26"/>
      <c r="U268" s="45"/>
      <c r="V268" s="26"/>
      <c r="W268" s="26"/>
      <c r="X268" s="26"/>
      <c r="Y268" s="26"/>
      <c r="Z268" s="26"/>
      <c r="AA268" s="26"/>
      <c r="AB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</row>
    <row r="269" spans="1:64" x14ac:dyDescent="0.35">
      <c r="A269" s="11" t="s">
        <v>378</v>
      </c>
      <c r="B269" s="209">
        <f>(B58-(-'[3]динамика трития в инжекторах'!F6)/B41)*B41</f>
        <v>1.4222222222222225E+20</v>
      </c>
      <c r="C269" s="1" t="s">
        <v>14</v>
      </c>
      <c r="D269" s="10" t="s">
        <v>37</v>
      </c>
      <c r="E269" s="307">
        <f>B269*2/(6.02*10^23)/1000*365*24*60*60</f>
        <v>14.900730897009971</v>
      </c>
      <c r="F269" s="112" t="s">
        <v>75</v>
      </c>
      <c r="G269" s="12" t="s">
        <v>132</v>
      </c>
      <c r="H269" s="379" t="s">
        <v>780</v>
      </c>
      <c r="J269" s="94"/>
      <c r="L269" s="803"/>
      <c r="M269" s="1180"/>
      <c r="N269" s="91" t="s">
        <v>707</v>
      </c>
      <c r="O269" s="294"/>
      <c r="R269" s="27"/>
      <c r="S269" s="136"/>
      <c r="T269" s="26"/>
      <c r="U269" s="45"/>
      <c r="V269" s="26"/>
      <c r="W269" s="26"/>
      <c r="X269" s="26"/>
      <c r="Y269" s="26"/>
      <c r="Z269" s="26"/>
      <c r="AA269" s="26"/>
      <c r="AB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</row>
    <row r="270" spans="1:64" x14ac:dyDescent="0.35">
      <c r="A270" s="738" t="s">
        <v>705</v>
      </c>
      <c r="B270" s="209">
        <f>B260-B269</f>
        <v>2.7444444444444446E+20</v>
      </c>
      <c r="C270" s="1" t="s">
        <v>14</v>
      </c>
      <c r="D270" s="10" t="s">
        <v>37</v>
      </c>
      <c r="E270" s="524">
        <f>B270*2/(6.02*10^23)/1000*365*24*60*60</f>
        <v>28.753754152823927</v>
      </c>
      <c r="F270" s="112" t="s">
        <v>75</v>
      </c>
      <c r="G270" s="296" t="s">
        <v>11</v>
      </c>
      <c r="H270" s="25" t="s">
        <v>380</v>
      </c>
      <c r="J270" s="94"/>
      <c r="K270" s="311"/>
      <c r="L270" s="117"/>
      <c r="M270" s="1180"/>
      <c r="N270" s="91" t="s">
        <v>708</v>
      </c>
      <c r="O270" s="396"/>
      <c r="R270" s="27"/>
      <c r="S270" s="136"/>
      <c r="T270" s="26"/>
      <c r="U270" s="45"/>
      <c r="V270" s="26"/>
      <c r="W270" s="26"/>
      <c r="X270" s="26"/>
      <c r="Y270" s="26"/>
      <c r="Z270" s="26"/>
      <c r="AA270" s="26"/>
      <c r="AB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</row>
    <row r="271" spans="1:64" x14ac:dyDescent="0.35">
      <c r="I271" s="529"/>
      <c r="K271" s="434"/>
      <c r="N271" s="379" t="s">
        <v>779</v>
      </c>
      <c r="O271" s="19"/>
      <c r="P271" s="19"/>
      <c r="R271" s="27"/>
      <c r="S271" s="136"/>
      <c r="T271" s="26"/>
      <c r="U271" s="45"/>
      <c r="V271" s="26"/>
      <c r="W271" s="26"/>
      <c r="X271" s="26"/>
      <c r="Y271" s="26"/>
      <c r="Z271" s="26"/>
      <c r="AA271" s="26"/>
      <c r="AB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</row>
    <row r="272" spans="1:64" x14ac:dyDescent="0.35">
      <c r="B272" s="97" t="s">
        <v>366</v>
      </c>
      <c r="C272" s="344" t="s">
        <v>342</v>
      </c>
      <c r="D272" s="1016"/>
      <c r="E272" s="159"/>
      <c r="F272" s="26"/>
      <c r="G272" s="1016"/>
      <c r="H272" s="147"/>
      <c r="I272" s="136"/>
      <c r="J272" s="26"/>
      <c r="K272" s="26"/>
      <c r="L272" s="96"/>
      <c r="Q272" s="379"/>
      <c r="R272" s="14"/>
      <c r="S272" s="410"/>
    </row>
    <row r="273" spans="1:64" x14ac:dyDescent="0.35">
      <c r="A273" s="1" t="s">
        <v>336</v>
      </c>
      <c r="K273" s="410"/>
      <c r="L273" s="199"/>
      <c r="N273" s="13"/>
      <c r="Q273" s="379"/>
      <c r="R273" s="14"/>
      <c r="S273" s="410"/>
    </row>
    <row r="274" spans="1:64" x14ac:dyDescent="0.35">
      <c r="A274" s="120" t="s">
        <v>134</v>
      </c>
      <c r="B274" s="68">
        <f>B275*365*24*60*60</f>
        <v>3.7164926806624722E+23</v>
      </c>
      <c r="C274" s="13" t="s">
        <v>147</v>
      </c>
      <c r="D274" s="1070" t="s">
        <v>37</v>
      </c>
      <c r="E274" s="68">
        <f>B274*(1/2*1.38E-23*300)</f>
        <v>769.31398489713183</v>
      </c>
      <c r="F274" s="13" t="s">
        <v>148</v>
      </c>
      <c r="G274" s="1070" t="s">
        <v>37</v>
      </c>
      <c r="H274" s="266">
        <f>B274*2/(6.02*10^23)</f>
        <v>1.2347151762998247</v>
      </c>
      <c r="I274" s="199" t="s">
        <v>149</v>
      </c>
      <c r="J274" s="1070" t="s">
        <v>8</v>
      </c>
      <c r="K274" s="170">
        <f>H274/1000</f>
        <v>1.2347151762998247E-3</v>
      </c>
      <c r="L274" s="2" t="s">
        <v>75</v>
      </c>
      <c r="M274" s="1" t="s">
        <v>339</v>
      </c>
      <c r="N274" s="13"/>
      <c r="Q274" s="379"/>
      <c r="R274" s="14"/>
      <c r="S274" s="410"/>
    </row>
    <row r="275" spans="1:64" ht="15" customHeight="1" x14ac:dyDescent="0.35">
      <c r="A275" s="120" t="s">
        <v>73</v>
      </c>
      <c r="B275" s="68">
        <f>B9*0.1%</f>
        <v>1.1784920981299064E+16</v>
      </c>
      <c r="C275" s="13" t="s">
        <v>14</v>
      </c>
      <c r="D275" s="1070" t="s">
        <v>37</v>
      </c>
      <c r="E275" s="68">
        <f>B275*(1/2*1.38E-23*300)</f>
        <v>2.4394786431289062E-5</v>
      </c>
      <c r="F275" s="13" t="s">
        <v>9</v>
      </c>
      <c r="G275" s="1070" t="s">
        <v>37</v>
      </c>
      <c r="H275" s="77">
        <f>B275*2/(6.02*10^23)</f>
        <v>3.915256139966467E-8</v>
      </c>
      <c r="I275" s="36" t="s">
        <v>7</v>
      </c>
      <c r="K275" s="434">
        <f>(H275)/1000*365*24*60*60</f>
        <v>1.2347151762998252E-3</v>
      </c>
      <c r="M275" s="1" t="s">
        <v>343</v>
      </c>
      <c r="Q275" s="379"/>
      <c r="R275" s="14"/>
      <c r="S275" s="410"/>
    </row>
    <row r="277" spans="1:64" x14ac:dyDescent="0.35">
      <c r="B277" s="168"/>
      <c r="H277" s="1225"/>
      <c r="I277" s="696"/>
      <c r="J277" s="1185"/>
      <c r="K277" s="696"/>
      <c r="L277" s="248"/>
      <c r="M277" s="563"/>
      <c r="Q277" s="379"/>
      <c r="R277" s="14"/>
      <c r="S277" s="410"/>
    </row>
    <row r="278" spans="1:64" x14ac:dyDescent="0.35">
      <c r="C278" s="1"/>
      <c r="H278" s="697"/>
      <c r="I278" s="696"/>
      <c r="J278" s="1226"/>
      <c r="K278" s="1185"/>
      <c r="L278" s="248"/>
      <c r="M278" s="74"/>
      <c r="Q278" s="379"/>
      <c r="R278" s="14"/>
      <c r="S278" s="410"/>
    </row>
    <row r="279" spans="1:64" x14ac:dyDescent="0.35">
      <c r="A279" s="1"/>
      <c r="C279" s="1"/>
      <c r="H279" s="697"/>
      <c r="I279" s="696"/>
      <c r="J279" s="1226"/>
      <c r="K279" s="696"/>
      <c r="L279" s="248"/>
      <c r="M279" s="74"/>
      <c r="Q279" s="379"/>
      <c r="R279" s="14"/>
      <c r="S279" s="410"/>
    </row>
    <row r="280" spans="1:64" x14ac:dyDescent="0.35">
      <c r="A280" s="11"/>
      <c r="C280" s="1"/>
      <c r="H280" s="697"/>
      <c r="I280" s="696"/>
      <c r="J280" s="1226"/>
      <c r="K280" s="696"/>
      <c r="L280" s="126"/>
      <c r="M280" s="26"/>
      <c r="N280" s="148"/>
      <c r="Q280" s="379"/>
      <c r="R280" s="14"/>
      <c r="S280" s="410"/>
    </row>
    <row r="281" spans="1:64" x14ac:dyDescent="0.35">
      <c r="H281" s="1227"/>
      <c r="I281" s="1227"/>
      <c r="J281" s="696"/>
      <c r="K281" s="1228"/>
      <c r="L281" s="248"/>
      <c r="M281" s="230"/>
      <c r="N281" s="434"/>
      <c r="O281" s="423"/>
      <c r="P281" s="308"/>
      <c r="Q281" s="379"/>
      <c r="R281" s="14"/>
      <c r="S281" s="410"/>
    </row>
    <row r="282" spans="1:64" x14ac:dyDescent="0.35">
      <c r="A282" s="508"/>
      <c r="B282" s="362"/>
      <c r="C282" s="308"/>
      <c r="D282" s="280"/>
      <c r="E282" s="491"/>
      <c r="F282" s="308"/>
      <c r="G282" s="280"/>
      <c r="H282" s="362"/>
      <c r="I282" s="248"/>
      <c r="J282" s="280"/>
      <c r="K282" s="844"/>
      <c r="L282" s="248"/>
      <c r="M282" s="833"/>
      <c r="N282" s="434"/>
      <c r="O282" s="434"/>
      <c r="P282" s="25"/>
      <c r="Q282" s="28"/>
      <c r="R282" s="105"/>
      <c r="S282" s="136"/>
      <c r="T282" s="26"/>
      <c r="U282" s="45"/>
      <c r="V282" s="95"/>
      <c r="W282" s="1016"/>
      <c r="X282" s="26"/>
      <c r="Y282" s="1016"/>
      <c r="Z282" s="435"/>
      <c r="AA282" s="26"/>
      <c r="AB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</row>
    <row r="283" spans="1:64" x14ac:dyDescent="0.35">
      <c r="A283" s="74"/>
      <c r="B283" s="362"/>
      <c r="C283" s="842"/>
      <c r="D283" s="497"/>
      <c r="E283" s="491"/>
      <c r="F283" s="842"/>
      <c r="G283" s="497"/>
      <c r="H283" s="362"/>
      <c r="I283" s="845"/>
      <c r="J283" s="497"/>
      <c r="K283" s="844"/>
      <c r="L283" s="248"/>
      <c r="M283" s="833"/>
      <c r="N283" s="434"/>
      <c r="O283" s="434"/>
      <c r="P283" s="308"/>
      <c r="Q283" s="28"/>
      <c r="R283" s="105"/>
      <c r="S283" s="136"/>
      <c r="T283" s="26"/>
      <c r="U283" s="45"/>
      <c r="V283" s="95"/>
      <c r="W283" s="1016"/>
      <c r="X283" s="26"/>
      <c r="Y283" s="1016"/>
      <c r="Z283" s="435"/>
      <c r="AA283" s="26"/>
      <c r="AB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</row>
    <row r="284" spans="1:64" x14ac:dyDescent="0.35">
      <c r="A284" s="90"/>
      <c r="G284" s="37"/>
      <c r="H284" s="13"/>
      <c r="J284" s="94"/>
      <c r="K284" s="311"/>
      <c r="M284" s="632"/>
      <c r="N284" s="13"/>
      <c r="O284" s="396"/>
      <c r="P284" s="450"/>
      <c r="Q284" s="28"/>
      <c r="R284" s="105"/>
      <c r="S284" s="136"/>
      <c r="T284" s="26"/>
      <c r="U284" s="45"/>
      <c r="V284" s="95"/>
      <c r="W284" s="1016"/>
      <c r="X284" s="26"/>
      <c r="Y284" s="1016"/>
      <c r="Z284" s="435"/>
      <c r="AA284" s="26"/>
      <c r="AB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 spans="1:64" x14ac:dyDescent="0.35">
      <c r="G285" s="25"/>
      <c r="H285" s="38"/>
      <c r="M285" s="632"/>
      <c r="N285" s="13"/>
      <c r="O285" s="95"/>
      <c r="P285" s="335"/>
      <c r="R285" s="105"/>
      <c r="S285" s="136"/>
      <c r="T285" s="26"/>
      <c r="U285" s="45"/>
      <c r="V285" s="95"/>
      <c r="W285" s="26"/>
      <c r="X285" s="26"/>
      <c r="Y285" s="26"/>
      <c r="Z285" s="26"/>
      <c r="AA285" s="26"/>
      <c r="AB285" s="26"/>
      <c r="AK285" s="32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</row>
    <row r="286" spans="1:64" x14ac:dyDescent="0.35">
      <c r="B286" s="63"/>
      <c r="E286" s="13"/>
      <c r="H286" s="13"/>
      <c r="N286" s="25"/>
      <c r="R286" s="10"/>
    </row>
    <row r="287" spans="1:64" x14ac:dyDescent="0.35">
      <c r="A287" s="95" t="s">
        <v>367</v>
      </c>
      <c r="C287" s="27"/>
      <c r="D287" s="28"/>
      <c r="E287" s="44"/>
      <c r="N287" s="25"/>
      <c r="R287" s="10"/>
    </row>
    <row r="288" spans="1:64" x14ac:dyDescent="0.35">
      <c r="A288" s="29" t="s">
        <v>678</v>
      </c>
      <c r="B288" s="109">
        <f>B61*B41</f>
        <v>2.3122294685990335E+22</v>
      </c>
      <c r="C288" s="1" t="s">
        <v>14</v>
      </c>
      <c r="D288" s="10" t="s">
        <v>37</v>
      </c>
      <c r="E288" s="114">
        <f t="shared" ref="E288:E299" si="9">B288*(1/2*1.38E-23*300)</f>
        <v>47.863149999999997</v>
      </c>
      <c r="F288" s="1" t="s">
        <v>9</v>
      </c>
      <c r="G288" s="10" t="s">
        <v>37</v>
      </c>
      <c r="H288" s="109">
        <f t="shared" ref="H288:H316" si="10">B288*2/(6.02*10^23)</f>
        <v>7.6818254770732022E-2</v>
      </c>
      <c r="I288" s="36" t="s">
        <v>7</v>
      </c>
      <c r="J288" s="1070" t="s">
        <v>37</v>
      </c>
      <c r="K288" s="99">
        <f>H288</f>
        <v>7.6818254770732022E-2</v>
      </c>
      <c r="L288" s="379" t="s">
        <v>7</v>
      </c>
      <c r="M288" s="94"/>
      <c r="N288" s="25"/>
      <c r="R288" s="10"/>
    </row>
    <row r="289" spans="1:28" x14ac:dyDescent="0.35">
      <c r="A289" s="29"/>
      <c r="B289" s="606">
        <f>B62*B41</f>
        <v>2.3122294685990335E+22</v>
      </c>
      <c r="C289" s="1"/>
      <c r="D289" s="10"/>
      <c r="E289" s="580">
        <f t="shared" si="9"/>
        <v>47.863149999999997</v>
      </c>
      <c r="F289" s="1"/>
      <c r="G289" s="10"/>
      <c r="H289" s="606">
        <f>B289*2/(6.02*10^23)</f>
        <v>7.6818254770732022E-2</v>
      </c>
      <c r="I289" s="36"/>
      <c r="J289" s="1070"/>
      <c r="K289" s="559">
        <f>H289</f>
        <v>7.6818254770732022E-2</v>
      </c>
      <c r="L289" s="379"/>
      <c r="M289" s="94"/>
      <c r="N289" s="25"/>
      <c r="R289" s="10"/>
    </row>
    <row r="290" spans="1:28" x14ac:dyDescent="0.35">
      <c r="B290" s="209">
        <f>B63*B41</f>
        <v>4.6102367149758444E+22</v>
      </c>
      <c r="C290" s="1"/>
      <c r="D290" s="10"/>
      <c r="E290" s="431">
        <f t="shared" si="9"/>
        <v>95.431899999999985</v>
      </c>
      <c r="F290" s="1"/>
      <c r="G290" s="10"/>
      <c r="H290" s="209">
        <f t="shared" si="10"/>
        <v>0.15316401046431377</v>
      </c>
      <c r="I290" s="436"/>
      <c r="J290" s="1070"/>
      <c r="K290" s="462">
        <f t="shared" ref="K290:K303" si="11">H290</f>
        <v>0.15316401046431377</v>
      </c>
      <c r="L290" s="379"/>
      <c r="M290" s="94"/>
      <c r="N290" s="25"/>
      <c r="Q290" s="91"/>
      <c r="R290" s="1"/>
      <c r="T290" s="1071"/>
      <c r="U290" s="1070"/>
      <c r="V290" s="436"/>
      <c r="W290" s="1071"/>
      <c r="X290" s="1070"/>
      <c r="Y290" s="436"/>
    </row>
    <row r="291" spans="1:28" x14ac:dyDescent="0.35">
      <c r="A291" s="29" t="s">
        <v>679</v>
      </c>
      <c r="B291" s="109">
        <f>B202-B219</f>
        <v>7.7444023696546962E+21</v>
      </c>
      <c r="C291" s="1" t="s">
        <v>14</v>
      </c>
      <c r="D291" s="10" t="s">
        <v>37</v>
      </c>
      <c r="E291" s="114">
        <f t="shared" si="9"/>
        <v>16.030912905185222</v>
      </c>
      <c r="F291" s="1" t="s">
        <v>9</v>
      </c>
      <c r="G291" s="10" t="s">
        <v>37</v>
      </c>
      <c r="H291" s="109">
        <f t="shared" si="10"/>
        <v>2.5728911527092016E-2</v>
      </c>
      <c r="I291" s="36" t="s">
        <v>7</v>
      </c>
      <c r="J291" s="1070" t="s">
        <v>37</v>
      </c>
      <c r="K291" s="462">
        <f t="shared" si="11"/>
        <v>2.5728911527092016E-2</v>
      </c>
      <c r="L291" s="379" t="s">
        <v>7</v>
      </c>
      <c r="M291" s="94"/>
      <c r="N291" s="25"/>
      <c r="Q291" s="91"/>
      <c r="R291" s="1"/>
    </row>
    <row r="292" spans="1:28" x14ac:dyDescent="0.35">
      <c r="A292" s="29"/>
      <c r="B292" s="606">
        <f>B203-B220</f>
        <v>7.7444023696546962E+21</v>
      </c>
      <c r="C292" s="1"/>
      <c r="D292" s="10"/>
      <c r="E292" s="580">
        <f t="shared" si="9"/>
        <v>16.030912905185222</v>
      </c>
      <c r="F292" s="1"/>
      <c r="G292" s="10"/>
      <c r="H292" s="606">
        <f>B292*2/(6.02*10^23)</f>
        <v>2.5728911527092016E-2</v>
      </c>
      <c r="I292" s="36"/>
      <c r="J292" s="1070"/>
      <c r="K292" s="462">
        <f t="shared" si="11"/>
        <v>2.5728911527092016E-2</v>
      </c>
      <c r="L292" s="379"/>
      <c r="M292" s="94"/>
      <c r="N292" s="25"/>
      <c r="Q292" s="91"/>
      <c r="R292" s="1"/>
    </row>
    <row r="293" spans="1:28" x14ac:dyDescent="0.35">
      <c r="B293" s="209">
        <f>B204-B221</f>
        <v>7.3792868021927485E+21</v>
      </c>
      <c r="C293" s="643"/>
      <c r="D293" s="644"/>
      <c r="E293" s="431">
        <f t="shared" si="9"/>
        <v>15.275123680538989</v>
      </c>
      <c r="F293" s="643"/>
      <c r="G293" s="644"/>
      <c r="H293" s="431">
        <f t="shared" si="10"/>
        <v>2.4515902997318106E-2</v>
      </c>
      <c r="I293" s="436"/>
      <c r="J293" s="1070"/>
      <c r="K293" s="462">
        <f t="shared" si="11"/>
        <v>2.4515902997318106E-2</v>
      </c>
      <c r="L293" s="379"/>
      <c r="M293" s="94"/>
      <c r="N293" s="25"/>
      <c r="Z293" s="59"/>
      <c r="AA293" s="59"/>
      <c r="AB293" s="59"/>
    </row>
    <row r="294" spans="1:28" x14ac:dyDescent="0.35">
      <c r="A294" s="29" t="s">
        <v>680</v>
      </c>
      <c r="B294" s="109">
        <f>B117</f>
        <v>6.5518028411816756E+21</v>
      </c>
      <c r="C294" s="1" t="s">
        <v>14</v>
      </c>
      <c r="D294" s="10" t="s">
        <v>37</v>
      </c>
      <c r="E294" s="114">
        <f t="shared" si="9"/>
        <v>13.562231881246069</v>
      </c>
      <c r="F294" s="1" t="s">
        <v>9</v>
      </c>
      <c r="G294" s="10" t="s">
        <v>37</v>
      </c>
      <c r="H294" s="109">
        <f t="shared" si="10"/>
        <v>2.1766786847779655E-2</v>
      </c>
      <c r="I294" s="36" t="s">
        <v>7</v>
      </c>
      <c r="J294" s="1070" t="s">
        <v>37</v>
      </c>
      <c r="K294" s="462">
        <f t="shared" si="11"/>
        <v>2.1766786847779655E-2</v>
      </c>
      <c r="L294" s="379" t="s">
        <v>7</v>
      </c>
      <c r="M294" s="94"/>
      <c r="N294" s="92"/>
      <c r="Z294" s="59"/>
      <c r="AA294" s="59"/>
      <c r="AB294" s="59"/>
    </row>
    <row r="295" spans="1:28" x14ac:dyDescent="0.35">
      <c r="A295" s="29"/>
      <c r="B295" s="606">
        <f>B118</f>
        <v>6.5518028411816756E+21</v>
      </c>
      <c r="C295" s="1"/>
      <c r="D295" s="10"/>
      <c r="E295" s="580">
        <f t="shared" si="9"/>
        <v>13.562231881246069</v>
      </c>
      <c r="F295" s="1"/>
      <c r="G295" s="10"/>
      <c r="H295" s="606">
        <f>B295*2/(6.02*10^23)</f>
        <v>2.1766786847779655E-2</v>
      </c>
      <c r="I295" s="36"/>
      <c r="J295" s="1070"/>
      <c r="K295" s="462">
        <f t="shared" si="11"/>
        <v>2.1766786847779655E-2</v>
      </c>
      <c r="L295" s="379"/>
      <c r="M295" s="94"/>
      <c r="N295" s="92"/>
      <c r="Z295" s="59"/>
      <c r="AA295" s="59"/>
      <c r="AB295" s="59"/>
    </row>
    <row r="296" spans="1:28" x14ac:dyDescent="0.35">
      <c r="B296" s="209">
        <f>B119</f>
        <v>6.7085850753102911E+21</v>
      </c>
      <c r="C296" s="1"/>
      <c r="D296" s="10"/>
      <c r="E296" s="431">
        <f t="shared" si="9"/>
        <v>13.886771105892302</v>
      </c>
      <c r="F296" s="1"/>
      <c r="G296" s="10"/>
      <c r="H296" s="209">
        <f t="shared" si="10"/>
        <v>2.2287658057509277E-2</v>
      </c>
      <c r="I296" s="436"/>
      <c r="J296" s="1070"/>
      <c r="K296" s="462">
        <f t="shared" si="11"/>
        <v>2.2287658057509277E-2</v>
      </c>
      <c r="L296" s="379"/>
      <c r="M296" s="94"/>
      <c r="N296" s="25"/>
      <c r="Z296" s="59"/>
      <c r="AA296" s="59"/>
      <c r="AB296" s="59"/>
    </row>
    <row r="297" spans="1:28" x14ac:dyDescent="0.35">
      <c r="A297" s="218" t="s">
        <v>681</v>
      </c>
      <c r="B297" s="109">
        <f>B154</f>
        <v>1.4492753623188406E+22</v>
      </c>
      <c r="C297" s="1" t="s">
        <v>14</v>
      </c>
      <c r="D297" s="10" t="s">
        <v>37</v>
      </c>
      <c r="E297" s="114">
        <f t="shared" si="9"/>
        <v>30.000000000000004</v>
      </c>
      <c r="F297" s="1" t="s">
        <v>9</v>
      </c>
      <c r="G297" s="10" t="s">
        <v>37</v>
      </c>
      <c r="H297" s="109">
        <f t="shared" si="10"/>
        <v>4.8148683133516307E-2</v>
      </c>
      <c r="I297" s="436" t="s">
        <v>7</v>
      </c>
      <c r="J297" s="1070" t="s">
        <v>37</v>
      </c>
      <c r="K297" s="462">
        <f t="shared" si="11"/>
        <v>4.8148683133516307E-2</v>
      </c>
      <c r="L297" s="379" t="s">
        <v>7</v>
      </c>
      <c r="M297" s="85"/>
      <c r="N297" s="25"/>
      <c r="Z297" s="98"/>
      <c r="AA297" s="59"/>
      <c r="AB297" s="59"/>
    </row>
    <row r="298" spans="1:28" x14ac:dyDescent="0.35">
      <c r="B298" s="606">
        <f>B155</f>
        <v>1.4492753623188406E+22</v>
      </c>
      <c r="C298" s="1"/>
      <c r="D298" s="10"/>
      <c r="E298" s="580">
        <f t="shared" si="9"/>
        <v>30.000000000000004</v>
      </c>
      <c r="F298" s="1"/>
      <c r="G298" s="10"/>
      <c r="H298" s="606">
        <f>B298*2/(6.02*10^23)</f>
        <v>4.8148683133516307E-2</v>
      </c>
      <c r="I298" s="436"/>
      <c r="J298" s="1070"/>
      <c r="K298" s="462">
        <f t="shared" si="11"/>
        <v>4.8148683133516307E-2</v>
      </c>
      <c r="L298" s="379"/>
      <c r="M298" s="94"/>
      <c r="N298" s="25"/>
      <c r="Z298" s="98"/>
      <c r="AA298" s="59"/>
      <c r="AB298" s="59"/>
    </row>
    <row r="299" spans="1:28" x14ac:dyDescent="0.35">
      <c r="A299" s="295" t="s">
        <v>434</v>
      </c>
      <c r="B299" s="209">
        <f>B156</f>
        <v>1.4492753623188406E+22</v>
      </c>
      <c r="C299" s="1"/>
      <c r="D299" s="10"/>
      <c r="E299" s="431">
        <f t="shared" si="9"/>
        <v>30.000000000000004</v>
      </c>
      <c r="F299" s="1"/>
      <c r="G299" s="10"/>
      <c r="H299" s="209">
        <f t="shared" si="10"/>
        <v>4.8148683133516307E-2</v>
      </c>
      <c r="I299" s="436"/>
      <c r="J299" s="1070"/>
      <c r="K299" s="462">
        <f t="shared" si="11"/>
        <v>4.8148683133516307E-2</v>
      </c>
      <c r="L299" s="379"/>
      <c r="M299" s="94"/>
      <c r="N299" s="25"/>
      <c r="Z299" s="81"/>
      <c r="AA299" s="59"/>
      <c r="AB299" s="59"/>
    </row>
    <row r="300" spans="1:28" x14ac:dyDescent="0.35">
      <c r="A300" s="29"/>
      <c r="B300" s="285"/>
      <c r="C300" s="28"/>
      <c r="D300" s="27"/>
      <c r="E300" s="339"/>
      <c r="F300" s="28"/>
      <c r="G300" s="27"/>
      <c r="H300" s="285"/>
      <c r="I300" s="116"/>
      <c r="J300" s="1016"/>
      <c r="K300" s="404"/>
      <c r="L300" s="379"/>
      <c r="M300" s="279"/>
      <c r="N300" s="25"/>
      <c r="P300" s="25"/>
      <c r="Z300" s="59"/>
      <c r="AA300" s="59"/>
      <c r="AB300" s="59"/>
    </row>
    <row r="301" spans="1:28" x14ac:dyDescent="0.35">
      <c r="A301" s="29" t="s">
        <v>682</v>
      </c>
      <c r="B301" s="109">
        <f>B161</f>
        <v>1.1451896170511648E+22</v>
      </c>
      <c r="C301" s="1" t="s">
        <v>14</v>
      </c>
      <c r="D301" s="10" t="s">
        <v>37</v>
      </c>
      <c r="E301" s="114">
        <f>B301*(1/2*1.38E-23*300)</f>
        <v>23.705425072959112</v>
      </c>
      <c r="F301" s="1" t="s">
        <v>9</v>
      </c>
      <c r="G301" s="10" t="s">
        <v>37</v>
      </c>
      <c r="H301" s="109">
        <f t="shared" si="10"/>
        <v>3.8046166679440697E-2</v>
      </c>
      <c r="I301" s="36" t="s">
        <v>7</v>
      </c>
      <c r="J301" s="1070" t="s">
        <v>37</v>
      </c>
      <c r="K301" s="462">
        <f t="shared" si="11"/>
        <v>3.8046166679440697E-2</v>
      </c>
      <c r="L301" s="379" t="s">
        <v>7</v>
      </c>
      <c r="M301" s="85"/>
      <c r="Q301" s="39"/>
      <c r="R301" s="10"/>
      <c r="V301" s="59"/>
      <c r="W301" s="59"/>
      <c r="X301" s="59"/>
      <c r="Y301" s="59"/>
    </row>
    <row r="302" spans="1:28" x14ac:dyDescent="0.35">
      <c r="A302" s="29"/>
      <c r="B302" s="606">
        <f>B162</f>
        <v>1.1451896170511648E+22</v>
      </c>
      <c r="C302" s="1"/>
      <c r="D302" s="10"/>
      <c r="E302" s="580">
        <f>B302*(1/2*1.38E-23*300)</f>
        <v>23.705425072959112</v>
      </c>
      <c r="F302" s="1"/>
      <c r="G302" s="10"/>
      <c r="H302" s="606">
        <f>B302*2/(6.02*10^23)</f>
        <v>3.8046166679440697E-2</v>
      </c>
      <c r="I302" s="36"/>
      <c r="J302" s="1070"/>
      <c r="K302" s="462">
        <f t="shared" si="11"/>
        <v>3.8046166679440697E-2</v>
      </c>
      <c r="L302" s="379"/>
      <c r="M302" s="94"/>
      <c r="Q302" s="39"/>
      <c r="R302" s="10"/>
      <c r="V302" s="59"/>
      <c r="W302" s="59"/>
      <c r="X302" s="59"/>
      <c r="Y302" s="59"/>
    </row>
    <row r="303" spans="1:28" x14ac:dyDescent="0.35">
      <c r="B303" s="209">
        <f>B163</f>
        <v>1.1451896170511648E+22</v>
      </c>
      <c r="C303" s="1"/>
      <c r="D303" s="10"/>
      <c r="E303" s="431">
        <f>B303*(1/2*1.38E-23*300)</f>
        <v>23.705425072959112</v>
      </c>
      <c r="F303" s="1"/>
      <c r="G303" s="10"/>
      <c r="H303" s="209">
        <f t="shared" si="10"/>
        <v>3.8046166679440697E-2</v>
      </c>
      <c r="I303" s="436"/>
      <c r="J303" s="1070"/>
      <c r="K303" s="462">
        <f t="shared" si="11"/>
        <v>3.8046166679440697E-2</v>
      </c>
      <c r="L303" s="379"/>
      <c r="M303" s="94"/>
      <c r="Q303" s="39"/>
      <c r="R303" s="10"/>
      <c r="V303" s="59"/>
      <c r="W303" s="59"/>
      <c r="X303" s="59"/>
      <c r="Y303" s="59"/>
    </row>
    <row r="304" spans="1:28" x14ac:dyDescent="0.35">
      <c r="A304" s="246" t="s">
        <v>683</v>
      </c>
      <c r="B304" s="68">
        <f>B167</f>
        <v>2.8985507246376815E+21</v>
      </c>
      <c r="D304" s="1070"/>
      <c r="E304" s="667">
        <f>B304*(1/2*1.38E-23*600)</f>
        <v>12.000000000000002</v>
      </c>
      <c r="G304" s="1070"/>
      <c r="H304" s="858">
        <f>B304*3/(6.02*10^23)</f>
        <v>1.4444604940054891E-2</v>
      </c>
      <c r="I304" s="36"/>
      <c r="J304" s="1070"/>
      <c r="K304" s="462"/>
      <c r="L304" s="379"/>
      <c r="M304" s="85" t="s">
        <v>901</v>
      </c>
      <c r="Q304" s="39"/>
      <c r="R304" s="10"/>
      <c r="V304" s="59"/>
      <c r="W304" s="59"/>
      <c r="X304" s="59"/>
      <c r="Y304" s="59"/>
    </row>
    <row r="305" spans="1:33" x14ac:dyDescent="0.35">
      <c r="B305" s="489">
        <f>B168</f>
        <v>2.8985507246376815E+21</v>
      </c>
      <c r="D305" s="1070"/>
      <c r="E305" s="133">
        <f>B305*(1/2*1.38E-23*600)</f>
        <v>12.000000000000002</v>
      </c>
      <c r="G305" s="1070"/>
      <c r="H305" s="582">
        <f>B305*3/(6.02*10^23)</f>
        <v>1.4444604940054891E-2</v>
      </c>
      <c r="I305" s="36"/>
      <c r="J305" s="1070"/>
      <c r="K305" s="462"/>
      <c r="L305" s="379"/>
      <c r="M305" s="94"/>
      <c r="Q305" s="39"/>
      <c r="R305" s="10"/>
      <c r="V305" s="59"/>
      <c r="W305" s="59"/>
      <c r="X305" s="59"/>
      <c r="Y305" s="59"/>
    </row>
    <row r="306" spans="1:33" x14ac:dyDescent="0.35">
      <c r="B306" s="182">
        <f>B169</f>
        <v>2.8985507246376815E+21</v>
      </c>
      <c r="D306" s="1070"/>
      <c r="E306" s="211">
        <f>B306*(1/2*1.38E-23*600)</f>
        <v>12.000000000000002</v>
      </c>
      <c r="G306" s="1070"/>
      <c r="H306" s="184">
        <f>B306*3/(6.02*10^23)</f>
        <v>1.4444604940054891E-2</v>
      </c>
      <c r="I306" s="436"/>
      <c r="J306" s="1070"/>
      <c r="K306" s="462"/>
      <c r="L306" s="379"/>
      <c r="M306" s="94"/>
      <c r="Q306" s="39"/>
      <c r="R306" s="10"/>
      <c r="V306" s="59"/>
      <c r="W306" s="59"/>
      <c r="X306" s="59"/>
      <c r="Y306" s="59"/>
    </row>
    <row r="307" spans="1:33" x14ac:dyDescent="0.35">
      <c r="A307" s="29" t="s">
        <v>684</v>
      </c>
      <c r="B307" s="109">
        <f>B174</f>
        <v>3.7472826086956521E+22</v>
      </c>
      <c r="C307" s="1" t="s">
        <v>14</v>
      </c>
      <c r="D307" s="10" t="s">
        <v>37</v>
      </c>
      <c r="E307" s="114">
        <f t="shared" ref="E307:E318" si="12">B307*(1/2*1.38E-23*300)</f>
        <v>77.568750000000009</v>
      </c>
      <c r="F307" s="1" t="s">
        <v>9</v>
      </c>
      <c r="G307" s="10" t="s">
        <v>37</v>
      </c>
      <c r="H307" s="109">
        <f t="shared" si="10"/>
        <v>0.12449443882709808</v>
      </c>
      <c r="I307" s="36" t="s">
        <v>7</v>
      </c>
      <c r="J307" s="1070" t="s">
        <v>37</v>
      </c>
      <c r="K307" s="462">
        <f t="shared" ref="K307:K316" si="13">H307</f>
        <v>0.12449443882709808</v>
      </c>
      <c r="L307" s="379" t="s">
        <v>7</v>
      </c>
      <c r="M307" s="94"/>
      <c r="R307" s="10"/>
      <c r="V307" s="59"/>
      <c r="W307" s="59"/>
      <c r="X307" s="59"/>
      <c r="Y307" s="59"/>
    </row>
    <row r="308" spans="1:33" x14ac:dyDescent="0.35">
      <c r="A308" s="29"/>
      <c r="B308" s="606">
        <f>B175</f>
        <v>1.4350531400966183E+22</v>
      </c>
      <c r="C308" s="1"/>
      <c r="D308" s="10"/>
      <c r="E308" s="580">
        <f t="shared" si="12"/>
        <v>29.7056</v>
      </c>
      <c r="F308" s="1"/>
      <c r="G308" s="10"/>
      <c r="H308" s="606">
        <f>B308*2/(6.02*10^23)</f>
        <v>4.7676184056366061E-2</v>
      </c>
      <c r="I308" s="36"/>
      <c r="J308" s="1070"/>
      <c r="K308" s="462">
        <f t="shared" si="13"/>
        <v>4.7676184056366061E-2</v>
      </c>
      <c r="L308" s="379"/>
      <c r="M308" s="94"/>
      <c r="R308" s="10"/>
      <c r="V308" s="59"/>
      <c r="W308" s="59"/>
      <c r="X308" s="59"/>
      <c r="Y308" s="59"/>
    </row>
    <row r="309" spans="1:33" x14ac:dyDescent="0.35">
      <c r="B309" s="209">
        <f>B176</f>
        <v>1.4350531400966183E+22</v>
      </c>
      <c r="C309" s="1"/>
      <c r="D309" s="10"/>
      <c r="E309" s="431">
        <f t="shared" si="12"/>
        <v>29.7056</v>
      </c>
      <c r="F309" s="1"/>
      <c r="G309" s="10"/>
      <c r="H309" s="209">
        <f t="shared" si="10"/>
        <v>4.7676184056366061E-2</v>
      </c>
      <c r="I309" s="436"/>
      <c r="J309" s="1070"/>
      <c r="K309" s="462">
        <f t="shared" si="13"/>
        <v>4.7676184056366061E-2</v>
      </c>
      <c r="L309" s="379"/>
      <c r="M309" s="94"/>
      <c r="Q309" s="1070"/>
      <c r="R309" s="284"/>
      <c r="V309" s="59"/>
      <c r="W309" s="98"/>
      <c r="X309" s="59"/>
      <c r="Y309" s="59"/>
    </row>
    <row r="310" spans="1:33" x14ac:dyDescent="0.35">
      <c r="A310" s="29" t="s">
        <v>685</v>
      </c>
      <c r="B310" s="109">
        <f>B181</f>
        <v>7.4945652173913037E+20</v>
      </c>
      <c r="C310" s="1" t="s">
        <v>14</v>
      </c>
      <c r="D310" s="10" t="s">
        <v>37</v>
      </c>
      <c r="E310" s="114">
        <f t="shared" si="12"/>
        <v>1.5513749999999999</v>
      </c>
      <c r="F310" s="1" t="s">
        <v>9</v>
      </c>
      <c r="G310" s="10" t="s">
        <v>37</v>
      </c>
      <c r="H310" s="109">
        <f t="shared" si="10"/>
        <v>2.4898887765419618E-3</v>
      </c>
      <c r="I310" s="36" t="s">
        <v>7</v>
      </c>
      <c r="J310" s="1070" t="s">
        <v>37</v>
      </c>
      <c r="K310" s="462">
        <f t="shared" si="13"/>
        <v>2.4898887765419618E-3</v>
      </c>
      <c r="L310" s="379" t="s">
        <v>7</v>
      </c>
      <c r="M310" s="94"/>
      <c r="R310" s="284"/>
      <c r="V310" s="59"/>
      <c r="W310" s="81"/>
      <c r="X310" s="59"/>
      <c r="Y310" s="59"/>
    </row>
    <row r="311" spans="1:33" x14ac:dyDescent="0.35">
      <c r="A311" s="29"/>
      <c r="B311" s="606">
        <f>B182</f>
        <v>2.8701062801932367E+20</v>
      </c>
      <c r="C311" s="1"/>
      <c r="D311" s="10"/>
      <c r="E311" s="580">
        <f t="shared" si="12"/>
        <v>0.59411199999999997</v>
      </c>
      <c r="F311" s="1"/>
      <c r="G311" s="10"/>
      <c r="H311" s="606">
        <f>B311*2/(6.02*10^23)</f>
        <v>9.5352368112732128E-4</v>
      </c>
      <c r="I311" s="36"/>
      <c r="J311" s="1070"/>
      <c r="K311" s="462">
        <f t="shared" si="13"/>
        <v>9.5352368112732128E-4</v>
      </c>
      <c r="L311" s="379"/>
      <c r="M311" s="94"/>
      <c r="R311" s="284"/>
      <c r="V311" s="59"/>
      <c r="W311" s="81"/>
      <c r="X311" s="59"/>
      <c r="Y311" s="59"/>
    </row>
    <row r="312" spans="1:33" x14ac:dyDescent="0.35">
      <c r="A312" s="29"/>
      <c r="B312" s="209">
        <f>B183</f>
        <v>2.8701062801932367E+20</v>
      </c>
      <c r="C312" s="1"/>
      <c r="D312" s="10"/>
      <c r="E312" s="431">
        <f t="shared" si="12"/>
        <v>0.59411199999999997</v>
      </c>
      <c r="F312" s="1"/>
      <c r="G312" s="10"/>
      <c r="H312" s="209">
        <f t="shared" si="10"/>
        <v>9.5352368112732128E-4</v>
      </c>
      <c r="I312" s="36"/>
      <c r="J312" s="1070"/>
      <c r="K312" s="559">
        <f t="shared" si="13"/>
        <v>9.5352368112732128E-4</v>
      </c>
      <c r="L312" s="379"/>
      <c r="M312" s="94"/>
      <c r="P312" s="25"/>
      <c r="V312" s="59"/>
      <c r="W312" s="59"/>
      <c r="X312" s="59"/>
      <c r="Y312" s="59"/>
    </row>
    <row r="313" spans="1:33" x14ac:dyDescent="0.35">
      <c r="A313" s="725" t="s">
        <v>686</v>
      </c>
      <c r="B313" s="68">
        <f>B202</f>
        <v>7.7444023696546962E+21</v>
      </c>
      <c r="C313" s="1" t="s">
        <v>14</v>
      </c>
      <c r="D313" s="10" t="s">
        <v>37</v>
      </c>
      <c r="E313" s="114">
        <f t="shared" si="12"/>
        <v>16.030912905185222</v>
      </c>
      <c r="F313" s="1" t="s">
        <v>9</v>
      </c>
      <c r="G313" s="10" t="s">
        <v>37</v>
      </c>
      <c r="H313" s="109">
        <f>B313*2/(6.02*10^23)</f>
        <v>2.5728911527092016E-2</v>
      </c>
      <c r="I313" s="36" t="s">
        <v>7</v>
      </c>
      <c r="J313" s="1070" t="s">
        <v>37</v>
      </c>
      <c r="K313" s="462">
        <f>H313</f>
        <v>2.5728911527092016E-2</v>
      </c>
      <c r="L313" s="379" t="s">
        <v>7</v>
      </c>
      <c r="M313" s="94"/>
      <c r="N313" s="264"/>
      <c r="R313" s="284"/>
    </row>
    <row r="314" spans="1:33" x14ac:dyDescent="0.35">
      <c r="B314" s="489">
        <f>B203</f>
        <v>7.9527357029880294E+21</v>
      </c>
      <c r="C314" s="1"/>
      <c r="D314" s="10"/>
      <c r="E314" s="580">
        <f t="shared" si="12"/>
        <v>16.46216290518522</v>
      </c>
      <c r="F314" s="1"/>
      <c r="G314" s="10"/>
      <c r="H314" s="606">
        <f>B314*2/(6.02*10^23)</f>
        <v>2.6421048847136315E-2</v>
      </c>
      <c r="I314" s="36"/>
      <c r="J314" s="1070"/>
      <c r="K314" s="462">
        <f>H314</f>
        <v>2.6421048847136315E-2</v>
      </c>
      <c r="L314" s="379"/>
      <c r="M314" s="94"/>
      <c r="N314" s="264"/>
      <c r="R314" s="284"/>
    </row>
    <row r="315" spans="1:33" x14ac:dyDescent="0.35">
      <c r="B315" s="182">
        <f>B204</f>
        <v>8.1095179371166428E+21</v>
      </c>
      <c r="C315" s="1"/>
      <c r="D315" s="10"/>
      <c r="E315" s="431">
        <f t="shared" si="12"/>
        <v>16.78670212983145</v>
      </c>
      <c r="F315" s="1"/>
      <c r="G315" s="10"/>
      <c r="H315" s="209">
        <f>B315*2/(6.02*10^23)</f>
        <v>2.6941920056865926E-2</v>
      </c>
      <c r="I315" s="436"/>
      <c r="J315" s="1070"/>
      <c r="K315" s="462">
        <f>H315</f>
        <v>2.6941920056865926E-2</v>
      </c>
      <c r="L315" s="379"/>
      <c r="M315" s="94"/>
      <c r="N315" s="264"/>
      <c r="R315" s="284"/>
    </row>
    <row r="316" spans="1:33" x14ac:dyDescent="0.35">
      <c r="A316" s="29" t="s">
        <v>687</v>
      </c>
      <c r="B316" s="109">
        <f>B225</f>
        <v>2.9740208638283127E+22</v>
      </c>
      <c r="C316" s="1" t="s">
        <v>14</v>
      </c>
      <c r="D316" s="10" t="s">
        <v>37</v>
      </c>
      <c r="E316" s="114">
        <f t="shared" si="12"/>
        <v>61.562231881246078</v>
      </c>
      <c r="F316" s="1" t="s">
        <v>9</v>
      </c>
      <c r="G316" s="10" t="s">
        <v>37</v>
      </c>
      <c r="H316" s="109">
        <f t="shared" si="10"/>
        <v>9.8804679861405745E-2</v>
      </c>
      <c r="I316" s="36" t="s">
        <v>7</v>
      </c>
      <c r="J316" s="1070" t="s">
        <v>37</v>
      </c>
      <c r="K316" s="462">
        <f t="shared" si="13"/>
        <v>9.8804679861405745E-2</v>
      </c>
      <c r="L316" s="379" t="s">
        <v>7</v>
      </c>
      <c r="M316" s="94"/>
      <c r="R316" s="284"/>
    </row>
    <row r="317" spans="1:33" s="19" customFormat="1" x14ac:dyDescent="0.35">
      <c r="A317" s="29"/>
      <c r="B317" s="606">
        <f>B226</f>
        <v>6.4095806189594529E+21</v>
      </c>
      <c r="C317" s="1"/>
      <c r="D317" s="112"/>
      <c r="E317" s="580">
        <f t="shared" si="12"/>
        <v>13.267831881246067</v>
      </c>
      <c r="F317" s="1"/>
      <c r="G317" s="10"/>
      <c r="H317" s="606">
        <f>B317*2/(6.02*10^23)</f>
        <v>2.1294287770629413E-2</v>
      </c>
      <c r="J317" s="1070"/>
      <c r="K317" s="462">
        <f>H317</f>
        <v>2.1294287770629413E-2</v>
      </c>
      <c r="L317" s="379"/>
      <c r="M317" s="94"/>
      <c r="N317" s="41"/>
      <c r="O317" s="13"/>
      <c r="P317" s="13"/>
      <c r="Q317" s="13"/>
      <c r="R317" s="36"/>
      <c r="S317" s="436"/>
      <c r="T317" s="13"/>
      <c r="U317" s="34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spans="1:33" s="19" customFormat="1" x14ac:dyDescent="0.35">
      <c r="A318" s="13"/>
      <c r="B318" s="209">
        <f>B227</f>
        <v>6.2527983848308395E+21</v>
      </c>
      <c r="C318" s="112"/>
      <c r="D318" s="10"/>
      <c r="E318" s="431">
        <f t="shared" si="12"/>
        <v>12.943292656599839</v>
      </c>
      <c r="F318" s="1"/>
      <c r="G318" s="10"/>
      <c r="H318" s="209">
        <f>B318*2/(6.02*10^23)</f>
        <v>2.0773416560899802E-2</v>
      </c>
      <c r="I318" s="436"/>
      <c r="J318" s="1070"/>
      <c r="K318" s="462">
        <f>H318</f>
        <v>2.0773416560899802E-2</v>
      </c>
      <c r="L318" s="379"/>
      <c r="M318" s="13"/>
      <c r="N318" s="41"/>
      <c r="O318" s="13"/>
      <c r="P318" s="13"/>
      <c r="Q318" s="13"/>
      <c r="R318" s="410"/>
      <c r="S318" s="436"/>
      <c r="T318" s="13"/>
      <c r="U318" s="34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spans="1:33" s="19" customFormat="1" x14ac:dyDescent="0.35">
      <c r="A319" s="169"/>
      <c r="B319" s="347"/>
      <c r="C319" s="301"/>
      <c r="D319" s="406"/>
      <c r="E319" s="336"/>
      <c r="G319" s="406"/>
      <c r="H319" s="347"/>
      <c r="I319" s="436"/>
      <c r="J319" s="1070"/>
      <c r="K319" s="404"/>
      <c r="L319" s="379"/>
      <c r="M319" s="13"/>
      <c r="N319" s="41"/>
      <c r="O319" s="13"/>
      <c r="P319" s="13"/>
      <c r="Q319" s="13"/>
      <c r="R319" s="410"/>
      <c r="S319" s="436"/>
      <c r="T319" s="13"/>
      <c r="U319" s="34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1:33" s="19" customFormat="1" x14ac:dyDescent="0.35">
      <c r="A320" s="169"/>
      <c r="B320" s="347"/>
      <c r="C320" s="301"/>
      <c r="D320" s="406"/>
      <c r="E320" s="336"/>
      <c r="G320" s="406"/>
      <c r="H320" s="347"/>
      <c r="I320" s="436"/>
      <c r="J320" s="1070"/>
      <c r="K320" s="404"/>
      <c r="L320" s="379"/>
      <c r="M320" s="13"/>
      <c r="N320" s="41"/>
      <c r="O320" s="13"/>
      <c r="P320" s="13"/>
      <c r="Q320" s="13"/>
      <c r="R320" s="410"/>
      <c r="S320" s="436"/>
      <c r="T320" s="13"/>
      <c r="U320" s="34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spans="1:33" s="19" customFormat="1" x14ac:dyDescent="0.35">
      <c r="A321" s="169"/>
      <c r="B321" s="347"/>
      <c r="C321" s="301"/>
      <c r="D321" s="406"/>
      <c r="E321" s="336"/>
      <c r="G321" s="406"/>
      <c r="H321" s="347"/>
      <c r="I321" s="436"/>
      <c r="J321" s="1070"/>
      <c r="K321" s="404"/>
      <c r="L321" s="379"/>
      <c r="M321" s="13"/>
      <c r="N321" s="41"/>
      <c r="O321" s="13"/>
      <c r="P321" s="13"/>
      <c r="Q321" s="13"/>
      <c r="R321" s="410"/>
      <c r="S321" s="436"/>
      <c r="T321" s="13"/>
      <c r="U321" s="34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spans="1:33" s="19" customFormat="1" x14ac:dyDescent="0.35">
      <c r="B322" s="260"/>
      <c r="Q322" s="90"/>
      <c r="R322" s="410"/>
      <c r="S322" s="436"/>
      <c r="T322" s="13"/>
      <c r="U322" s="34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spans="1:33" s="19" customFormat="1" x14ac:dyDescent="0.35">
      <c r="Q323" s="91"/>
      <c r="R323" s="410"/>
      <c r="S323" s="436"/>
      <c r="T323" s="13"/>
      <c r="U323" s="34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spans="1:33" s="19" customFormat="1" x14ac:dyDescent="0.35">
      <c r="Q324" s="26"/>
      <c r="R324" s="284"/>
      <c r="S324" s="436"/>
      <c r="T324" s="13"/>
      <c r="U324" s="34"/>
      <c r="V324" s="13"/>
      <c r="W324" s="13"/>
      <c r="X324" s="13"/>
      <c r="Y324" s="13"/>
    </row>
    <row r="325" spans="1:33" s="19" customFormat="1" x14ac:dyDescent="0.35">
      <c r="A325" s="13"/>
      <c r="C325" s="13"/>
      <c r="D325" s="13"/>
      <c r="E325" s="63"/>
      <c r="F325" s="13"/>
      <c r="G325" s="13"/>
      <c r="H325" s="39"/>
      <c r="I325" s="13"/>
      <c r="J325" s="13"/>
      <c r="K325" s="13"/>
      <c r="L325" s="13"/>
      <c r="M325" s="13"/>
      <c r="N325" s="41"/>
      <c r="O325" s="13"/>
      <c r="P325" s="13"/>
      <c r="Q325" s="26"/>
      <c r="R325" s="284"/>
      <c r="S325" s="436"/>
      <c r="T325" s="13"/>
      <c r="U325" s="34"/>
      <c r="V325" s="13"/>
      <c r="W325" s="13"/>
      <c r="X325" s="13"/>
      <c r="Y325" s="13"/>
    </row>
    <row r="326" spans="1:33" s="19" customFormat="1" x14ac:dyDescent="0.35">
      <c r="A326" s="164" t="s">
        <v>692</v>
      </c>
      <c r="B326" s="1070"/>
      <c r="C326" s="13"/>
      <c r="D326" s="13"/>
      <c r="E326" s="105"/>
      <c r="F326" s="13"/>
      <c r="G326" s="13"/>
      <c r="H326" s="39"/>
      <c r="I326" s="13"/>
      <c r="J326" s="13"/>
      <c r="K326" s="13"/>
      <c r="L326" s="13"/>
      <c r="M326" s="13"/>
      <c r="N326" s="41"/>
      <c r="Q326" s="26"/>
      <c r="R326" s="284"/>
      <c r="S326" s="436"/>
      <c r="T326" s="13"/>
      <c r="U326" s="34"/>
      <c r="V326" s="13"/>
      <c r="W326" s="13"/>
      <c r="X326" s="13"/>
      <c r="Y326" s="13"/>
    </row>
    <row r="327" spans="1:33" s="19" customFormat="1" x14ac:dyDescent="0.35">
      <c r="A327" s="11" t="s">
        <v>51</v>
      </c>
      <c r="B327" s="68">
        <f>B9*365*24*60*60</f>
        <v>3.7164926806624727E+26</v>
      </c>
      <c r="C327" s="13" t="s">
        <v>42</v>
      </c>
      <c r="D327" s="1070" t="s">
        <v>37</v>
      </c>
      <c r="E327" s="68">
        <f>B327*(1/2*1.38E-23*300)</f>
        <v>769313.98489713192</v>
      </c>
      <c r="F327" s="13" t="s">
        <v>28</v>
      </c>
      <c r="G327" s="1070" t="s">
        <v>37</v>
      </c>
      <c r="H327" s="123">
        <f>B327*2/(6.02*10^23)</f>
        <v>1234.7151762998249</v>
      </c>
      <c r="I327" s="436" t="s">
        <v>2</v>
      </c>
      <c r="J327" s="1070" t="s">
        <v>8</v>
      </c>
      <c r="K327" s="385">
        <f>H327/1000</f>
        <v>1.234715176299825</v>
      </c>
      <c r="L327" s="13" t="s">
        <v>47</v>
      </c>
      <c r="M327" s="13"/>
      <c r="Q327" s="26"/>
      <c r="R327" s="284"/>
      <c r="S327" s="436"/>
      <c r="T327" s="13"/>
      <c r="U327" s="34"/>
      <c r="V327" s="13"/>
      <c r="W327" s="13"/>
      <c r="X327" s="13"/>
      <c r="Y327" s="13"/>
    </row>
    <row r="328" spans="1:33" s="19" customFormat="1" x14ac:dyDescent="0.35">
      <c r="A328" s="11"/>
      <c r="B328" s="69"/>
      <c r="D328" s="406"/>
      <c r="E328" s="69"/>
      <c r="G328" s="406"/>
      <c r="H328" s="456"/>
      <c r="I328" s="436"/>
      <c r="J328" s="1070"/>
      <c r="K328" s="625"/>
      <c r="L328" s="13"/>
      <c r="M328" s="13"/>
      <c r="Q328" s="26"/>
      <c r="R328" s="284"/>
      <c r="S328" s="436"/>
      <c r="T328" s="13"/>
      <c r="U328" s="34"/>
      <c r="V328" s="13"/>
      <c r="W328" s="13"/>
      <c r="X328" s="13"/>
      <c r="Y328" s="13"/>
    </row>
    <row r="329" spans="1:33" s="19" customFormat="1" x14ac:dyDescent="0.35">
      <c r="A329" s="11"/>
      <c r="B329" s="69"/>
      <c r="D329" s="406"/>
      <c r="E329" s="69"/>
      <c r="G329" s="406"/>
      <c r="H329" s="456"/>
      <c r="I329" s="436"/>
      <c r="J329" s="1070"/>
      <c r="K329" s="625"/>
      <c r="L329" s="13"/>
      <c r="M329" s="13"/>
      <c r="Q329" s="26"/>
      <c r="R329" s="284"/>
      <c r="S329" s="436"/>
      <c r="T329" s="13"/>
      <c r="U329" s="34"/>
      <c r="V329" s="13"/>
      <c r="W329" s="13"/>
      <c r="X329" s="13"/>
      <c r="Y329" s="13"/>
    </row>
    <row r="330" spans="1:33" s="19" customFormat="1" x14ac:dyDescent="0.35">
      <c r="A330" s="11"/>
      <c r="B330" s="69"/>
      <c r="D330" s="406"/>
      <c r="E330" s="69"/>
      <c r="G330" s="406"/>
      <c r="H330" s="456"/>
      <c r="I330" s="436"/>
      <c r="J330" s="1070"/>
      <c r="K330" s="625"/>
      <c r="L330" s="13"/>
      <c r="M330" s="13"/>
      <c r="Q330" s="26"/>
      <c r="R330" s="284"/>
      <c r="S330" s="436"/>
      <c r="T330" s="13"/>
      <c r="U330" s="34"/>
      <c r="V330" s="13"/>
      <c r="W330" s="13"/>
      <c r="X330" s="13"/>
      <c r="Y330" s="13"/>
    </row>
    <row r="331" spans="1:33" s="19" customFormat="1" x14ac:dyDescent="0.35">
      <c r="A331" s="283"/>
      <c r="B331" s="69"/>
      <c r="C331" s="26"/>
      <c r="D331" s="1016"/>
      <c r="E331" s="69"/>
      <c r="F331" s="26"/>
      <c r="G331" s="1016"/>
      <c r="H331" s="456"/>
      <c r="I331" s="566"/>
      <c r="J331" s="13"/>
      <c r="K331" s="38"/>
      <c r="L331" s="13"/>
      <c r="M331" s="13"/>
      <c r="O331" s="13"/>
      <c r="P331" s="13"/>
      <c r="Q331" s="26"/>
    </row>
    <row r="332" spans="1:33" s="19" customFormat="1" x14ac:dyDescent="0.35">
      <c r="A332" s="283"/>
      <c r="B332" s="69"/>
      <c r="C332" s="26"/>
      <c r="D332" s="1016"/>
      <c r="E332" s="69"/>
      <c r="F332" s="26"/>
      <c r="G332" s="1016"/>
      <c r="H332" s="285"/>
      <c r="I332" s="566"/>
      <c r="J332" s="13"/>
      <c r="K332" s="13"/>
      <c r="L332" s="13"/>
      <c r="M332" s="13"/>
      <c r="N332" s="41"/>
      <c r="O332" s="13"/>
      <c r="P332" s="13"/>
      <c r="Q332" s="26"/>
      <c r="R332" s="410"/>
      <c r="S332" s="436"/>
      <c r="T332" s="13"/>
      <c r="U332" s="34"/>
      <c r="V332" s="13"/>
      <c r="W332" s="1071"/>
      <c r="X332" s="1070"/>
      <c r="Y332" s="436"/>
    </row>
    <row r="333" spans="1:33" s="19" customFormat="1" x14ac:dyDescent="0.35">
      <c r="A333" s="11" t="s">
        <v>53</v>
      </c>
      <c r="B333" s="68">
        <f>B275</f>
        <v>1.1784920981299064E+16</v>
      </c>
      <c r="C333" s="13" t="s">
        <v>42</v>
      </c>
      <c r="D333" s="1070" t="s">
        <v>37</v>
      </c>
      <c r="E333" s="68">
        <f>B333*(1/2*1.38E-23*300)</f>
        <v>2.4394786431289062E-5</v>
      </c>
      <c r="F333" s="13" t="s">
        <v>28</v>
      </c>
      <c r="G333" s="1070" t="s">
        <v>37</v>
      </c>
      <c r="H333" s="123">
        <f>B333*2/(6.02*10^23)</f>
        <v>3.915256139966467E-8</v>
      </c>
      <c r="I333" s="436" t="s">
        <v>2</v>
      </c>
      <c r="J333" s="1070" t="s">
        <v>8</v>
      </c>
      <c r="K333" s="385">
        <f>H333/1000</f>
        <v>3.9152561399664669E-11</v>
      </c>
      <c r="L333" s="13" t="s">
        <v>47</v>
      </c>
      <c r="M333" s="13"/>
      <c r="N333" s="41"/>
      <c r="O333" s="13"/>
      <c r="P333" s="198"/>
      <c r="Q333" s="136"/>
      <c r="R333" s="410"/>
      <c r="S333" s="436"/>
      <c r="T333" s="13"/>
      <c r="U333" s="34"/>
      <c r="V333" s="436"/>
      <c r="W333" s="13"/>
      <c r="X333" s="13"/>
      <c r="Y333" s="13"/>
    </row>
    <row r="334" spans="1:33" s="19" customFormat="1" x14ac:dyDescent="0.35">
      <c r="A334" s="13"/>
      <c r="B334" s="69"/>
      <c r="C334" s="26"/>
      <c r="D334" s="1016"/>
      <c r="E334" s="69"/>
      <c r="F334" s="26"/>
      <c r="G334" s="1016"/>
      <c r="H334" s="285"/>
      <c r="I334" s="136"/>
      <c r="J334" s="13"/>
      <c r="K334" s="13"/>
      <c r="L334" s="13"/>
      <c r="M334" s="26"/>
      <c r="N334" s="41"/>
      <c r="O334" s="13"/>
      <c r="P334" s="13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33" s="19" customFormat="1" x14ac:dyDescent="0.35">
      <c r="A335" s="71" t="s">
        <v>52</v>
      </c>
      <c r="B335" s="370">
        <f>B327+B333</f>
        <v>3.7164926807803218E+26</v>
      </c>
      <c r="C335" s="13" t="s">
        <v>42</v>
      </c>
      <c r="D335" s="1070" t="s">
        <v>37</v>
      </c>
      <c r="E335" s="370">
        <f>B335*(1/2*1.38E-23*300)</f>
        <v>769313.98492152663</v>
      </c>
      <c r="F335" s="13" t="s">
        <v>28</v>
      </c>
      <c r="G335" s="1070" t="s">
        <v>37</v>
      </c>
      <c r="H335" s="463">
        <f>B335*2/(6.02*10^23)</f>
        <v>1234.7151763389775</v>
      </c>
      <c r="I335" s="436" t="s">
        <v>2</v>
      </c>
      <c r="J335" s="1070" t="s">
        <v>8</v>
      </c>
      <c r="K335" s="385">
        <f>H335/1000</f>
        <v>1.2347151763389774</v>
      </c>
      <c r="L335" s="13" t="s">
        <v>47</v>
      </c>
      <c r="M335" s="26"/>
      <c r="N335" s="41"/>
      <c r="O335" s="13"/>
      <c r="P335" s="13"/>
      <c r="Q335" s="26"/>
      <c r="R335" s="26"/>
      <c r="S335" s="26"/>
      <c r="T335" s="26"/>
      <c r="U335" s="26"/>
      <c r="V335" s="26"/>
      <c r="W335" s="26"/>
      <c r="X335" s="26"/>
      <c r="Y335" s="26"/>
      <c r="Z335" s="280"/>
    </row>
    <row r="336" spans="1:33" x14ac:dyDescent="0.35">
      <c r="B336" s="347"/>
      <c r="C336" s="26"/>
      <c r="D336" s="1016"/>
      <c r="E336" s="347"/>
      <c r="F336" s="26"/>
      <c r="G336" s="1016"/>
      <c r="H336" s="464"/>
      <c r="I336" s="136"/>
      <c r="J336" s="1016"/>
      <c r="K336" s="353"/>
      <c r="M336" s="26"/>
      <c r="Q336" s="26"/>
      <c r="R336" s="285"/>
      <c r="S336" s="26"/>
      <c r="T336" s="1016"/>
      <c r="U336" s="285"/>
      <c r="V336" s="136"/>
      <c r="W336" s="1016"/>
      <c r="X336" s="461"/>
      <c r="Y336" s="116"/>
      <c r="Z336" s="271"/>
      <c r="AA336" s="26"/>
      <c r="AB336" s="26"/>
      <c r="AC336" s="19"/>
      <c r="AD336" s="19"/>
      <c r="AE336" s="19"/>
      <c r="AF336" s="19"/>
      <c r="AG336" s="19"/>
    </row>
    <row r="337" spans="1:33" x14ac:dyDescent="0.35">
      <c r="A337" s="29"/>
      <c r="B337" s="69"/>
      <c r="C337" s="26"/>
      <c r="D337" s="1016"/>
      <c r="E337" s="69"/>
      <c r="F337" s="26"/>
      <c r="G337" s="1016"/>
      <c r="H337" s="456"/>
      <c r="I337" s="136"/>
      <c r="J337" s="26"/>
      <c r="K337" s="270"/>
      <c r="L337" s="26"/>
      <c r="M337" s="26"/>
      <c r="Q337" s="26"/>
      <c r="R337" s="285"/>
      <c r="S337" s="26"/>
      <c r="T337" s="1016"/>
      <c r="U337" s="285"/>
      <c r="V337" s="136"/>
      <c r="W337" s="1016"/>
      <c r="X337" s="461"/>
      <c r="Y337" s="116"/>
      <c r="Z337" s="271"/>
      <c r="AA337" s="26"/>
      <c r="AB337" s="26"/>
      <c r="AC337" s="19"/>
      <c r="AD337" s="19"/>
      <c r="AE337" s="19"/>
      <c r="AF337" s="19"/>
      <c r="AG337" s="19"/>
    </row>
    <row r="338" spans="1:33" x14ac:dyDescent="0.35">
      <c r="B338" s="347"/>
      <c r="C338" s="26"/>
      <c r="D338" s="1016"/>
      <c r="E338" s="347"/>
      <c r="F338" s="26"/>
      <c r="G338" s="1016"/>
      <c r="H338" s="464"/>
      <c r="I338" s="136"/>
      <c r="J338" s="1016"/>
      <c r="K338" s="353"/>
      <c r="L338" s="26"/>
      <c r="Q338" s="136"/>
      <c r="R338" s="313"/>
      <c r="S338" s="136"/>
      <c r="T338" s="26"/>
      <c r="U338" s="45"/>
      <c r="V338" s="26"/>
      <c r="W338" s="26"/>
      <c r="X338" s="26"/>
      <c r="Y338" s="26"/>
      <c r="Z338" s="308"/>
    </row>
    <row r="339" spans="1:33" x14ac:dyDescent="0.35">
      <c r="B339" s="69"/>
      <c r="C339" s="26"/>
      <c r="D339" s="1016"/>
      <c r="E339" s="69"/>
      <c r="F339" s="26"/>
      <c r="G339" s="1016"/>
      <c r="H339" s="456"/>
      <c r="I339" s="136"/>
      <c r="J339" s="1016"/>
      <c r="K339" s="271"/>
      <c r="L339" s="26"/>
      <c r="Q339" s="136"/>
      <c r="R339" s="435"/>
      <c r="S339" s="136"/>
      <c r="T339" s="26"/>
      <c r="U339" s="45"/>
      <c r="V339" s="26"/>
      <c r="W339" s="26"/>
      <c r="X339" s="26"/>
      <c r="Y339" s="26"/>
      <c r="Z339" s="26"/>
    </row>
    <row r="340" spans="1:33" x14ac:dyDescent="0.35">
      <c r="A340" s="71" t="s">
        <v>351</v>
      </c>
      <c r="B340" s="243">
        <f>'[4]поэлементый расчет систем'!Q439/(2/(6.02*10^23))</f>
        <v>1.2217872088775112E+26</v>
      </c>
      <c r="C340" s="59" t="s">
        <v>29</v>
      </c>
      <c r="D340" s="1070" t="s">
        <v>37</v>
      </c>
      <c r="E340" s="243">
        <f>B340/(2.6*10^20)</f>
        <v>469918.15726058127</v>
      </c>
      <c r="F340" s="59" t="s">
        <v>28</v>
      </c>
      <c r="G340" s="1070" t="s">
        <v>37</v>
      </c>
      <c r="H340" s="114">
        <f>B340*2/(6.02*10^23)</f>
        <v>405.90937172010348</v>
      </c>
      <c r="I340" s="132" t="s">
        <v>2</v>
      </c>
      <c r="J340" s="406" t="s">
        <v>8</v>
      </c>
      <c r="K340" s="269">
        <f>H340/1000</f>
        <v>0.4059093717201035</v>
      </c>
      <c r="L340" s="13" t="s">
        <v>47</v>
      </c>
      <c r="M340" s="38" t="s">
        <v>140</v>
      </c>
      <c r="P340" s="38"/>
      <c r="Q340" s="136"/>
      <c r="R340" s="435"/>
      <c r="S340" s="136"/>
      <c r="T340" s="26"/>
      <c r="U340" s="45"/>
      <c r="V340" s="26"/>
      <c r="W340" s="26"/>
    </row>
    <row r="341" spans="1:33" x14ac:dyDescent="0.35">
      <c r="B341" s="588">
        <f>'[4]поэлементый расчет систем'!Q440/(2/(6.02*10^23))</f>
        <v>2.3898886671888641E+26</v>
      </c>
      <c r="E341" s="588">
        <f>B341/(2.6*10^20)</f>
        <v>919187.94891879382</v>
      </c>
      <c r="F341" s="59"/>
      <c r="G341" s="1070"/>
      <c r="H341" s="580">
        <f>B341*2/(6.02*10^23)</f>
        <v>793.98294590992168</v>
      </c>
      <c r="K341" s="269">
        <f>H341/1000</f>
        <v>0.79398294590992169</v>
      </c>
      <c r="M341" s="38" t="s">
        <v>141</v>
      </c>
      <c r="P341" s="38"/>
      <c r="Q341" s="136"/>
      <c r="R341" s="435"/>
      <c r="S341" s="136"/>
      <c r="T341" s="26"/>
      <c r="U341" s="45"/>
      <c r="V341" s="26"/>
      <c r="W341" s="26"/>
      <c r="AA341" s="410"/>
      <c r="AB341" s="436"/>
      <c r="AC341" s="1070"/>
      <c r="AD341" s="34"/>
    </row>
    <row r="342" spans="1:33" x14ac:dyDescent="0.35">
      <c r="B342" s="416">
        <f>'[4]поэлементый расчет систем'!Q441/(2/(6.02*10^23))</f>
        <v>3.5127622247796389E+26</v>
      </c>
      <c r="C342" s="59"/>
      <c r="D342" s="1070"/>
      <c r="E342" s="190">
        <f>B342*(1/2*1.38E-23*300)</f>
        <v>727141.78052938532</v>
      </c>
      <c r="G342" s="1070"/>
      <c r="H342" s="431">
        <f>B342*2/(6.02*10^23)</f>
        <v>1167.0306394616741</v>
      </c>
      <c r="I342" s="436"/>
      <c r="J342" s="19"/>
      <c r="K342" s="269">
        <f>H342/1000</f>
        <v>1.1670306394616741</v>
      </c>
      <c r="L342" s="19"/>
      <c r="Q342" s="26"/>
      <c r="R342" s="435"/>
      <c r="S342" s="136"/>
      <c r="T342" s="26"/>
      <c r="U342" s="45"/>
      <c r="V342" s="26"/>
      <c r="W342" s="26"/>
      <c r="AA342" s="410"/>
      <c r="AB342" s="436"/>
      <c r="AD342" s="34"/>
    </row>
    <row r="343" spans="1:33" x14ac:dyDescent="0.35">
      <c r="B343" s="63"/>
      <c r="E343" s="13"/>
      <c r="H343" s="13"/>
      <c r="N343" s="13"/>
      <c r="R343" s="435"/>
      <c r="S343" s="136"/>
      <c r="T343" s="26"/>
      <c r="U343" s="45"/>
      <c r="V343" s="26"/>
      <c r="W343" s="26"/>
      <c r="AA343" s="410"/>
      <c r="AB343" s="436"/>
      <c r="AD343" s="34"/>
    </row>
    <row r="344" spans="1:33" x14ac:dyDescent="0.35">
      <c r="B344" s="13"/>
      <c r="E344" s="13"/>
      <c r="H344" s="13"/>
      <c r="N344" s="13"/>
      <c r="R344" s="435"/>
      <c r="S344" s="136"/>
      <c r="T344" s="26"/>
      <c r="U344" s="45"/>
      <c r="V344" s="26"/>
      <c r="W344" s="26"/>
      <c r="AA344" s="410"/>
      <c r="AB344" s="436"/>
      <c r="AD344" s="34"/>
    </row>
    <row r="345" spans="1:33" x14ac:dyDescent="0.35">
      <c r="B345" s="13"/>
      <c r="E345" s="13"/>
      <c r="H345" s="13"/>
      <c r="N345" s="13"/>
      <c r="R345" s="26"/>
      <c r="S345" s="136"/>
      <c r="T345" s="26"/>
      <c r="U345" s="45"/>
      <c r="V345" s="26"/>
      <c r="W345" s="26"/>
      <c r="AA345" s="410"/>
      <c r="AB345" s="436"/>
      <c r="AD345" s="34"/>
    </row>
    <row r="356" spans="1:30" x14ac:dyDescent="0.35">
      <c r="A356" s="11"/>
      <c r="B356" s="69"/>
      <c r="C356" s="26"/>
      <c r="D356" s="1016"/>
      <c r="E356" s="69"/>
      <c r="F356" s="26"/>
      <c r="G356" s="1016"/>
      <c r="H356" s="107"/>
      <c r="I356" s="136"/>
      <c r="J356" s="1016"/>
      <c r="K356" s="702"/>
      <c r="L356" s="126"/>
      <c r="M356" s="26"/>
      <c r="N356" s="148"/>
      <c r="Q356" s="379"/>
      <c r="R356" s="14"/>
      <c r="S356" s="410"/>
    </row>
    <row r="357" spans="1:30" x14ac:dyDescent="0.35">
      <c r="A357" s="168"/>
      <c r="B357" s="69"/>
      <c r="C357" s="26"/>
      <c r="D357" s="1016"/>
      <c r="E357" s="69"/>
      <c r="F357" s="26"/>
      <c r="G357" s="1016"/>
      <c r="H357" s="107"/>
      <c r="I357" s="136"/>
      <c r="J357" s="1016"/>
      <c r="K357" s="702"/>
      <c r="L357" s="126"/>
      <c r="M357" s="26"/>
      <c r="N357" s="148"/>
      <c r="Q357" s="379"/>
      <c r="R357" s="14"/>
      <c r="S357" s="410"/>
    </row>
    <row r="358" spans="1:30" x14ac:dyDescent="0.35">
      <c r="A358" s="168"/>
      <c r="B358" s="69"/>
      <c r="C358" s="26"/>
      <c r="D358" s="1016"/>
      <c r="E358" s="69"/>
      <c r="F358" s="26"/>
      <c r="G358" s="1016"/>
      <c r="H358" s="107"/>
      <c r="I358" s="136"/>
      <c r="J358" s="1016"/>
      <c r="K358" s="702"/>
      <c r="L358" s="126"/>
      <c r="M358" s="26"/>
      <c r="N358" s="148"/>
      <c r="Q358" s="379"/>
      <c r="R358" s="14"/>
      <c r="S358" s="410"/>
    </row>
    <row r="359" spans="1:30" x14ac:dyDescent="0.35">
      <c r="B359" s="13"/>
      <c r="E359" s="13"/>
      <c r="H359" s="13"/>
      <c r="N359" s="13"/>
      <c r="R359" s="26"/>
      <c r="S359" s="136"/>
      <c r="T359" s="26"/>
      <c r="U359" s="45"/>
      <c r="V359" s="26"/>
      <c r="W359" s="26"/>
      <c r="AA359" s="410"/>
      <c r="AB359" s="436"/>
      <c r="AD359" s="34"/>
    </row>
    <row r="360" spans="1:30" x14ac:dyDescent="0.35">
      <c r="B360" s="13"/>
      <c r="E360" s="13"/>
      <c r="H360" s="13"/>
      <c r="N360" s="13"/>
      <c r="R360" s="26"/>
      <c r="S360" s="136"/>
      <c r="T360" s="26"/>
      <c r="U360" s="45"/>
      <c r="V360" s="26"/>
      <c r="W360" s="26"/>
      <c r="AA360" s="410"/>
      <c r="AB360" s="436"/>
      <c r="AD360" s="34"/>
    </row>
    <row r="361" spans="1:30" x14ac:dyDescent="0.35">
      <c r="B361" s="13"/>
      <c r="E361" s="13"/>
      <c r="H361" s="13"/>
      <c r="N361" s="13"/>
      <c r="R361" s="435"/>
      <c r="S361" s="136"/>
      <c r="T361" s="26"/>
      <c r="U361" s="45"/>
      <c r="V361" s="26"/>
      <c r="W361" s="26"/>
      <c r="AA361" s="410"/>
      <c r="AB361" s="436"/>
      <c r="AD361" s="34"/>
    </row>
    <row r="362" spans="1:30" x14ac:dyDescent="0.35">
      <c r="B362" s="13"/>
      <c r="Q362" s="26"/>
      <c r="R362" s="435"/>
      <c r="S362" s="136"/>
      <c r="T362" s="26"/>
      <c r="U362" s="45"/>
      <c r="V362" s="26"/>
      <c r="W362" s="26"/>
      <c r="AA362" s="410"/>
      <c r="AB362" s="436"/>
      <c r="AD362" s="34"/>
    </row>
    <row r="363" spans="1:30" x14ac:dyDescent="0.35">
      <c r="A363" s="199"/>
      <c r="Q363" s="26"/>
      <c r="R363" s="435"/>
      <c r="S363" s="136"/>
      <c r="T363" s="26"/>
      <c r="U363" s="45"/>
      <c r="V363" s="26"/>
      <c r="W363" s="26"/>
      <c r="AA363" s="410"/>
      <c r="AB363" s="436"/>
      <c r="AD363" s="34"/>
    </row>
    <row r="364" spans="1:30" x14ac:dyDescent="0.35">
      <c r="A364" s="218"/>
      <c r="B364" s="105"/>
      <c r="C364" s="26"/>
      <c r="D364" s="1016"/>
      <c r="E364" s="44"/>
      <c r="F364" s="29"/>
      <c r="G364" s="1016"/>
      <c r="Q364" s="26"/>
      <c r="R364" s="435"/>
      <c r="S364" s="136"/>
      <c r="T364" s="26"/>
      <c r="U364" s="45"/>
      <c r="V364" s="26"/>
      <c r="W364" s="26"/>
      <c r="AA364" s="410"/>
      <c r="AB364" s="436"/>
      <c r="AD364" s="34"/>
    </row>
    <row r="365" spans="1:30" x14ac:dyDescent="0.35">
      <c r="A365" s="250"/>
      <c r="B365" s="249"/>
      <c r="Q365" s="26"/>
      <c r="R365" s="435"/>
      <c r="S365" s="136"/>
      <c r="T365" s="26"/>
      <c r="U365" s="45"/>
      <c r="V365" s="26"/>
      <c r="W365" s="26"/>
      <c r="AA365" s="410"/>
      <c r="AB365" s="436"/>
      <c r="AD365" s="34"/>
    </row>
    <row r="366" spans="1:30" x14ac:dyDescent="0.35">
      <c r="A366" s="250"/>
      <c r="B366" s="88"/>
      <c r="O366" s="26"/>
      <c r="P366" s="26"/>
      <c r="Q366" s="26"/>
      <c r="R366" s="435"/>
      <c r="S366" s="136"/>
      <c r="T366" s="26"/>
      <c r="U366" s="45"/>
      <c r="V366" s="26"/>
      <c r="W366" s="26"/>
      <c r="AA366" s="410"/>
      <c r="AB366" s="436"/>
      <c r="AD366" s="34"/>
    </row>
    <row r="367" spans="1:30" x14ac:dyDescent="0.35">
      <c r="A367" s="250"/>
      <c r="B367" s="189"/>
      <c r="O367" s="26"/>
      <c r="P367" s="26"/>
      <c r="Q367" s="26"/>
      <c r="R367" s="435"/>
      <c r="S367" s="136"/>
      <c r="T367" s="26"/>
      <c r="U367" s="45"/>
      <c r="V367" s="26"/>
      <c r="W367" s="26"/>
      <c r="AA367" s="410"/>
      <c r="AB367" s="436"/>
      <c r="AD367" s="34"/>
    </row>
    <row r="368" spans="1:30" x14ac:dyDescent="0.35">
      <c r="B368" s="88"/>
      <c r="N368" s="148"/>
      <c r="O368" s="26"/>
      <c r="P368" s="26"/>
      <c r="Q368" s="26"/>
      <c r="R368" s="435"/>
      <c r="S368" s="136"/>
      <c r="T368" s="26"/>
      <c r="U368" s="45"/>
      <c r="V368" s="26"/>
      <c r="W368" s="26"/>
      <c r="AA368" s="410"/>
      <c r="AB368" s="436"/>
      <c r="AD368" s="34"/>
    </row>
    <row r="369" spans="1:30" x14ac:dyDescent="0.35">
      <c r="N369" s="148"/>
      <c r="O369" s="26"/>
      <c r="P369" s="26"/>
      <c r="Q369" s="26"/>
      <c r="R369" s="435"/>
      <c r="S369" s="136"/>
      <c r="T369" s="26"/>
      <c r="U369" s="45"/>
      <c r="V369" s="26"/>
      <c r="W369" s="26"/>
      <c r="AA369" s="410"/>
      <c r="AB369" s="436"/>
      <c r="AD369" s="34"/>
    </row>
    <row r="370" spans="1:30" x14ac:dyDescent="0.35">
      <c r="N370" s="148"/>
      <c r="O370" s="26"/>
      <c r="P370" s="26"/>
      <c r="Q370" s="26"/>
      <c r="R370" s="435"/>
      <c r="S370" s="136"/>
      <c r="T370" s="26"/>
      <c r="U370" s="45"/>
      <c r="V370" s="26"/>
      <c r="W370" s="26"/>
      <c r="AA370" s="410"/>
      <c r="AB370" s="436"/>
      <c r="AD370" s="34"/>
    </row>
    <row r="371" spans="1:30" x14ac:dyDescent="0.35">
      <c r="N371" s="148"/>
      <c r="O371" s="26"/>
      <c r="P371" s="26"/>
      <c r="Q371" s="26"/>
      <c r="R371" s="435"/>
      <c r="S371" s="136"/>
      <c r="T371" s="26"/>
      <c r="U371" s="45"/>
      <c r="V371" s="26"/>
      <c r="W371" s="26"/>
    </row>
    <row r="372" spans="1:30" x14ac:dyDescent="0.35">
      <c r="N372" s="148"/>
      <c r="O372" s="26"/>
      <c r="P372" s="26"/>
      <c r="Q372" s="26"/>
      <c r="R372" s="435"/>
      <c r="S372" s="136"/>
      <c r="T372" s="26"/>
      <c r="U372" s="45"/>
      <c r="V372" s="26"/>
      <c r="W372" s="26"/>
    </row>
    <row r="373" spans="1:30" x14ac:dyDescent="0.35">
      <c r="N373" s="148"/>
      <c r="O373" s="26"/>
      <c r="P373" s="26"/>
      <c r="Q373" s="26"/>
      <c r="R373" s="435"/>
      <c r="S373" s="136"/>
      <c r="T373" s="26"/>
      <c r="U373" s="45"/>
      <c r="V373" s="26"/>
      <c r="W373" s="26"/>
    </row>
    <row r="374" spans="1:30" x14ac:dyDescent="0.35">
      <c r="N374" s="148"/>
      <c r="O374" s="26"/>
      <c r="P374" s="26"/>
      <c r="Q374" s="26"/>
      <c r="R374" s="435"/>
      <c r="S374" s="136"/>
      <c r="T374" s="26"/>
      <c r="U374" s="45"/>
      <c r="V374" s="26"/>
      <c r="W374" s="26"/>
    </row>
    <row r="375" spans="1:30" x14ac:dyDescent="0.35">
      <c r="A375" s="26"/>
      <c r="C375" s="26"/>
      <c r="D375" s="26"/>
      <c r="E375" s="44"/>
      <c r="F375" s="26"/>
      <c r="G375" s="26"/>
      <c r="H375" s="147"/>
      <c r="I375" s="26"/>
      <c r="J375" s="26"/>
      <c r="K375" s="26"/>
      <c r="L375" s="26"/>
      <c r="M375" s="26"/>
      <c r="N375" s="148"/>
      <c r="O375" s="26"/>
      <c r="P375" s="26"/>
      <c r="Q375" s="26"/>
      <c r="R375" s="435"/>
      <c r="S375" s="136"/>
      <c r="T375" s="26"/>
      <c r="U375" s="45"/>
      <c r="V375" s="26"/>
      <c r="W375" s="26"/>
    </row>
    <row r="376" spans="1:30" x14ac:dyDescent="0.35">
      <c r="A376" s="29"/>
      <c r="B376" s="1016"/>
      <c r="C376" s="26"/>
      <c r="D376" s="26"/>
      <c r="E376" s="44"/>
      <c r="F376" s="26"/>
      <c r="G376" s="26"/>
      <c r="H376" s="147"/>
      <c r="I376" s="26"/>
      <c r="J376" s="26"/>
      <c r="K376" s="26"/>
      <c r="L376" s="26"/>
      <c r="M376" s="26"/>
      <c r="N376" s="148"/>
      <c r="O376" s="26"/>
      <c r="P376" s="26"/>
      <c r="Q376" s="26"/>
      <c r="R376" s="435"/>
      <c r="S376" s="136"/>
      <c r="T376" s="26"/>
      <c r="U376" s="45"/>
      <c r="V376" s="26"/>
      <c r="W376" s="26"/>
    </row>
    <row r="377" spans="1:30" x14ac:dyDescent="0.35">
      <c r="A377" s="29"/>
      <c r="B377" s="155"/>
      <c r="C377" s="26"/>
      <c r="D377" s="26"/>
      <c r="E377" s="44"/>
      <c r="F377" s="26"/>
      <c r="G377" s="26"/>
      <c r="H377" s="147"/>
      <c r="I377" s="26"/>
      <c r="J377" s="26"/>
      <c r="K377" s="26"/>
      <c r="L377" s="26"/>
      <c r="M377" s="26"/>
      <c r="N377" s="148"/>
      <c r="O377" s="26"/>
      <c r="P377" s="26"/>
      <c r="Q377" s="26"/>
      <c r="R377" s="435"/>
      <c r="S377" s="136"/>
      <c r="T377" s="26"/>
      <c r="U377" s="45"/>
      <c r="V377" s="26"/>
      <c r="W377" s="26"/>
    </row>
    <row r="378" spans="1:30" x14ac:dyDescent="0.35">
      <c r="A378" s="26"/>
      <c r="B378" s="155"/>
      <c r="C378" s="26"/>
      <c r="D378" s="26"/>
      <c r="E378" s="44"/>
      <c r="F378" s="26"/>
      <c r="G378" s="26"/>
      <c r="H378" s="147"/>
      <c r="I378" s="26"/>
      <c r="J378" s="26"/>
      <c r="K378" s="26"/>
      <c r="L378" s="26"/>
      <c r="M378" s="26"/>
      <c r="N378" s="148"/>
      <c r="O378" s="26"/>
      <c r="P378" s="26"/>
      <c r="Q378" s="26"/>
      <c r="R378" s="435"/>
      <c r="S378" s="136"/>
      <c r="T378" s="26"/>
      <c r="U378" s="45"/>
      <c r="V378" s="26"/>
      <c r="W378" s="26"/>
    </row>
    <row r="379" spans="1:30" x14ac:dyDescent="0.35">
      <c r="A379" s="29"/>
      <c r="B379" s="1016"/>
      <c r="C379" s="26"/>
      <c r="D379" s="157"/>
      <c r="E379" s="158"/>
      <c r="F379" s="157"/>
      <c r="G379" s="26"/>
      <c r="H379" s="157"/>
      <c r="I379" s="26"/>
      <c r="J379" s="26"/>
      <c r="K379" s="26"/>
      <c r="L379" s="26"/>
      <c r="M379" s="26"/>
      <c r="N379" s="148"/>
      <c r="O379" s="26"/>
      <c r="P379" s="26"/>
      <c r="Q379" s="26"/>
      <c r="R379" s="435"/>
      <c r="S379" s="136"/>
      <c r="T379" s="26"/>
      <c r="U379" s="45"/>
      <c r="V379" s="26"/>
      <c r="W379" s="26"/>
    </row>
    <row r="380" spans="1:30" x14ac:dyDescent="0.35">
      <c r="A380" s="29"/>
      <c r="B380" s="156"/>
      <c r="C380" s="26"/>
      <c r="D380" s="157"/>
      <c r="E380" s="158"/>
      <c r="F380" s="157"/>
      <c r="G380" s="26"/>
      <c r="H380" s="157"/>
      <c r="I380" s="26"/>
      <c r="J380" s="26"/>
      <c r="K380" s="26"/>
      <c r="L380" s="26"/>
      <c r="M380" s="26"/>
      <c r="N380" s="148"/>
      <c r="O380" s="26"/>
      <c r="P380" s="26"/>
      <c r="Q380" s="26"/>
      <c r="R380" s="435"/>
      <c r="S380" s="136"/>
      <c r="T380" s="26"/>
      <c r="U380" s="45"/>
      <c r="V380" s="26"/>
      <c r="W380" s="26"/>
    </row>
    <row r="381" spans="1:30" x14ac:dyDescent="0.35">
      <c r="A381" s="29"/>
      <c r="B381" s="156"/>
      <c r="C381" s="26"/>
      <c r="D381" s="157"/>
      <c r="E381" s="158"/>
      <c r="F381" s="157"/>
      <c r="G381" s="26"/>
      <c r="H381" s="157"/>
      <c r="I381" s="26"/>
      <c r="J381" s="26"/>
      <c r="K381" s="26"/>
      <c r="L381" s="26"/>
      <c r="M381" s="26"/>
      <c r="N381" s="148"/>
      <c r="O381" s="26"/>
      <c r="P381" s="26"/>
      <c r="Q381" s="26"/>
      <c r="R381" s="435"/>
      <c r="S381" s="136"/>
      <c r="T381" s="26"/>
      <c r="U381" s="45"/>
      <c r="V381" s="26"/>
      <c r="W381" s="26"/>
    </row>
    <row r="382" spans="1:30" x14ac:dyDescent="0.35">
      <c r="A382" s="26"/>
      <c r="B382" s="156"/>
      <c r="C382" s="26"/>
      <c r="D382" s="26"/>
      <c r="E382" s="44"/>
      <c r="F382" s="26"/>
      <c r="G382" s="26"/>
      <c r="H382" s="147"/>
      <c r="I382" s="26"/>
      <c r="J382" s="26"/>
      <c r="K382" s="26"/>
      <c r="L382" s="26"/>
      <c r="M382" s="26"/>
      <c r="N382" s="148"/>
      <c r="O382" s="26"/>
      <c r="P382" s="26"/>
      <c r="Q382" s="26"/>
      <c r="R382" s="435"/>
      <c r="S382" s="136"/>
      <c r="T382" s="26"/>
      <c r="U382" s="45"/>
      <c r="V382" s="26"/>
      <c r="W382" s="26"/>
    </row>
    <row r="383" spans="1:30" x14ac:dyDescent="0.35">
      <c r="A383" s="95"/>
      <c r="B383" s="1016"/>
      <c r="C383" s="159"/>
      <c r="D383" s="1073"/>
      <c r="E383" s="69"/>
      <c r="F383" s="159"/>
      <c r="G383" s="1073"/>
      <c r="H383" s="285"/>
      <c r="I383" s="28"/>
      <c r="J383" s="26"/>
      <c r="K383" s="26"/>
      <c r="L383" s="26"/>
      <c r="M383" s="26"/>
      <c r="N383" s="148"/>
      <c r="O383" s="26"/>
      <c r="P383" s="26"/>
      <c r="Q383" s="26"/>
      <c r="R383" s="435"/>
      <c r="S383" s="136"/>
      <c r="T383" s="26"/>
      <c r="U383" s="45"/>
      <c r="V383" s="26"/>
      <c r="W383" s="26"/>
    </row>
    <row r="384" spans="1:30" x14ac:dyDescent="0.35">
      <c r="A384" s="95"/>
      <c r="B384" s="1073"/>
      <c r="C384" s="26"/>
      <c r="D384" s="1016"/>
      <c r="E384" s="69"/>
      <c r="F384" s="26"/>
      <c r="G384" s="1016"/>
      <c r="H384" s="285"/>
      <c r="I384" s="28"/>
      <c r="J384" s="26"/>
      <c r="K384" s="26"/>
      <c r="L384" s="26"/>
      <c r="M384" s="26"/>
      <c r="N384" s="148"/>
      <c r="O384" s="26"/>
      <c r="P384" s="26"/>
      <c r="Q384" s="26"/>
      <c r="R384" s="435"/>
      <c r="S384" s="136"/>
      <c r="T384" s="26"/>
      <c r="U384" s="45"/>
      <c r="V384" s="26"/>
      <c r="W384" s="26"/>
    </row>
    <row r="385" spans="1:23" x14ac:dyDescent="0.35">
      <c r="A385" s="95"/>
      <c r="B385" s="1073"/>
      <c r="C385" s="26"/>
      <c r="D385" s="1016"/>
      <c r="E385" s="69"/>
      <c r="F385" s="26"/>
      <c r="G385" s="1016"/>
      <c r="H385" s="285"/>
      <c r="I385" s="28"/>
      <c r="J385" s="26"/>
      <c r="K385" s="26"/>
      <c r="L385" s="26"/>
      <c r="M385" s="26"/>
      <c r="N385" s="148"/>
      <c r="O385" s="26"/>
      <c r="P385" s="26"/>
      <c r="Q385" s="26"/>
      <c r="R385" s="435"/>
      <c r="S385" s="136"/>
      <c r="T385" s="26"/>
      <c r="U385" s="45"/>
      <c r="V385" s="26"/>
      <c r="W385" s="26"/>
    </row>
    <row r="386" spans="1:23" x14ac:dyDescent="0.35">
      <c r="A386" s="26"/>
      <c r="B386" s="1073"/>
      <c r="C386" s="26"/>
      <c r="D386" s="26"/>
      <c r="E386" s="44"/>
      <c r="F386" s="26"/>
      <c r="G386" s="26"/>
      <c r="H386" s="147"/>
      <c r="I386" s="26"/>
      <c r="J386" s="26"/>
      <c r="K386" s="26"/>
      <c r="L386" s="26"/>
      <c r="M386" s="26"/>
      <c r="N386" s="148"/>
      <c r="O386" s="26"/>
      <c r="P386" s="26"/>
      <c r="Q386" s="26"/>
      <c r="R386" s="435"/>
      <c r="S386" s="136"/>
      <c r="T386" s="26"/>
      <c r="U386" s="45"/>
      <c r="V386" s="26"/>
      <c r="W386" s="26"/>
    </row>
    <row r="387" spans="1:23" x14ac:dyDescent="0.35">
      <c r="A387" s="26"/>
      <c r="B387" s="1016"/>
      <c r="C387" s="26"/>
      <c r="D387" s="26"/>
      <c r="E387" s="44"/>
      <c r="F387" s="26"/>
      <c r="G387" s="26"/>
      <c r="H387" s="147"/>
      <c r="I387" s="26"/>
      <c r="J387" s="26"/>
      <c r="K387" s="26"/>
      <c r="L387" s="26"/>
      <c r="M387" s="26"/>
      <c r="N387" s="148"/>
      <c r="O387" s="26"/>
      <c r="P387" s="26"/>
      <c r="Q387" s="26"/>
      <c r="R387" s="435"/>
      <c r="S387" s="136"/>
      <c r="T387" s="26"/>
      <c r="U387" s="45"/>
      <c r="V387" s="26"/>
      <c r="W387" s="26"/>
    </row>
    <row r="388" spans="1:23" x14ac:dyDescent="0.35">
      <c r="A388" s="26"/>
      <c r="B388" s="1016"/>
      <c r="C388" s="26"/>
      <c r="D388" s="26"/>
      <c r="E388" s="44"/>
      <c r="F388" s="26"/>
      <c r="G388" s="26"/>
      <c r="H388" s="147"/>
      <c r="I388" s="26"/>
      <c r="J388" s="26"/>
      <c r="K388" s="26"/>
      <c r="L388" s="26"/>
      <c r="M388" s="26"/>
      <c r="N388" s="148"/>
      <c r="O388" s="26"/>
      <c r="P388" s="26"/>
      <c r="Q388" s="26"/>
      <c r="R388" s="435"/>
      <c r="S388" s="136"/>
      <c r="T388" s="26"/>
      <c r="U388" s="45"/>
      <c r="V388" s="26"/>
      <c r="W388" s="26"/>
    </row>
    <row r="389" spans="1:23" x14ac:dyDescent="0.35">
      <c r="A389" s="160"/>
      <c r="B389" s="1016"/>
      <c r="C389" s="26"/>
      <c r="D389" s="26"/>
      <c r="E389" s="44"/>
      <c r="F389" s="26"/>
      <c r="G389" s="26"/>
      <c r="H389" s="147"/>
      <c r="I389" s="26"/>
      <c r="J389" s="26"/>
      <c r="K389" s="26"/>
      <c r="L389" s="26"/>
      <c r="M389" s="26"/>
      <c r="N389" s="148"/>
      <c r="O389" s="26"/>
      <c r="P389" s="26"/>
      <c r="Q389" s="26"/>
      <c r="R389" s="435"/>
      <c r="S389" s="136"/>
      <c r="T389" s="26"/>
      <c r="U389" s="45"/>
      <c r="V389" s="26"/>
      <c r="W389" s="26"/>
    </row>
    <row r="390" spans="1:23" x14ac:dyDescent="0.35">
      <c r="A390" s="160"/>
      <c r="B390" s="1016"/>
      <c r="C390" s="26"/>
      <c r="D390" s="26"/>
      <c r="E390" s="44"/>
      <c r="F390" s="26"/>
      <c r="G390" s="26"/>
      <c r="H390" s="147"/>
      <c r="I390" s="26"/>
      <c r="J390" s="26"/>
      <c r="K390" s="26"/>
      <c r="L390" s="26"/>
      <c r="M390" s="26"/>
      <c r="N390" s="148"/>
      <c r="O390" s="26"/>
      <c r="P390" s="26"/>
      <c r="Q390" s="26"/>
      <c r="R390" s="435"/>
      <c r="S390" s="136"/>
      <c r="T390" s="26"/>
      <c r="U390" s="45"/>
      <c r="V390" s="26"/>
      <c r="W390" s="26"/>
    </row>
    <row r="391" spans="1:23" x14ac:dyDescent="0.35">
      <c r="A391" s="160"/>
      <c r="B391" s="1016"/>
      <c r="C391" s="26"/>
      <c r="D391" s="26"/>
      <c r="E391" s="44"/>
      <c r="F391" s="26"/>
      <c r="G391" s="26"/>
      <c r="H391" s="147"/>
      <c r="I391" s="26"/>
      <c r="J391" s="26"/>
      <c r="K391" s="26"/>
      <c r="L391" s="26"/>
      <c r="M391" s="26"/>
      <c r="N391" s="148"/>
      <c r="O391" s="26"/>
      <c r="P391" s="26"/>
      <c r="Q391" s="26"/>
      <c r="R391" s="435"/>
      <c r="S391" s="136"/>
      <c r="T391" s="26"/>
      <c r="U391" s="45"/>
      <c r="V391" s="26"/>
      <c r="W391" s="26"/>
    </row>
    <row r="392" spans="1:23" x14ac:dyDescent="0.35">
      <c r="A392" s="26"/>
      <c r="B392" s="1016"/>
      <c r="C392" s="26"/>
      <c r="D392" s="26"/>
      <c r="E392" s="44"/>
      <c r="F392" s="26"/>
      <c r="G392" s="26"/>
      <c r="H392" s="147"/>
      <c r="I392" s="26"/>
      <c r="J392" s="26"/>
      <c r="K392" s="26"/>
      <c r="L392" s="26"/>
      <c r="M392" s="26"/>
      <c r="N392" s="148"/>
      <c r="O392" s="26"/>
      <c r="P392" s="26"/>
      <c r="Q392" s="26"/>
      <c r="R392" s="435"/>
      <c r="S392" s="136"/>
      <c r="T392" s="26"/>
      <c r="U392" s="45"/>
      <c r="V392" s="26"/>
      <c r="W392" s="26"/>
    </row>
    <row r="393" spans="1:23" x14ac:dyDescent="0.35">
      <c r="A393" s="26"/>
      <c r="B393" s="1016"/>
      <c r="C393" s="26"/>
      <c r="D393" s="26"/>
      <c r="E393" s="44"/>
      <c r="F393" s="26"/>
      <c r="G393" s="26"/>
      <c r="H393" s="147"/>
      <c r="I393" s="26"/>
      <c r="J393" s="26"/>
      <c r="K393" s="26"/>
      <c r="L393" s="26"/>
      <c r="M393" s="26"/>
      <c r="N393" s="148"/>
      <c r="O393" s="26"/>
      <c r="P393" s="26"/>
      <c r="Q393" s="26"/>
      <c r="R393" s="435"/>
      <c r="S393" s="136"/>
      <c r="T393" s="26"/>
      <c r="U393" s="45"/>
      <c r="V393" s="26"/>
      <c r="W393" s="26"/>
    </row>
    <row r="394" spans="1:23" x14ac:dyDescent="0.35">
      <c r="A394" s="26"/>
      <c r="B394" s="1016"/>
      <c r="C394" s="26"/>
      <c r="D394" s="26"/>
      <c r="E394" s="44"/>
      <c r="F394" s="26"/>
      <c r="G394" s="26"/>
      <c r="H394" s="147"/>
      <c r="I394" s="26"/>
      <c r="J394" s="26"/>
      <c r="K394" s="26"/>
      <c r="L394" s="26"/>
      <c r="M394" s="26"/>
      <c r="N394" s="148"/>
      <c r="O394" s="26"/>
      <c r="P394" s="26"/>
      <c r="Q394" s="26"/>
      <c r="R394" s="435"/>
      <c r="S394" s="136"/>
      <c r="T394" s="26"/>
      <c r="U394" s="45"/>
      <c r="V394" s="26"/>
      <c r="W394" s="26"/>
    </row>
    <row r="395" spans="1:23" x14ac:dyDescent="0.35">
      <c r="A395" s="26"/>
      <c r="B395" s="1016"/>
      <c r="C395" s="26"/>
      <c r="D395" s="26"/>
      <c r="E395" s="44"/>
      <c r="F395" s="26"/>
      <c r="G395" s="26"/>
      <c r="H395" s="147"/>
      <c r="I395" s="26"/>
      <c r="J395" s="26"/>
      <c r="K395" s="26"/>
      <c r="L395" s="26"/>
      <c r="M395" s="26"/>
      <c r="N395" s="148"/>
      <c r="O395" s="26"/>
      <c r="P395" s="26"/>
      <c r="Q395" s="26"/>
      <c r="R395" s="435"/>
      <c r="S395" s="136"/>
      <c r="T395" s="26"/>
      <c r="U395" s="45"/>
      <c r="V395" s="26"/>
      <c r="W395" s="26"/>
    </row>
    <row r="396" spans="1:23" x14ac:dyDescent="0.35">
      <c r="A396" s="26"/>
      <c r="B396" s="1016"/>
      <c r="C396" s="26"/>
      <c r="D396" s="26"/>
      <c r="E396" s="44"/>
      <c r="F396" s="26"/>
      <c r="G396" s="26"/>
      <c r="H396" s="147"/>
      <c r="I396" s="26"/>
      <c r="J396" s="26"/>
      <c r="K396" s="26"/>
      <c r="L396" s="26"/>
      <c r="M396" s="26"/>
      <c r="N396" s="148"/>
      <c r="O396" s="26"/>
      <c r="P396" s="26"/>
      <c r="Q396" s="26"/>
      <c r="R396" s="435"/>
      <c r="S396" s="136"/>
      <c r="T396" s="26"/>
      <c r="U396" s="45"/>
      <c r="V396" s="26"/>
      <c r="W396" s="26"/>
    </row>
    <row r="397" spans="1:23" x14ac:dyDescent="0.35">
      <c r="A397" s="26"/>
      <c r="B397" s="1016"/>
      <c r="C397" s="26"/>
      <c r="D397" s="26"/>
      <c r="E397" s="44"/>
      <c r="F397" s="26"/>
      <c r="G397" s="26"/>
      <c r="H397" s="147"/>
      <c r="I397" s="26"/>
      <c r="J397" s="26"/>
      <c r="K397" s="26"/>
      <c r="L397" s="26"/>
      <c r="M397" s="26"/>
      <c r="N397" s="148"/>
      <c r="O397" s="26"/>
      <c r="P397" s="26"/>
      <c r="Q397" s="26"/>
      <c r="R397" s="435"/>
      <c r="S397" s="136"/>
      <c r="T397" s="26"/>
      <c r="U397" s="45"/>
      <c r="V397" s="26"/>
      <c r="W397" s="26"/>
    </row>
    <row r="398" spans="1:23" x14ac:dyDescent="0.35">
      <c r="A398" s="26"/>
      <c r="B398" s="1016"/>
      <c r="C398" s="26"/>
      <c r="D398" s="26"/>
      <c r="E398" s="44"/>
      <c r="F398" s="26"/>
      <c r="G398" s="26"/>
      <c r="H398" s="147"/>
      <c r="I398" s="26"/>
      <c r="J398" s="26"/>
      <c r="K398" s="26"/>
      <c r="L398" s="26"/>
      <c r="M398" s="26"/>
      <c r="N398" s="148"/>
      <c r="O398" s="26"/>
      <c r="P398" s="26"/>
      <c r="Q398" s="26"/>
      <c r="R398" s="435"/>
      <c r="S398" s="136"/>
      <c r="T398" s="26"/>
      <c r="U398" s="45"/>
      <c r="V398" s="26"/>
      <c r="W398" s="26"/>
    </row>
    <row r="399" spans="1:23" x14ac:dyDescent="0.35">
      <c r="A399" s="26"/>
      <c r="B399" s="1016"/>
      <c r="C399" s="26"/>
      <c r="D399" s="26"/>
      <c r="E399" s="44"/>
      <c r="F399" s="26"/>
      <c r="G399" s="26"/>
      <c r="H399" s="147"/>
      <c r="I399" s="26"/>
      <c r="J399" s="26"/>
      <c r="K399" s="26"/>
      <c r="L399" s="26"/>
      <c r="M399" s="26"/>
      <c r="N399" s="148"/>
      <c r="O399" s="26"/>
      <c r="P399" s="26"/>
      <c r="Q399" s="26"/>
      <c r="R399" s="435"/>
      <c r="S399" s="136"/>
      <c r="T399" s="26"/>
      <c r="U399" s="45"/>
      <c r="V399" s="26"/>
      <c r="W399" s="26"/>
    </row>
    <row r="400" spans="1:23" x14ac:dyDescent="0.35">
      <c r="A400" s="26"/>
      <c r="B400" s="1016"/>
      <c r="C400" s="26"/>
      <c r="D400" s="26"/>
      <c r="E400" s="44"/>
      <c r="F400" s="26"/>
      <c r="G400" s="26"/>
      <c r="H400" s="147"/>
      <c r="I400" s="26"/>
      <c r="J400" s="26"/>
      <c r="K400" s="26"/>
      <c r="L400" s="26"/>
      <c r="M400" s="26"/>
      <c r="N400" s="148"/>
      <c r="O400" s="26"/>
      <c r="P400" s="26"/>
      <c r="Q400" s="26"/>
      <c r="R400" s="435"/>
      <c r="S400" s="136"/>
      <c r="T400" s="26"/>
      <c r="U400" s="45"/>
      <c r="V400" s="26"/>
      <c r="W400" s="26"/>
    </row>
    <row r="401" spans="1:23" x14ac:dyDescent="0.35">
      <c r="A401" s="95"/>
      <c r="B401" s="161"/>
      <c r="C401" s="26"/>
      <c r="D401" s="1016"/>
      <c r="E401" s="113"/>
      <c r="F401" s="26"/>
      <c r="G401" s="1016"/>
      <c r="H401" s="285"/>
      <c r="I401" s="331"/>
      <c r="J401" s="1016"/>
      <c r="K401" s="466"/>
      <c r="L401" s="26"/>
      <c r="M401" s="26"/>
      <c r="N401" s="148"/>
      <c r="O401" s="26"/>
      <c r="P401" s="26"/>
      <c r="Q401" s="26"/>
      <c r="R401" s="435"/>
      <c r="S401" s="136"/>
      <c r="T401" s="26"/>
      <c r="U401" s="45"/>
      <c r="V401" s="26"/>
      <c r="W401" s="26"/>
    </row>
    <row r="402" spans="1:23" x14ac:dyDescent="0.35">
      <c r="A402" s="95"/>
      <c r="B402" s="69"/>
      <c r="C402" s="26"/>
      <c r="D402" s="1016"/>
      <c r="E402" s="113"/>
      <c r="F402" s="26"/>
      <c r="G402" s="1016"/>
      <c r="H402" s="285"/>
      <c r="I402" s="331"/>
      <c r="J402" s="1016"/>
      <c r="K402" s="466"/>
      <c r="L402" s="26"/>
      <c r="M402" s="26"/>
      <c r="N402" s="148"/>
      <c r="O402" s="26"/>
      <c r="P402" s="26"/>
      <c r="Q402" s="26"/>
      <c r="R402" s="435"/>
      <c r="S402" s="136"/>
      <c r="T402" s="26"/>
      <c r="U402" s="45"/>
      <c r="V402" s="26"/>
      <c r="W402" s="26"/>
    </row>
    <row r="403" spans="1:23" x14ac:dyDescent="0.35">
      <c r="A403" s="26"/>
      <c r="B403" s="69"/>
      <c r="C403" s="26"/>
      <c r="D403" s="26"/>
      <c r="E403" s="44"/>
      <c r="F403" s="26"/>
      <c r="G403" s="26"/>
      <c r="H403" s="147"/>
      <c r="I403" s="26"/>
      <c r="J403" s="26"/>
      <c r="K403" s="26"/>
      <c r="L403" s="26"/>
      <c r="M403" s="26"/>
      <c r="N403" s="148"/>
      <c r="O403" s="26"/>
      <c r="P403" s="26"/>
      <c r="Q403" s="26"/>
      <c r="R403" s="435"/>
      <c r="S403" s="136"/>
      <c r="T403" s="26"/>
      <c r="U403" s="45"/>
      <c r="V403" s="26"/>
      <c r="W403" s="26"/>
    </row>
    <row r="404" spans="1:23" x14ac:dyDescent="0.35">
      <c r="A404" s="26"/>
      <c r="B404" s="1016"/>
      <c r="C404" s="26"/>
      <c r="D404" s="26"/>
      <c r="E404" s="44"/>
      <c r="F404" s="26"/>
      <c r="G404" s="26"/>
      <c r="H404" s="147"/>
      <c r="I404" s="26"/>
      <c r="J404" s="26"/>
      <c r="K404" s="26"/>
      <c r="L404" s="26"/>
      <c r="M404" s="26"/>
      <c r="N404" s="148"/>
      <c r="O404" s="26"/>
      <c r="P404" s="26"/>
      <c r="Q404" s="26"/>
      <c r="R404" s="435"/>
      <c r="S404" s="136"/>
      <c r="T404" s="26"/>
      <c r="U404" s="45"/>
      <c r="V404" s="26"/>
      <c r="W404" s="26"/>
    </row>
    <row r="405" spans="1:23" x14ac:dyDescent="0.35">
      <c r="A405" s="26"/>
      <c r="B405" s="1016"/>
      <c r="C405" s="26"/>
      <c r="D405" s="26"/>
      <c r="E405" s="44"/>
      <c r="F405" s="26"/>
      <c r="G405" s="26"/>
      <c r="H405" s="147"/>
      <c r="I405" s="26"/>
      <c r="J405" s="26"/>
      <c r="K405" s="26"/>
      <c r="L405" s="26"/>
      <c r="M405" s="26"/>
      <c r="N405" s="148"/>
      <c r="O405" s="26"/>
      <c r="P405" s="26"/>
      <c r="Q405" s="26"/>
      <c r="R405" s="435"/>
      <c r="S405" s="136"/>
      <c r="T405" s="26"/>
      <c r="U405" s="45"/>
      <c r="V405" s="26"/>
      <c r="W405" s="26"/>
    </row>
    <row r="406" spans="1:23" x14ac:dyDescent="0.35">
      <c r="A406" s="95"/>
      <c r="B406" s="1016"/>
      <c r="C406" s="26"/>
      <c r="D406" s="1016"/>
      <c r="E406" s="113"/>
      <c r="F406" s="26"/>
      <c r="G406" s="1016"/>
      <c r="H406" s="285"/>
      <c r="I406" s="331"/>
      <c r="J406" s="1016"/>
      <c r="K406" s="466"/>
      <c r="L406" s="26"/>
      <c r="M406" s="26"/>
      <c r="N406" s="148"/>
      <c r="O406" s="26"/>
      <c r="P406" s="26"/>
      <c r="Q406" s="26"/>
      <c r="R406" s="435"/>
      <c r="S406" s="136"/>
      <c r="T406" s="26"/>
      <c r="U406" s="45"/>
      <c r="V406" s="26"/>
      <c r="W406" s="26"/>
    </row>
    <row r="407" spans="1:23" x14ac:dyDescent="0.35">
      <c r="A407" s="95"/>
      <c r="B407" s="69"/>
      <c r="C407" s="26"/>
      <c r="D407" s="1016"/>
      <c r="E407" s="113"/>
      <c r="F407" s="26"/>
      <c r="G407" s="1016"/>
      <c r="H407" s="285"/>
      <c r="I407" s="331"/>
      <c r="J407" s="1016"/>
      <c r="K407" s="466"/>
      <c r="L407" s="26"/>
      <c r="M407" s="26"/>
      <c r="N407" s="148"/>
      <c r="O407" s="26"/>
      <c r="P407" s="26"/>
      <c r="Q407" s="26"/>
      <c r="R407" s="435"/>
      <c r="S407" s="136"/>
      <c r="T407" s="26"/>
      <c r="U407" s="45"/>
      <c r="V407" s="26"/>
      <c r="W407" s="26"/>
    </row>
    <row r="408" spans="1:23" x14ac:dyDescent="0.35">
      <c r="A408" s="95"/>
      <c r="B408" s="69"/>
      <c r="C408" s="26"/>
      <c r="D408" s="1016"/>
      <c r="E408" s="113"/>
      <c r="F408" s="26"/>
      <c r="G408" s="1016"/>
      <c r="H408" s="285"/>
      <c r="I408" s="331"/>
      <c r="J408" s="1016"/>
      <c r="K408" s="466"/>
      <c r="L408" s="26"/>
      <c r="M408" s="26"/>
      <c r="N408" s="148"/>
      <c r="O408" s="26"/>
      <c r="P408" s="26"/>
      <c r="Q408" s="26"/>
      <c r="R408" s="435"/>
      <c r="S408" s="136"/>
      <c r="T408" s="26"/>
      <c r="U408" s="45"/>
      <c r="V408" s="26"/>
      <c r="W408" s="26"/>
    </row>
    <row r="409" spans="1:23" x14ac:dyDescent="0.35">
      <c r="A409" s="26"/>
      <c r="B409" s="69"/>
      <c r="C409" s="26"/>
      <c r="D409" s="26"/>
      <c r="E409" s="44"/>
      <c r="F409" s="26"/>
      <c r="G409" s="26"/>
      <c r="H409" s="147"/>
      <c r="I409" s="26"/>
      <c r="J409" s="26"/>
      <c r="K409" s="26"/>
      <c r="L409" s="26"/>
      <c r="M409" s="26"/>
      <c r="N409" s="148"/>
      <c r="O409" s="26"/>
      <c r="P409" s="26"/>
      <c r="Q409" s="26"/>
      <c r="R409" s="435"/>
      <c r="S409" s="136"/>
      <c r="T409" s="26"/>
      <c r="U409" s="45"/>
      <c r="V409" s="26"/>
      <c r="W409" s="26"/>
    </row>
    <row r="410" spans="1:23" x14ac:dyDescent="0.35">
      <c r="A410" s="26"/>
      <c r="B410" s="1016"/>
      <c r="C410" s="26"/>
      <c r="D410" s="26"/>
      <c r="E410" s="44"/>
      <c r="F410" s="26"/>
      <c r="G410" s="26"/>
      <c r="H410" s="147"/>
      <c r="I410" s="26"/>
      <c r="J410" s="26"/>
      <c r="K410" s="26"/>
      <c r="L410" s="26"/>
      <c r="M410" s="26"/>
      <c r="N410" s="148"/>
      <c r="O410" s="26"/>
      <c r="P410" s="26"/>
      <c r="Q410" s="26"/>
      <c r="R410" s="435"/>
      <c r="S410" s="136"/>
      <c r="T410" s="26"/>
      <c r="U410" s="45"/>
      <c r="V410" s="26"/>
      <c r="W410" s="26"/>
    </row>
    <row r="411" spans="1:23" x14ac:dyDescent="0.35">
      <c r="A411" s="26"/>
      <c r="B411" s="1016"/>
      <c r="C411" s="26"/>
      <c r="D411" s="26"/>
      <c r="E411" s="44"/>
      <c r="F411" s="26"/>
      <c r="G411" s="26"/>
      <c r="H411" s="147"/>
      <c r="I411" s="26"/>
      <c r="J411" s="26"/>
      <c r="K411" s="26"/>
      <c r="L411" s="26"/>
      <c r="M411" s="26"/>
      <c r="N411" s="148"/>
      <c r="O411" s="26"/>
      <c r="P411" s="26"/>
      <c r="Q411" s="26"/>
      <c r="R411" s="435"/>
      <c r="S411" s="136"/>
      <c r="T411" s="26"/>
      <c r="U411" s="45"/>
      <c r="V411" s="26"/>
      <c r="W411" s="26"/>
    </row>
    <row r="412" spans="1:23" x14ac:dyDescent="0.35">
      <c r="A412" s="26"/>
      <c r="B412" s="1016"/>
      <c r="C412" s="26"/>
      <c r="D412" s="26"/>
      <c r="E412" s="44"/>
      <c r="F412" s="26"/>
      <c r="G412" s="26"/>
      <c r="H412" s="147"/>
      <c r="I412" s="26"/>
      <c r="J412" s="26"/>
      <c r="K412" s="26"/>
      <c r="L412" s="26"/>
      <c r="M412" s="26"/>
      <c r="N412" s="148"/>
      <c r="O412" s="26"/>
      <c r="P412" s="26"/>
      <c r="Q412" s="26"/>
      <c r="R412" s="435"/>
      <c r="S412" s="136"/>
      <c r="T412" s="26"/>
      <c r="U412" s="45"/>
      <c r="V412" s="26"/>
      <c r="W412" s="26"/>
    </row>
    <row r="413" spans="1:23" x14ac:dyDescent="0.35">
      <c r="A413" s="26"/>
      <c r="B413" s="1016"/>
      <c r="C413" s="26"/>
      <c r="D413" s="26"/>
      <c r="E413" s="44"/>
      <c r="F413" s="26"/>
      <c r="G413" s="26"/>
      <c r="H413" s="147"/>
      <c r="I413" s="26"/>
      <c r="J413" s="26"/>
      <c r="K413" s="26"/>
      <c r="L413" s="26"/>
      <c r="M413" s="26"/>
      <c r="N413" s="148"/>
      <c r="O413" s="26"/>
      <c r="P413" s="26"/>
      <c r="Q413" s="26"/>
      <c r="R413" s="435"/>
      <c r="S413" s="136"/>
      <c r="T413" s="26"/>
      <c r="U413" s="45"/>
      <c r="V413" s="26"/>
      <c r="W413" s="26"/>
    </row>
    <row r="414" spans="1:23" x14ac:dyDescent="0.35">
      <c r="A414" s="26"/>
      <c r="B414" s="1016"/>
      <c r="C414" s="26"/>
      <c r="D414" s="26"/>
      <c r="E414" s="44"/>
      <c r="F414" s="26"/>
      <c r="G414" s="26"/>
      <c r="H414" s="147"/>
      <c r="I414" s="26"/>
      <c r="J414" s="26"/>
      <c r="K414" s="26"/>
      <c r="L414" s="26"/>
      <c r="M414" s="26"/>
      <c r="N414" s="148"/>
      <c r="O414" s="26"/>
      <c r="P414" s="26"/>
      <c r="Q414" s="26"/>
      <c r="R414" s="435"/>
      <c r="S414" s="136"/>
      <c r="T414" s="26"/>
      <c r="U414" s="45"/>
      <c r="V414" s="26"/>
      <c r="W414" s="26"/>
    </row>
    <row r="415" spans="1:23" x14ac:dyDescent="0.35">
      <c r="A415" s="26"/>
      <c r="B415" s="1016"/>
      <c r="C415" s="26"/>
      <c r="D415" s="26"/>
      <c r="E415" s="44"/>
      <c r="F415" s="26"/>
      <c r="G415" s="26"/>
      <c r="H415" s="147"/>
      <c r="I415" s="26"/>
      <c r="J415" s="26"/>
      <c r="K415" s="26"/>
      <c r="L415" s="26"/>
      <c r="M415" s="26"/>
      <c r="N415" s="148"/>
      <c r="O415" s="26"/>
      <c r="P415" s="26"/>
      <c r="Q415" s="26"/>
      <c r="R415" s="435"/>
      <c r="S415" s="136"/>
      <c r="T415" s="26"/>
      <c r="U415" s="45"/>
      <c r="V415" s="26"/>
      <c r="W415" s="26"/>
    </row>
    <row r="416" spans="1:23" x14ac:dyDescent="0.35">
      <c r="A416" s="26"/>
      <c r="B416" s="1016"/>
      <c r="C416" s="26"/>
      <c r="D416" s="26"/>
      <c r="E416" s="44"/>
      <c r="F416" s="26"/>
      <c r="G416" s="26"/>
      <c r="H416" s="147"/>
      <c r="I416" s="26"/>
      <c r="J416" s="26"/>
      <c r="K416" s="26"/>
      <c r="L416" s="26"/>
      <c r="M416" s="26"/>
      <c r="N416" s="148"/>
      <c r="O416" s="26"/>
      <c r="P416" s="26"/>
      <c r="Q416" s="26"/>
      <c r="R416" s="435"/>
      <c r="S416" s="136"/>
      <c r="T416" s="26"/>
      <c r="U416" s="45"/>
      <c r="V416" s="26"/>
      <c r="W416" s="26"/>
    </row>
    <row r="417" spans="1:23" x14ac:dyDescent="0.35">
      <c r="A417" s="26"/>
      <c r="B417" s="1016"/>
      <c r="C417" s="26"/>
      <c r="D417" s="26"/>
      <c r="E417" s="44"/>
      <c r="F417" s="26"/>
      <c r="G417" s="26"/>
      <c r="H417" s="147"/>
      <c r="I417" s="26"/>
      <c r="J417" s="26"/>
      <c r="K417" s="26"/>
      <c r="L417" s="26"/>
      <c r="M417" s="26"/>
      <c r="N417" s="148"/>
      <c r="O417" s="26"/>
      <c r="P417" s="26"/>
      <c r="Q417" s="26"/>
      <c r="R417" s="435"/>
      <c r="S417" s="136"/>
      <c r="T417" s="26"/>
      <c r="U417" s="45"/>
      <c r="V417" s="26"/>
      <c r="W417" s="26"/>
    </row>
    <row r="418" spans="1:23" x14ac:dyDescent="0.35">
      <c r="A418" s="26"/>
      <c r="B418" s="1016"/>
      <c r="C418" s="26"/>
      <c r="D418" s="26"/>
      <c r="E418" s="44"/>
      <c r="F418" s="26"/>
      <c r="G418" s="26"/>
      <c r="H418" s="147"/>
      <c r="I418" s="26"/>
      <c r="J418" s="26"/>
      <c r="K418" s="26"/>
      <c r="L418" s="26"/>
      <c r="M418" s="26"/>
      <c r="N418" s="148"/>
      <c r="O418" s="26"/>
      <c r="P418" s="26"/>
      <c r="Q418" s="26"/>
      <c r="R418" s="435"/>
      <c r="S418" s="136"/>
      <c r="T418" s="26"/>
      <c r="U418" s="45"/>
      <c r="V418" s="26"/>
      <c r="W418" s="26"/>
    </row>
    <row r="419" spans="1:23" x14ac:dyDescent="0.35">
      <c r="A419" s="26"/>
      <c r="B419" s="1016"/>
      <c r="C419" s="26"/>
      <c r="D419" s="26"/>
      <c r="E419" s="44"/>
      <c r="F419" s="26"/>
      <c r="G419" s="26"/>
      <c r="H419" s="147"/>
      <c r="I419" s="26"/>
      <c r="J419" s="26"/>
      <c r="K419" s="26"/>
      <c r="L419" s="26"/>
      <c r="M419" s="26"/>
      <c r="N419" s="148"/>
      <c r="O419" s="26"/>
      <c r="P419" s="26"/>
      <c r="Q419" s="26"/>
      <c r="R419" s="435"/>
      <c r="S419" s="136"/>
      <c r="T419" s="26"/>
      <c r="U419" s="45"/>
      <c r="V419" s="26"/>
      <c r="W419" s="26"/>
    </row>
    <row r="420" spans="1:23" x14ac:dyDescent="0.35">
      <c r="A420" s="26"/>
      <c r="B420" s="1016"/>
      <c r="C420" s="26"/>
      <c r="D420" s="26"/>
      <c r="E420" s="44"/>
      <c r="F420" s="26"/>
      <c r="G420" s="26"/>
      <c r="H420" s="147"/>
      <c r="I420" s="26"/>
      <c r="J420" s="26"/>
      <c r="K420" s="26"/>
      <c r="L420" s="26"/>
      <c r="M420" s="26"/>
      <c r="N420" s="148"/>
      <c r="O420" s="26"/>
      <c r="P420" s="26"/>
      <c r="Q420" s="26"/>
      <c r="R420" s="435"/>
      <c r="S420" s="136"/>
      <c r="T420" s="26"/>
      <c r="U420" s="45"/>
      <c r="V420" s="26"/>
      <c r="W420" s="26"/>
    </row>
    <row r="421" spans="1:23" x14ac:dyDescent="0.35">
      <c r="A421" s="26"/>
      <c r="B421" s="1016"/>
      <c r="C421" s="26"/>
      <c r="D421" s="26"/>
      <c r="E421" s="44"/>
      <c r="F421" s="26"/>
      <c r="G421" s="26"/>
      <c r="H421" s="147"/>
      <c r="I421" s="26"/>
      <c r="J421" s="26"/>
      <c r="K421" s="26"/>
      <c r="L421" s="26"/>
      <c r="M421" s="26"/>
      <c r="N421" s="148"/>
      <c r="O421" s="26"/>
      <c r="P421" s="26"/>
      <c r="Q421" s="26"/>
      <c r="R421" s="435"/>
      <c r="S421" s="136"/>
      <c r="T421" s="26"/>
      <c r="U421" s="45"/>
      <c r="V421" s="26"/>
      <c r="W421" s="26"/>
    </row>
    <row r="422" spans="1:23" x14ac:dyDescent="0.35">
      <c r="A422" s="26"/>
      <c r="B422" s="1016"/>
      <c r="C422" s="26"/>
      <c r="D422" s="26"/>
      <c r="E422" s="44"/>
      <c r="F422" s="26"/>
      <c r="G422" s="26"/>
      <c r="H422" s="147"/>
      <c r="I422" s="26"/>
      <c r="J422" s="26"/>
      <c r="K422" s="26"/>
      <c r="L422" s="26"/>
      <c r="M422" s="26"/>
      <c r="N422" s="148"/>
      <c r="O422" s="26"/>
      <c r="P422" s="26"/>
      <c r="Q422" s="26"/>
      <c r="R422" s="435"/>
      <c r="S422" s="136"/>
      <c r="T422" s="26"/>
      <c r="U422" s="45"/>
      <c r="V422" s="26"/>
      <c r="W422" s="26"/>
    </row>
    <row r="423" spans="1:23" x14ac:dyDescent="0.35">
      <c r="A423" s="26"/>
      <c r="B423" s="1016"/>
      <c r="C423" s="26"/>
      <c r="D423" s="26"/>
      <c r="E423" s="44"/>
      <c r="F423" s="26"/>
      <c r="G423" s="26"/>
      <c r="H423" s="147"/>
      <c r="I423" s="26"/>
      <c r="J423" s="26"/>
      <c r="K423" s="26"/>
      <c r="L423" s="26"/>
      <c r="M423" s="26"/>
      <c r="N423" s="148"/>
      <c r="O423" s="26"/>
      <c r="P423" s="26"/>
      <c r="Q423" s="26"/>
      <c r="R423" s="435"/>
      <c r="S423" s="136"/>
      <c r="T423" s="26"/>
      <c r="U423" s="45"/>
      <c r="V423" s="26"/>
      <c r="W423" s="26"/>
    </row>
    <row r="424" spans="1:23" x14ac:dyDescent="0.35">
      <c r="A424" s="26"/>
      <c r="B424" s="1016"/>
      <c r="C424" s="26"/>
      <c r="D424" s="26"/>
      <c r="E424" s="44"/>
      <c r="F424" s="26"/>
      <c r="G424" s="26"/>
      <c r="H424" s="147"/>
      <c r="I424" s="26"/>
      <c r="J424" s="26"/>
      <c r="K424" s="26"/>
      <c r="L424" s="26"/>
      <c r="M424" s="26"/>
      <c r="N424" s="148"/>
      <c r="O424" s="26"/>
      <c r="P424" s="26"/>
      <c r="Q424" s="26"/>
      <c r="R424" s="435"/>
      <c r="S424" s="136"/>
      <c r="T424" s="26"/>
      <c r="U424" s="45"/>
      <c r="V424" s="26"/>
      <c r="W424" s="26"/>
    </row>
    <row r="425" spans="1:23" x14ac:dyDescent="0.35">
      <c r="A425" s="26"/>
      <c r="B425" s="1016"/>
      <c r="C425" s="26"/>
      <c r="D425" s="26"/>
      <c r="E425" s="44"/>
      <c r="F425" s="26"/>
      <c r="G425" s="26"/>
      <c r="H425" s="147"/>
      <c r="I425" s="26"/>
      <c r="J425" s="26"/>
      <c r="K425" s="26"/>
      <c r="L425" s="26"/>
      <c r="M425" s="26"/>
      <c r="N425" s="148"/>
      <c r="O425" s="26"/>
      <c r="P425" s="26"/>
      <c r="Q425" s="26"/>
      <c r="R425" s="435"/>
      <c r="S425" s="136"/>
      <c r="T425" s="26"/>
      <c r="U425" s="45"/>
      <c r="V425" s="26"/>
      <c r="W425" s="26"/>
    </row>
    <row r="426" spans="1:23" x14ac:dyDescent="0.35">
      <c r="A426" s="26"/>
      <c r="B426" s="1016"/>
      <c r="C426" s="26"/>
      <c r="D426" s="26"/>
      <c r="E426" s="44"/>
      <c r="F426" s="26"/>
      <c r="G426" s="26"/>
      <c r="H426" s="147"/>
      <c r="I426" s="26"/>
      <c r="J426" s="26"/>
      <c r="K426" s="26"/>
      <c r="L426" s="26"/>
      <c r="M426" s="26"/>
      <c r="N426" s="148"/>
      <c r="O426" s="26"/>
      <c r="P426" s="26"/>
      <c r="Q426" s="26"/>
      <c r="R426" s="435"/>
      <c r="S426" s="136"/>
      <c r="T426" s="26"/>
      <c r="U426" s="45"/>
      <c r="V426" s="26"/>
      <c r="W426" s="26"/>
    </row>
    <row r="427" spans="1:23" x14ac:dyDescent="0.35">
      <c r="A427" s="26"/>
      <c r="B427" s="1016"/>
      <c r="C427" s="26"/>
      <c r="D427" s="26"/>
      <c r="E427" s="44"/>
      <c r="F427" s="26"/>
      <c r="G427" s="26"/>
      <c r="H427" s="147"/>
      <c r="I427" s="26"/>
      <c r="J427" s="26"/>
      <c r="K427" s="26"/>
      <c r="L427" s="26"/>
      <c r="M427" s="26"/>
      <c r="N427" s="148"/>
      <c r="O427" s="26"/>
      <c r="P427" s="26"/>
      <c r="Q427" s="26"/>
      <c r="R427" s="435"/>
      <c r="S427" s="136"/>
      <c r="T427" s="26"/>
      <c r="U427" s="45"/>
      <c r="V427" s="26"/>
      <c r="W427" s="26"/>
    </row>
    <row r="428" spans="1:23" x14ac:dyDescent="0.35">
      <c r="A428" s="26"/>
      <c r="B428" s="1016"/>
      <c r="C428" s="26"/>
      <c r="D428" s="26"/>
      <c r="E428" s="44"/>
      <c r="F428" s="26"/>
      <c r="G428" s="26"/>
      <c r="H428" s="147"/>
      <c r="I428" s="26"/>
      <c r="J428" s="26"/>
      <c r="K428" s="26"/>
      <c r="L428" s="26"/>
      <c r="M428" s="26"/>
      <c r="N428" s="148"/>
      <c r="O428" s="26"/>
      <c r="P428" s="26"/>
      <c r="Q428" s="26"/>
      <c r="R428" s="435"/>
      <c r="S428" s="136"/>
      <c r="T428" s="26"/>
      <c r="U428" s="45"/>
      <c r="V428" s="26"/>
      <c r="W428" s="26"/>
    </row>
    <row r="429" spans="1:23" x14ac:dyDescent="0.35">
      <c r="A429" s="26"/>
      <c r="B429" s="1016"/>
      <c r="C429" s="26"/>
      <c r="D429" s="26"/>
      <c r="E429" s="44"/>
      <c r="F429" s="26"/>
      <c r="G429" s="26"/>
      <c r="H429" s="147"/>
      <c r="I429" s="26"/>
      <c r="J429" s="26"/>
      <c r="K429" s="26"/>
      <c r="L429" s="26"/>
      <c r="M429" s="26"/>
      <c r="N429" s="148"/>
      <c r="O429" s="26"/>
      <c r="P429" s="26"/>
      <c r="Q429" s="26"/>
      <c r="R429" s="435"/>
      <c r="S429" s="136"/>
      <c r="T429" s="26"/>
      <c r="U429" s="45"/>
      <c r="V429" s="26"/>
      <c r="W429" s="26"/>
    </row>
    <row r="430" spans="1:23" x14ac:dyDescent="0.35">
      <c r="A430" s="26"/>
      <c r="B430" s="1016"/>
      <c r="C430" s="26"/>
      <c r="D430" s="26"/>
      <c r="E430" s="44"/>
      <c r="F430" s="26"/>
      <c r="G430" s="26"/>
      <c r="H430" s="147"/>
      <c r="I430" s="26"/>
      <c r="J430" s="26"/>
      <c r="K430" s="26"/>
      <c r="L430" s="26"/>
      <c r="M430" s="26"/>
      <c r="N430" s="148"/>
      <c r="O430" s="26"/>
      <c r="P430" s="26"/>
      <c r="Q430" s="26"/>
      <c r="R430" s="435"/>
      <c r="S430" s="136"/>
      <c r="T430" s="26"/>
      <c r="U430" s="45"/>
      <c r="V430" s="26"/>
      <c r="W430" s="26"/>
    </row>
    <row r="431" spans="1:23" x14ac:dyDescent="0.35">
      <c r="A431" s="26"/>
      <c r="B431" s="1016"/>
      <c r="C431" s="26"/>
      <c r="D431" s="26"/>
      <c r="E431" s="44"/>
      <c r="F431" s="26"/>
      <c r="G431" s="26"/>
      <c r="H431" s="147"/>
      <c r="I431" s="26"/>
      <c r="J431" s="26"/>
      <c r="K431" s="26"/>
      <c r="L431" s="26"/>
      <c r="M431" s="26"/>
      <c r="N431" s="148"/>
      <c r="O431" s="26"/>
      <c r="P431" s="26"/>
      <c r="Q431" s="26"/>
      <c r="R431" s="435"/>
      <c r="S431" s="136"/>
      <c r="T431" s="26"/>
      <c r="U431" s="45"/>
      <c r="V431" s="26"/>
      <c r="W431" s="26"/>
    </row>
    <row r="432" spans="1:23" x14ac:dyDescent="0.35">
      <c r="A432" s="26"/>
      <c r="B432" s="1016"/>
      <c r="C432" s="26"/>
      <c r="D432" s="26"/>
      <c r="E432" s="44"/>
      <c r="F432" s="26"/>
      <c r="G432" s="26"/>
      <c r="H432" s="147"/>
      <c r="I432" s="26"/>
      <c r="J432" s="26"/>
      <c r="K432" s="26"/>
      <c r="L432" s="26"/>
      <c r="M432" s="26"/>
      <c r="N432" s="148"/>
      <c r="O432" s="26"/>
      <c r="P432" s="26"/>
      <c r="Q432" s="26"/>
      <c r="R432" s="435"/>
      <c r="S432" s="136"/>
      <c r="T432" s="26"/>
      <c r="U432" s="45"/>
      <c r="V432" s="26"/>
      <c r="W432" s="26"/>
    </row>
    <row r="433" spans="1:23" x14ac:dyDescent="0.35">
      <c r="A433" s="26"/>
      <c r="B433" s="1016"/>
      <c r="C433" s="26"/>
      <c r="D433" s="26"/>
      <c r="E433" s="44"/>
      <c r="F433" s="26"/>
      <c r="G433" s="26"/>
      <c r="H433" s="147"/>
      <c r="I433" s="26"/>
      <c r="J433" s="26"/>
      <c r="K433" s="26"/>
      <c r="L433" s="26"/>
      <c r="M433" s="26"/>
      <c r="N433" s="148"/>
      <c r="O433" s="26"/>
      <c r="P433" s="26"/>
      <c r="Q433" s="26"/>
      <c r="R433" s="435"/>
      <c r="S433" s="136"/>
      <c r="T433" s="26"/>
      <c r="U433" s="45"/>
      <c r="V433" s="26"/>
      <c r="W433" s="26"/>
    </row>
    <row r="434" spans="1:23" x14ac:dyDescent="0.35">
      <c r="A434" s="26"/>
      <c r="B434" s="1016"/>
      <c r="C434" s="26"/>
      <c r="D434" s="26"/>
      <c r="E434" s="44"/>
      <c r="F434" s="26"/>
      <c r="G434" s="26"/>
      <c r="H434" s="147"/>
      <c r="I434" s="26"/>
      <c r="J434" s="26"/>
      <c r="K434" s="26"/>
      <c r="L434" s="26"/>
      <c r="M434" s="26"/>
      <c r="N434" s="148"/>
      <c r="O434" s="26"/>
      <c r="P434" s="26"/>
      <c r="Q434" s="26"/>
      <c r="R434" s="435"/>
      <c r="S434" s="136"/>
      <c r="T434" s="26"/>
      <c r="U434" s="45"/>
      <c r="V434" s="26"/>
      <c r="W434" s="26"/>
    </row>
    <row r="435" spans="1:23" x14ac:dyDescent="0.35">
      <c r="A435" s="26"/>
      <c r="B435" s="1016"/>
      <c r="C435" s="26"/>
      <c r="D435" s="26"/>
      <c r="E435" s="44"/>
      <c r="F435" s="26"/>
      <c r="G435" s="26"/>
      <c r="H435" s="147"/>
      <c r="I435" s="26"/>
      <c r="J435" s="26"/>
      <c r="K435" s="26"/>
      <c r="L435" s="26"/>
      <c r="M435" s="26"/>
      <c r="N435" s="148"/>
      <c r="O435" s="26"/>
      <c r="P435" s="26"/>
      <c r="Q435" s="26"/>
      <c r="R435" s="435"/>
      <c r="S435" s="136"/>
      <c r="T435" s="26"/>
      <c r="U435" s="45"/>
      <c r="V435" s="26"/>
      <c r="W435" s="26"/>
    </row>
    <row r="436" spans="1:23" x14ac:dyDescent="0.35">
      <c r="A436" s="26"/>
      <c r="B436" s="1016"/>
      <c r="C436" s="26"/>
      <c r="D436" s="26"/>
      <c r="E436" s="44"/>
      <c r="F436" s="26"/>
      <c r="G436" s="26"/>
      <c r="H436" s="147"/>
      <c r="I436" s="26"/>
      <c r="J436" s="26"/>
      <c r="K436" s="26"/>
      <c r="L436" s="26"/>
      <c r="M436" s="26"/>
      <c r="N436" s="148"/>
      <c r="O436" s="26"/>
      <c r="P436" s="26"/>
      <c r="Q436" s="26"/>
      <c r="R436" s="435"/>
      <c r="S436" s="136"/>
      <c r="T436" s="26"/>
      <c r="U436" s="45"/>
      <c r="V436" s="26"/>
      <c r="W436" s="26"/>
    </row>
    <row r="437" spans="1:23" x14ac:dyDescent="0.35">
      <c r="A437" s="26"/>
      <c r="B437" s="1016"/>
      <c r="C437" s="26"/>
      <c r="D437" s="26"/>
      <c r="E437" s="44"/>
      <c r="F437" s="26"/>
      <c r="G437" s="26"/>
      <c r="H437" s="147"/>
      <c r="I437" s="26"/>
      <c r="J437" s="26"/>
      <c r="K437" s="26"/>
      <c r="L437" s="26"/>
      <c r="M437" s="26"/>
      <c r="N437" s="148"/>
      <c r="O437" s="26"/>
      <c r="P437" s="26"/>
      <c r="Q437" s="26"/>
      <c r="R437" s="435"/>
      <c r="S437" s="136"/>
      <c r="T437" s="26"/>
      <c r="U437" s="45"/>
      <c r="V437" s="26"/>
      <c r="W437" s="26"/>
    </row>
    <row r="438" spans="1:23" x14ac:dyDescent="0.35">
      <c r="A438" s="26"/>
      <c r="B438" s="1016"/>
      <c r="C438" s="26"/>
      <c r="D438" s="26"/>
      <c r="E438" s="44"/>
      <c r="F438" s="26"/>
      <c r="G438" s="26"/>
      <c r="H438" s="147"/>
      <c r="I438" s="26"/>
      <c r="J438" s="26"/>
      <c r="K438" s="26"/>
      <c r="L438" s="26"/>
      <c r="M438" s="26"/>
      <c r="N438" s="148"/>
      <c r="O438" s="26"/>
      <c r="P438" s="26"/>
      <c r="Q438" s="26"/>
      <c r="R438" s="435"/>
      <c r="S438" s="136"/>
      <c r="T438" s="26"/>
      <c r="U438" s="45"/>
      <c r="V438" s="26"/>
      <c r="W438" s="26"/>
    </row>
    <row r="439" spans="1:23" x14ac:dyDescent="0.35">
      <c r="A439" s="26"/>
      <c r="B439" s="1016"/>
      <c r="C439" s="26"/>
      <c r="D439" s="26"/>
      <c r="E439" s="44"/>
      <c r="F439" s="26"/>
      <c r="G439" s="26"/>
      <c r="H439" s="147"/>
      <c r="I439" s="26"/>
      <c r="J439" s="26"/>
      <c r="K439" s="26"/>
      <c r="L439" s="26"/>
      <c r="M439" s="26"/>
      <c r="N439" s="148"/>
      <c r="O439" s="26"/>
      <c r="P439" s="26"/>
      <c r="Q439" s="26"/>
      <c r="R439" s="435"/>
      <c r="S439" s="136"/>
      <c r="T439" s="26"/>
      <c r="U439" s="45"/>
      <c r="V439" s="26"/>
      <c r="W439" s="26"/>
    </row>
    <row r="440" spans="1:23" x14ac:dyDescent="0.35">
      <c r="A440" s="26"/>
      <c r="B440" s="1016"/>
      <c r="C440" s="26"/>
      <c r="D440" s="26"/>
      <c r="E440" s="44"/>
      <c r="F440" s="26"/>
      <c r="G440" s="26"/>
      <c r="H440" s="147"/>
      <c r="I440" s="26"/>
      <c r="J440" s="26"/>
      <c r="K440" s="26"/>
      <c r="L440" s="26"/>
      <c r="M440" s="26"/>
      <c r="N440" s="148"/>
      <c r="O440" s="26"/>
      <c r="P440" s="26"/>
      <c r="Q440" s="26"/>
      <c r="R440" s="435"/>
      <c r="S440" s="136"/>
      <c r="T440" s="26"/>
      <c r="U440" s="45"/>
      <c r="V440" s="26"/>
      <c r="W440" s="26"/>
    </row>
    <row r="441" spans="1:23" x14ac:dyDescent="0.35">
      <c r="A441" s="26"/>
      <c r="B441" s="1016"/>
      <c r="C441" s="26"/>
      <c r="D441" s="26"/>
      <c r="E441" s="44"/>
      <c r="F441" s="26"/>
      <c r="G441" s="26"/>
      <c r="H441" s="147"/>
      <c r="I441" s="26"/>
      <c r="J441" s="26"/>
      <c r="K441" s="26"/>
      <c r="L441" s="26"/>
      <c r="M441" s="26"/>
      <c r="N441" s="148"/>
      <c r="O441" s="26"/>
      <c r="P441" s="26"/>
      <c r="Q441" s="26"/>
      <c r="R441" s="435"/>
      <c r="S441" s="136"/>
      <c r="T441" s="26"/>
      <c r="U441" s="45"/>
      <c r="V441" s="26"/>
      <c r="W441" s="26"/>
    </row>
    <row r="442" spans="1:23" x14ac:dyDescent="0.35">
      <c r="A442" s="26"/>
      <c r="B442" s="1016"/>
      <c r="C442" s="26"/>
      <c r="D442" s="26"/>
      <c r="E442" s="44"/>
      <c r="F442" s="26"/>
      <c r="G442" s="26"/>
      <c r="H442" s="147"/>
      <c r="I442" s="26"/>
      <c r="J442" s="26"/>
      <c r="K442" s="26"/>
      <c r="L442" s="26"/>
      <c r="M442" s="26"/>
      <c r="N442" s="148"/>
      <c r="O442" s="26"/>
      <c r="P442" s="26"/>
      <c r="Q442" s="26"/>
      <c r="R442" s="435"/>
      <c r="S442" s="136"/>
      <c r="T442" s="26"/>
      <c r="U442" s="45"/>
      <c r="V442" s="26"/>
      <c r="W442" s="26"/>
    </row>
    <row r="443" spans="1:23" x14ac:dyDescent="0.35">
      <c r="A443" s="26"/>
      <c r="B443" s="1016"/>
      <c r="C443" s="26"/>
      <c r="D443" s="26"/>
      <c r="E443" s="44"/>
      <c r="F443" s="26"/>
      <c r="G443" s="26"/>
      <c r="H443" s="147"/>
      <c r="I443" s="26"/>
      <c r="J443" s="26"/>
      <c r="K443" s="26"/>
      <c r="L443" s="26"/>
      <c r="M443" s="26"/>
      <c r="N443" s="148"/>
      <c r="O443" s="26"/>
      <c r="P443" s="26"/>
      <c r="Q443" s="26"/>
      <c r="R443" s="435"/>
      <c r="S443" s="136"/>
      <c r="T443" s="26"/>
      <c r="U443" s="45"/>
      <c r="V443" s="26"/>
      <c r="W443" s="26"/>
    </row>
    <row r="444" spans="1:23" x14ac:dyDescent="0.35">
      <c r="A444" s="26"/>
      <c r="B444" s="1016"/>
      <c r="C444" s="26"/>
      <c r="D444" s="26"/>
      <c r="E444" s="44"/>
      <c r="F444" s="26"/>
      <c r="G444" s="26"/>
      <c r="H444" s="147"/>
      <c r="I444" s="26"/>
      <c r="J444" s="26"/>
      <c r="K444" s="26"/>
      <c r="L444" s="26"/>
      <c r="M444" s="26"/>
      <c r="N444" s="148"/>
      <c r="O444" s="26"/>
      <c r="P444" s="26"/>
      <c r="Q444" s="26"/>
      <c r="R444" s="435"/>
      <c r="S444" s="136"/>
      <c r="T444" s="26"/>
      <c r="U444" s="45"/>
      <c r="V444" s="26"/>
      <c r="W444" s="26"/>
    </row>
    <row r="445" spans="1:23" x14ac:dyDescent="0.35">
      <c r="A445" s="26"/>
      <c r="B445" s="1016"/>
      <c r="C445" s="26"/>
      <c r="D445" s="26"/>
      <c r="E445" s="44"/>
      <c r="F445" s="26"/>
      <c r="G445" s="26"/>
      <c r="H445" s="147"/>
      <c r="I445" s="26"/>
      <c r="J445" s="26"/>
      <c r="K445" s="26"/>
      <c r="L445" s="26"/>
      <c r="M445" s="26"/>
      <c r="N445" s="148"/>
      <c r="O445" s="26"/>
      <c r="P445" s="26"/>
      <c r="Q445" s="26"/>
      <c r="R445" s="435"/>
      <c r="S445" s="136"/>
      <c r="T445" s="26"/>
      <c r="U445" s="45"/>
      <c r="V445" s="26"/>
      <c r="W445" s="26"/>
    </row>
    <row r="446" spans="1:23" x14ac:dyDescent="0.35">
      <c r="A446" s="26"/>
      <c r="B446" s="1016"/>
      <c r="C446" s="26"/>
      <c r="D446" s="26"/>
      <c r="E446" s="44"/>
      <c r="F446" s="26"/>
      <c r="G446" s="26"/>
      <c r="H446" s="147"/>
      <c r="I446" s="26"/>
      <c r="J446" s="26"/>
      <c r="K446" s="26"/>
      <c r="L446" s="26"/>
      <c r="M446" s="26"/>
      <c r="N446" s="148"/>
      <c r="O446" s="26"/>
      <c r="P446" s="26"/>
      <c r="Q446" s="26"/>
      <c r="R446" s="435"/>
      <c r="S446" s="136"/>
      <c r="T446" s="26"/>
      <c r="U446" s="45"/>
      <c r="V446" s="26"/>
      <c r="W446" s="26"/>
    </row>
    <row r="447" spans="1:23" x14ac:dyDescent="0.35">
      <c r="A447" s="26"/>
      <c r="B447" s="1016"/>
      <c r="C447" s="26"/>
      <c r="D447" s="26"/>
      <c r="E447" s="44"/>
      <c r="F447" s="26"/>
      <c r="G447" s="26"/>
      <c r="H447" s="147"/>
      <c r="I447" s="26"/>
      <c r="J447" s="26"/>
      <c r="K447" s="26"/>
      <c r="L447" s="26"/>
      <c r="M447" s="26"/>
      <c r="N447" s="148"/>
      <c r="O447" s="26"/>
      <c r="P447" s="26"/>
      <c r="Q447" s="26"/>
      <c r="R447" s="435"/>
      <c r="S447" s="136"/>
      <c r="T447" s="26"/>
      <c r="U447" s="45"/>
      <c r="V447" s="26"/>
      <c r="W447" s="26"/>
    </row>
    <row r="448" spans="1:23" x14ac:dyDescent="0.35">
      <c r="A448" s="26"/>
      <c r="B448" s="1016"/>
      <c r="C448" s="26"/>
      <c r="D448" s="26"/>
      <c r="E448" s="44"/>
      <c r="F448" s="26"/>
      <c r="G448" s="26"/>
      <c r="H448" s="147"/>
      <c r="I448" s="26"/>
      <c r="J448" s="26"/>
      <c r="K448" s="26"/>
      <c r="L448" s="26"/>
      <c r="M448" s="26"/>
      <c r="N448" s="148"/>
      <c r="O448" s="26"/>
      <c r="P448" s="26"/>
      <c r="Q448" s="26"/>
      <c r="R448" s="435"/>
      <c r="S448" s="136"/>
      <c r="T448" s="26"/>
      <c r="U448" s="45"/>
      <c r="V448" s="26"/>
      <c r="W448" s="26"/>
    </row>
    <row r="449" spans="1:23" x14ac:dyDescent="0.35">
      <c r="A449" s="26"/>
      <c r="B449" s="1016"/>
      <c r="C449" s="26"/>
      <c r="D449" s="26"/>
      <c r="E449" s="44"/>
      <c r="F449" s="26"/>
      <c r="G449" s="26"/>
      <c r="H449" s="147"/>
      <c r="I449" s="26"/>
      <c r="J449" s="26"/>
      <c r="K449" s="26"/>
      <c r="L449" s="26"/>
      <c r="M449" s="26"/>
      <c r="N449" s="148"/>
      <c r="O449" s="26"/>
      <c r="P449" s="26"/>
      <c r="Q449" s="26"/>
      <c r="R449" s="435"/>
      <c r="S449" s="136"/>
      <c r="T449" s="26"/>
      <c r="U449" s="45"/>
      <c r="V449" s="26"/>
      <c r="W449" s="26"/>
    </row>
    <row r="450" spans="1:23" x14ac:dyDescent="0.35">
      <c r="A450" s="26"/>
      <c r="B450" s="1016"/>
      <c r="C450" s="26"/>
      <c r="D450" s="26"/>
      <c r="E450" s="44"/>
      <c r="F450" s="26"/>
      <c r="G450" s="26"/>
      <c r="H450" s="147"/>
      <c r="I450" s="26"/>
      <c r="J450" s="26"/>
      <c r="K450" s="26"/>
      <c r="L450" s="26"/>
      <c r="M450" s="26"/>
      <c r="N450" s="148"/>
      <c r="O450" s="26"/>
      <c r="P450" s="26"/>
      <c r="Q450" s="26"/>
      <c r="R450" s="435"/>
      <c r="S450" s="136"/>
      <c r="T450" s="26"/>
      <c r="U450" s="45"/>
      <c r="V450" s="26"/>
      <c r="W450" s="26"/>
    </row>
    <row r="451" spans="1:23" x14ac:dyDescent="0.35">
      <c r="A451" s="26"/>
      <c r="B451" s="1016"/>
      <c r="C451" s="26"/>
      <c r="D451" s="26"/>
      <c r="E451" s="44"/>
      <c r="F451" s="26"/>
      <c r="G451" s="26"/>
      <c r="H451" s="147"/>
      <c r="I451" s="26"/>
      <c r="J451" s="26"/>
      <c r="K451" s="26"/>
      <c r="L451" s="26"/>
      <c r="M451" s="26"/>
      <c r="N451" s="148"/>
      <c r="O451" s="26"/>
      <c r="P451" s="26"/>
      <c r="Q451" s="26"/>
      <c r="R451" s="435"/>
      <c r="S451" s="136"/>
      <c r="T451" s="26"/>
      <c r="U451" s="45"/>
      <c r="V451" s="26"/>
      <c r="W451" s="26"/>
    </row>
    <row r="452" spans="1:23" x14ac:dyDescent="0.35">
      <c r="A452" s="26"/>
      <c r="B452" s="1016"/>
      <c r="C452" s="26"/>
      <c r="D452" s="26"/>
      <c r="E452" s="44"/>
      <c r="F452" s="26"/>
      <c r="G452" s="26"/>
      <c r="H452" s="147"/>
      <c r="I452" s="26"/>
      <c r="J452" s="26"/>
      <c r="K452" s="26"/>
      <c r="L452" s="26"/>
      <c r="M452" s="26"/>
      <c r="N452" s="148"/>
      <c r="O452" s="26"/>
      <c r="P452" s="26"/>
      <c r="Q452" s="26"/>
      <c r="R452" s="435"/>
      <c r="S452" s="136"/>
      <c r="T452" s="26"/>
      <c r="U452" s="45"/>
      <c r="V452" s="26"/>
      <c r="W452" s="26"/>
    </row>
    <row r="453" spans="1:23" x14ac:dyDescent="0.35">
      <c r="A453" s="26"/>
      <c r="B453" s="1016"/>
      <c r="C453" s="26"/>
      <c r="D453" s="26"/>
      <c r="E453" s="44"/>
      <c r="F453" s="26"/>
      <c r="G453" s="26"/>
      <c r="H453" s="147"/>
      <c r="I453" s="26"/>
      <c r="J453" s="26"/>
      <c r="K453" s="26"/>
      <c r="L453" s="26"/>
      <c r="M453" s="26"/>
      <c r="N453" s="148"/>
      <c r="O453" s="26"/>
      <c r="P453" s="26"/>
      <c r="Q453" s="26"/>
      <c r="R453" s="435"/>
      <c r="S453" s="136"/>
      <c r="T453" s="26"/>
      <c r="U453" s="45"/>
      <c r="V453" s="26"/>
      <c r="W453" s="26"/>
    </row>
    <row r="454" spans="1:23" x14ac:dyDescent="0.35">
      <c r="A454" s="26"/>
      <c r="B454" s="1016"/>
      <c r="C454" s="26"/>
      <c r="D454" s="26"/>
      <c r="E454" s="44"/>
      <c r="F454" s="26"/>
      <c r="G454" s="26"/>
      <c r="H454" s="147"/>
      <c r="I454" s="26"/>
      <c r="J454" s="26"/>
      <c r="K454" s="26"/>
      <c r="L454" s="26"/>
      <c r="M454" s="26"/>
      <c r="N454" s="148"/>
      <c r="O454" s="26"/>
      <c r="P454" s="26"/>
      <c r="Q454" s="26"/>
      <c r="R454" s="435"/>
      <c r="S454" s="136"/>
      <c r="T454" s="26"/>
      <c r="U454" s="45"/>
      <c r="V454" s="26"/>
      <c r="W454" s="26"/>
    </row>
    <row r="455" spans="1:23" x14ac:dyDescent="0.35">
      <c r="A455" s="26"/>
      <c r="B455" s="1016"/>
      <c r="C455" s="26"/>
      <c r="D455" s="26"/>
      <c r="E455" s="44"/>
      <c r="F455" s="26"/>
      <c r="G455" s="26"/>
      <c r="H455" s="147"/>
      <c r="I455" s="26"/>
      <c r="J455" s="26"/>
      <c r="K455" s="26"/>
      <c r="L455" s="26"/>
      <c r="M455" s="26"/>
      <c r="N455" s="148"/>
      <c r="O455" s="26"/>
      <c r="P455" s="26"/>
      <c r="Q455" s="26"/>
      <c r="R455" s="435"/>
      <c r="S455" s="136"/>
      <c r="T455" s="26"/>
      <c r="U455" s="45"/>
      <c r="V455" s="26"/>
      <c r="W455" s="26"/>
    </row>
    <row r="456" spans="1:23" x14ac:dyDescent="0.35">
      <c r="A456" s="26"/>
      <c r="B456" s="1016"/>
      <c r="C456" s="26"/>
      <c r="D456" s="26"/>
      <c r="E456" s="44"/>
      <c r="F456" s="26"/>
      <c r="G456" s="26"/>
      <c r="H456" s="147"/>
      <c r="I456" s="26"/>
      <c r="J456" s="26"/>
      <c r="K456" s="26"/>
      <c r="L456" s="26"/>
      <c r="M456" s="26"/>
      <c r="N456" s="148"/>
      <c r="O456" s="26"/>
      <c r="P456" s="26"/>
      <c r="Q456" s="26"/>
      <c r="R456" s="435"/>
      <c r="S456" s="136"/>
      <c r="T456" s="26"/>
      <c r="U456" s="45"/>
      <c r="V456" s="26"/>
      <c r="W456" s="26"/>
    </row>
    <row r="457" spans="1:23" x14ac:dyDescent="0.35">
      <c r="A457" s="26"/>
      <c r="B457" s="1016"/>
      <c r="C457" s="26"/>
      <c r="D457" s="26"/>
      <c r="E457" s="44"/>
      <c r="F457" s="26"/>
      <c r="G457" s="26"/>
      <c r="H457" s="147"/>
      <c r="I457" s="26"/>
      <c r="J457" s="26"/>
      <c r="K457" s="26"/>
      <c r="L457" s="26"/>
      <c r="M457" s="26"/>
      <c r="N457" s="148"/>
      <c r="O457" s="26"/>
      <c r="P457" s="26"/>
      <c r="Q457" s="26"/>
      <c r="R457" s="435"/>
      <c r="S457" s="136"/>
      <c r="T457" s="26"/>
      <c r="U457" s="45"/>
      <c r="V457" s="26"/>
      <c r="W457" s="26"/>
    </row>
    <row r="458" spans="1:23" x14ac:dyDescent="0.35">
      <c r="A458" s="26"/>
      <c r="B458" s="1016"/>
      <c r="C458" s="26"/>
      <c r="D458" s="26"/>
      <c r="E458" s="44"/>
      <c r="F458" s="26"/>
      <c r="G458" s="26"/>
      <c r="H458" s="147"/>
      <c r="I458" s="26"/>
      <c r="J458" s="26"/>
      <c r="K458" s="26"/>
      <c r="L458" s="26"/>
      <c r="M458" s="26"/>
      <c r="N458" s="148"/>
      <c r="O458" s="26"/>
      <c r="P458" s="26"/>
      <c r="Q458" s="26"/>
      <c r="R458" s="435"/>
      <c r="S458" s="136"/>
      <c r="T458" s="26"/>
      <c r="U458" s="45"/>
      <c r="V458" s="26"/>
      <c r="W458" s="26"/>
    </row>
    <row r="459" spans="1:23" x14ac:dyDescent="0.35">
      <c r="A459" s="26"/>
      <c r="B459" s="1016"/>
      <c r="C459" s="26"/>
      <c r="D459" s="26"/>
      <c r="E459" s="44"/>
      <c r="F459" s="26"/>
      <c r="G459" s="26"/>
      <c r="H459" s="147"/>
      <c r="I459" s="26"/>
      <c r="J459" s="26"/>
      <c r="K459" s="26"/>
      <c r="L459" s="26"/>
      <c r="M459" s="26"/>
      <c r="N459" s="148"/>
      <c r="O459" s="26"/>
      <c r="P459" s="26"/>
      <c r="Q459" s="26"/>
      <c r="R459" s="435"/>
      <c r="S459" s="136"/>
      <c r="T459" s="26"/>
      <c r="U459" s="45"/>
      <c r="V459" s="26"/>
      <c r="W459" s="26"/>
    </row>
    <row r="460" spans="1:23" x14ac:dyDescent="0.35">
      <c r="A460" s="26"/>
      <c r="B460" s="1016"/>
      <c r="C460" s="26"/>
      <c r="D460" s="26"/>
      <c r="E460" s="44"/>
      <c r="F460" s="26"/>
      <c r="G460" s="26"/>
      <c r="H460" s="147"/>
      <c r="I460" s="26"/>
      <c r="J460" s="26"/>
      <c r="K460" s="26"/>
      <c r="L460" s="26"/>
      <c r="M460" s="26"/>
      <c r="N460" s="148"/>
      <c r="O460" s="26"/>
      <c r="P460" s="26"/>
      <c r="Q460" s="26"/>
      <c r="R460" s="435"/>
      <c r="S460" s="136"/>
      <c r="T460" s="26"/>
      <c r="U460" s="45"/>
      <c r="V460" s="26"/>
      <c r="W460" s="26"/>
    </row>
    <row r="461" spans="1:23" x14ac:dyDescent="0.35">
      <c r="A461" s="26"/>
      <c r="B461" s="1016"/>
      <c r="C461" s="26"/>
      <c r="D461" s="26"/>
      <c r="E461" s="44"/>
      <c r="F461" s="26"/>
      <c r="G461" s="26"/>
      <c r="H461" s="147"/>
      <c r="I461" s="26"/>
      <c r="J461" s="26"/>
      <c r="K461" s="26"/>
      <c r="L461" s="26"/>
      <c r="M461" s="26"/>
      <c r="N461" s="148"/>
      <c r="O461" s="26"/>
      <c r="P461" s="26"/>
      <c r="Q461" s="26"/>
      <c r="R461" s="435"/>
      <c r="S461" s="136"/>
      <c r="T461" s="26"/>
      <c r="U461" s="45"/>
      <c r="V461" s="26"/>
      <c r="W461" s="26"/>
    </row>
    <row r="462" spans="1:23" x14ac:dyDescent="0.35">
      <c r="A462" s="26"/>
      <c r="B462" s="1016"/>
      <c r="C462" s="26"/>
      <c r="D462" s="26"/>
      <c r="E462" s="44"/>
      <c r="F462" s="26"/>
      <c r="G462" s="26"/>
      <c r="H462" s="147"/>
      <c r="I462" s="26"/>
      <c r="J462" s="26"/>
      <c r="K462" s="26"/>
      <c r="L462" s="26"/>
      <c r="M462" s="26"/>
      <c r="N462" s="148"/>
      <c r="O462" s="26"/>
      <c r="P462" s="26"/>
      <c r="Q462" s="26"/>
      <c r="R462" s="435"/>
      <c r="S462" s="136"/>
      <c r="T462" s="26"/>
      <c r="U462" s="45"/>
      <c r="V462" s="26"/>
      <c r="W462" s="26"/>
    </row>
    <row r="463" spans="1:23" x14ac:dyDescent="0.35">
      <c r="A463" s="26"/>
      <c r="B463" s="1016"/>
      <c r="C463" s="26"/>
      <c r="D463" s="26"/>
      <c r="E463" s="44"/>
      <c r="F463" s="26"/>
      <c r="G463" s="26"/>
      <c r="H463" s="147"/>
      <c r="I463" s="26"/>
      <c r="J463" s="26"/>
      <c r="K463" s="26"/>
      <c r="L463" s="26"/>
      <c r="M463" s="26"/>
      <c r="N463" s="148"/>
      <c r="O463" s="26"/>
      <c r="P463" s="26"/>
      <c r="Q463" s="26"/>
      <c r="R463" s="435"/>
      <c r="S463" s="136"/>
      <c r="T463" s="26"/>
      <c r="U463" s="45"/>
      <c r="V463" s="26"/>
      <c r="W463" s="26"/>
    </row>
    <row r="464" spans="1:23" x14ac:dyDescent="0.35">
      <c r="A464" s="26"/>
      <c r="B464" s="1016"/>
      <c r="C464" s="26"/>
      <c r="D464" s="26"/>
      <c r="E464" s="44"/>
      <c r="F464" s="26"/>
      <c r="G464" s="26"/>
      <c r="H464" s="147"/>
      <c r="I464" s="26"/>
      <c r="J464" s="26"/>
      <c r="K464" s="26"/>
      <c r="L464" s="26"/>
      <c r="M464" s="26"/>
      <c r="N464" s="148"/>
      <c r="O464" s="26"/>
      <c r="P464" s="26"/>
      <c r="Q464" s="26"/>
      <c r="R464" s="435"/>
      <c r="S464" s="136"/>
      <c r="T464" s="26"/>
      <c r="U464" s="45"/>
      <c r="V464" s="26"/>
      <c r="W464" s="26"/>
    </row>
    <row r="465" spans="1:23" x14ac:dyDescent="0.35">
      <c r="A465" s="26"/>
      <c r="B465" s="1016"/>
      <c r="C465" s="26"/>
      <c r="D465" s="26"/>
      <c r="E465" s="44"/>
      <c r="F465" s="26"/>
      <c r="G465" s="26"/>
      <c r="H465" s="147"/>
      <c r="I465" s="26"/>
      <c r="J465" s="26"/>
      <c r="K465" s="26"/>
      <c r="L465" s="26"/>
      <c r="M465" s="26"/>
      <c r="N465" s="148"/>
      <c r="O465" s="26"/>
      <c r="P465" s="26"/>
      <c r="Q465" s="26"/>
      <c r="R465" s="435"/>
      <c r="S465" s="136"/>
      <c r="T465" s="26"/>
      <c r="U465" s="45"/>
      <c r="V465" s="26"/>
      <c r="W465" s="26"/>
    </row>
    <row r="466" spans="1:23" x14ac:dyDescent="0.35">
      <c r="A466" s="26"/>
      <c r="B466" s="1016"/>
      <c r="C466" s="26"/>
      <c r="D466" s="26"/>
      <c r="E466" s="44"/>
      <c r="F466" s="26"/>
      <c r="G466" s="26"/>
      <c r="H466" s="147"/>
      <c r="I466" s="26"/>
      <c r="J466" s="26"/>
      <c r="K466" s="26"/>
      <c r="L466" s="26"/>
      <c r="M466" s="26"/>
      <c r="N466" s="148"/>
      <c r="O466" s="26"/>
      <c r="P466" s="26"/>
      <c r="Q466" s="26"/>
      <c r="R466" s="435"/>
      <c r="S466" s="136"/>
      <c r="T466" s="26"/>
      <c r="U466" s="45"/>
      <c r="V466" s="26"/>
      <c r="W466" s="26"/>
    </row>
    <row r="467" spans="1:23" x14ac:dyDescent="0.35">
      <c r="A467" s="26"/>
      <c r="B467" s="1016"/>
      <c r="C467" s="26"/>
      <c r="D467" s="26"/>
      <c r="E467" s="44"/>
      <c r="F467" s="26"/>
      <c r="G467" s="26"/>
      <c r="H467" s="147"/>
      <c r="I467" s="26"/>
      <c r="J467" s="26"/>
      <c r="K467" s="26"/>
      <c r="L467" s="26"/>
      <c r="M467" s="26"/>
      <c r="N467" s="148"/>
      <c r="O467" s="26"/>
      <c r="P467" s="26"/>
      <c r="Q467" s="26"/>
      <c r="R467" s="435"/>
      <c r="S467" s="136"/>
      <c r="T467" s="26"/>
      <c r="U467" s="45"/>
      <c r="V467" s="26"/>
      <c r="W467" s="26"/>
    </row>
    <row r="468" spans="1:23" x14ac:dyDescent="0.35">
      <c r="A468" s="26"/>
      <c r="B468" s="1016"/>
      <c r="C468" s="26"/>
      <c r="D468" s="26"/>
      <c r="E468" s="44"/>
      <c r="F468" s="26"/>
      <c r="G468" s="26"/>
      <c r="H468" s="147"/>
      <c r="I468" s="26"/>
      <c r="J468" s="26"/>
      <c r="K468" s="26"/>
      <c r="L468" s="26"/>
      <c r="M468" s="26"/>
      <c r="N468" s="148"/>
      <c r="O468" s="26"/>
      <c r="P468" s="26"/>
      <c r="Q468" s="26"/>
      <c r="R468" s="435"/>
      <c r="S468" s="136"/>
      <c r="T468" s="26"/>
      <c r="U468" s="45"/>
      <c r="V468" s="26"/>
      <c r="W468" s="26"/>
    </row>
    <row r="469" spans="1:23" x14ac:dyDescent="0.35">
      <c r="A469" s="26"/>
      <c r="B469" s="1016"/>
      <c r="C469" s="26"/>
      <c r="D469" s="26"/>
      <c r="E469" s="44"/>
      <c r="F469" s="26"/>
      <c r="G469" s="26"/>
      <c r="H469" s="147"/>
      <c r="I469" s="26"/>
      <c r="J469" s="26"/>
      <c r="K469" s="26"/>
      <c r="L469" s="26"/>
      <c r="M469" s="26"/>
      <c r="N469" s="148"/>
      <c r="O469" s="26"/>
      <c r="P469" s="26"/>
      <c r="Q469" s="26"/>
      <c r="R469" s="435"/>
      <c r="S469" s="136"/>
      <c r="T469" s="26"/>
      <c r="U469" s="45"/>
      <c r="V469" s="26"/>
      <c r="W469" s="26"/>
    </row>
    <row r="470" spans="1:23" x14ac:dyDescent="0.35">
      <c r="A470" s="26"/>
      <c r="B470" s="1016"/>
      <c r="C470" s="26"/>
      <c r="D470" s="26"/>
      <c r="E470" s="44"/>
      <c r="F470" s="26"/>
      <c r="G470" s="26"/>
      <c r="H470" s="147"/>
      <c r="I470" s="26"/>
      <c r="J470" s="26"/>
      <c r="K470" s="26"/>
      <c r="L470" s="26"/>
      <c r="M470" s="26"/>
      <c r="N470" s="148"/>
      <c r="O470" s="26"/>
      <c r="P470" s="26"/>
      <c r="Q470" s="26"/>
      <c r="R470" s="435"/>
      <c r="S470" s="136"/>
      <c r="T470" s="26"/>
      <c r="U470" s="45"/>
      <c r="V470" s="26"/>
      <c r="W470" s="26"/>
    </row>
    <row r="471" spans="1:23" x14ac:dyDescent="0.35">
      <c r="A471" s="26"/>
      <c r="B471" s="1016"/>
      <c r="C471" s="26"/>
      <c r="D471" s="26"/>
      <c r="E471" s="44"/>
      <c r="F471" s="26"/>
      <c r="G471" s="26"/>
      <c r="H471" s="147"/>
      <c r="I471" s="26"/>
      <c r="J471" s="26"/>
      <c r="K471" s="26"/>
      <c r="L471" s="26"/>
      <c r="M471" s="26"/>
      <c r="N471" s="148"/>
      <c r="O471" s="26"/>
      <c r="P471" s="26"/>
      <c r="Q471" s="26"/>
      <c r="R471" s="435"/>
      <c r="S471" s="136"/>
      <c r="T471" s="26"/>
      <c r="U471" s="45"/>
      <c r="V471" s="26"/>
      <c r="W471" s="26"/>
    </row>
    <row r="472" spans="1:23" x14ac:dyDescent="0.35">
      <c r="A472" s="26"/>
      <c r="B472" s="1016"/>
      <c r="C472" s="26"/>
      <c r="D472" s="26"/>
      <c r="E472" s="44"/>
      <c r="F472" s="26"/>
      <c r="G472" s="26"/>
      <c r="H472" s="147"/>
      <c r="I472" s="26"/>
      <c r="J472" s="26"/>
      <c r="K472" s="26"/>
      <c r="L472" s="26"/>
      <c r="M472" s="26"/>
      <c r="N472" s="148"/>
      <c r="O472" s="26"/>
      <c r="P472" s="26"/>
      <c r="Q472" s="26"/>
      <c r="R472" s="435"/>
      <c r="S472" s="136"/>
      <c r="T472" s="26"/>
      <c r="U472" s="45"/>
      <c r="V472" s="26"/>
      <c r="W472" s="26"/>
    </row>
    <row r="473" spans="1:23" x14ac:dyDescent="0.35">
      <c r="A473" s="26"/>
      <c r="B473" s="1016"/>
      <c r="C473" s="26"/>
      <c r="D473" s="26"/>
      <c r="E473" s="44"/>
      <c r="F473" s="26"/>
      <c r="G473" s="26"/>
      <c r="H473" s="147"/>
      <c r="I473" s="26"/>
      <c r="J473" s="26"/>
      <c r="K473" s="26"/>
      <c r="L473" s="26"/>
      <c r="M473" s="26"/>
      <c r="N473" s="148"/>
      <c r="O473" s="26"/>
      <c r="P473" s="26"/>
      <c r="Q473" s="26"/>
      <c r="R473" s="435"/>
      <c r="S473" s="136"/>
      <c r="T473" s="26"/>
      <c r="U473" s="45"/>
      <c r="V473" s="26"/>
      <c r="W473" s="26"/>
    </row>
    <row r="474" spans="1:23" x14ac:dyDescent="0.35">
      <c r="A474" s="26"/>
      <c r="B474" s="1016"/>
      <c r="C474" s="26"/>
      <c r="D474" s="26"/>
      <c r="E474" s="44"/>
      <c r="F474" s="26"/>
      <c r="G474" s="26"/>
      <c r="H474" s="147"/>
      <c r="I474" s="26"/>
      <c r="J474" s="26"/>
      <c r="K474" s="26"/>
      <c r="L474" s="26"/>
      <c r="M474" s="26"/>
      <c r="N474" s="148"/>
      <c r="O474" s="26"/>
      <c r="P474" s="26"/>
      <c r="Q474" s="26"/>
      <c r="R474" s="435"/>
      <c r="S474" s="136"/>
      <c r="T474" s="26"/>
      <c r="U474" s="45"/>
      <c r="V474" s="26"/>
      <c r="W474" s="26"/>
    </row>
    <row r="475" spans="1:23" x14ac:dyDescent="0.35">
      <c r="A475" s="26"/>
      <c r="B475" s="1016"/>
      <c r="C475" s="26"/>
      <c r="D475" s="26"/>
      <c r="E475" s="44"/>
      <c r="F475" s="26"/>
      <c r="G475" s="26"/>
      <c r="H475" s="147"/>
      <c r="I475" s="26"/>
      <c r="J475" s="26"/>
      <c r="K475" s="26"/>
      <c r="L475" s="26"/>
      <c r="M475" s="26"/>
      <c r="N475" s="148"/>
      <c r="O475" s="26"/>
      <c r="P475" s="26"/>
      <c r="Q475" s="26"/>
      <c r="R475" s="435"/>
      <c r="S475" s="136"/>
      <c r="T475" s="26"/>
      <c r="U475" s="45"/>
      <c r="V475" s="26"/>
      <c r="W475" s="26"/>
    </row>
    <row r="476" spans="1:23" x14ac:dyDescent="0.35">
      <c r="A476" s="26"/>
      <c r="B476" s="1016"/>
      <c r="C476" s="26"/>
      <c r="D476" s="26"/>
      <c r="E476" s="44"/>
      <c r="F476" s="26"/>
      <c r="G476" s="26"/>
      <c r="H476" s="147"/>
      <c r="I476" s="26"/>
      <c r="J476" s="26"/>
      <c r="K476" s="26"/>
      <c r="L476" s="26"/>
      <c r="M476" s="26"/>
      <c r="N476" s="148"/>
      <c r="O476" s="26"/>
      <c r="P476" s="26"/>
      <c r="Q476" s="26"/>
      <c r="R476" s="435"/>
      <c r="S476" s="136"/>
      <c r="T476" s="26"/>
      <c r="U476" s="45"/>
      <c r="V476" s="26"/>
      <c r="W476" s="26"/>
    </row>
    <row r="477" spans="1:23" x14ac:dyDescent="0.35">
      <c r="A477" s="26"/>
      <c r="B477" s="1016"/>
      <c r="C477" s="26"/>
      <c r="D477" s="26"/>
      <c r="E477" s="44"/>
      <c r="F477" s="26"/>
      <c r="G477" s="26"/>
      <c r="H477" s="147"/>
      <c r="I477" s="26"/>
      <c r="J477" s="26"/>
      <c r="K477" s="26"/>
      <c r="L477" s="26"/>
      <c r="M477" s="26"/>
      <c r="N477" s="148"/>
      <c r="O477" s="26"/>
      <c r="P477" s="26"/>
      <c r="Q477" s="26"/>
      <c r="R477" s="435"/>
      <c r="S477" s="136"/>
      <c r="T477" s="26"/>
      <c r="U477" s="45"/>
      <c r="V477" s="26"/>
      <c r="W477" s="26"/>
    </row>
    <row r="478" spans="1:23" x14ac:dyDescent="0.35">
      <c r="A478" s="26"/>
      <c r="B478" s="1016"/>
      <c r="C478" s="26"/>
      <c r="D478" s="26"/>
      <c r="E478" s="44"/>
      <c r="F478" s="26"/>
      <c r="G478" s="26"/>
      <c r="H478" s="147"/>
      <c r="I478" s="26"/>
      <c r="J478" s="26"/>
      <c r="K478" s="26"/>
      <c r="L478" s="26"/>
      <c r="M478" s="26"/>
      <c r="N478" s="148"/>
      <c r="O478" s="26"/>
      <c r="P478" s="26"/>
      <c r="Q478" s="26"/>
      <c r="R478" s="435"/>
      <c r="S478" s="136"/>
      <c r="T478" s="26"/>
      <c r="U478" s="45"/>
      <c r="V478" s="26"/>
      <c r="W478" s="26"/>
    </row>
    <row r="479" spans="1:23" x14ac:dyDescent="0.35">
      <c r="A479" s="26"/>
      <c r="B479" s="1016"/>
      <c r="C479" s="26"/>
      <c r="D479" s="26"/>
      <c r="E479" s="44"/>
      <c r="F479" s="26"/>
      <c r="G479" s="26"/>
      <c r="H479" s="147"/>
      <c r="I479" s="26"/>
      <c r="J479" s="26"/>
      <c r="K479" s="26"/>
      <c r="L479" s="26"/>
      <c r="M479" s="26"/>
      <c r="N479" s="148"/>
      <c r="O479" s="26"/>
      <c r="P479" s="26"/>
      <c r="Q479" s="26"/>
      <c r="R479" s="435"/>
      <c r="S479" s="136"/>
      <c r="T479" s="26"/>
      <c r="U479" s="45"/>
      <c r="V479" s="26"/>
      <c r="W479" s="26"/>
    </row>
    <row r="480" spans="1:23" x14ac:dyDescent="0.35">
      <c r="A480" s="26"/>
      <c r="B480" s="1016"/>
      <c r="C480" s="26"/>
      <c r="D480" s="26"/>
      <c r="E480" s="44"/>
      <c r="F480" s="26"/>
      <c r="G480" s="26"/>
      <c r="H480" s="147"/>
      <c r="I480" s="26"/>
      <c r="J480" s="26"/>
      <c r="K480" s="26"/>
      <c r="L480" s="26"/>
      <c r="M480" s="26"/>
      <c r="N480" s="148"/>
      <c r="O480" s="26"/>
      <c r="P480" s="26"/>
      <c r="Q480" s="26"/>
      <c r="R480" s="435"/>
      <c r="S480" s="136"/>
      <c r="T480" s="26"/>
      <c r="U480" s="45"/>
      <c r="V480" s="26"/>
      <c r="W480" s="26"/>
    </row>
    <row r="481" spans="1:23" x14ac:dyDescent="0.35">
      <c r="A481" s="26"/>
      <c r="B481" s="1016"/>
      <c r="C481" s="26"/>
      <c r="D481" s="26"/>
      <c r="E481" s="44"/>
      <c r="F481" s="26"/>
      <c r="G481" s="26"/>
      <c r="H481" s="147"/>
      <c r="I481" s="26"/>
      <c r="J481" s="26"/>
      <c r="K481" s="26"/>
      <c r="L481" s="26"/>
      <c r="M481" s="26"/>
      <c r="N481" s="148"/>
      <c r="O481" s="26"/>
      <c r="P481" s="26"/>
      <c r="Q481" s="26"/>
      <c r="R481" s="435"/>
      <c r="S481" s="136"/>
      <c r="T481" s="26"/>
      <c r="U481" s="45"/>
      <c r="V481" s="26"/>
      <c r="W481" s="26"/>
    </row>
    <row r="482" spans="1:23" x14ac:dyDescent="0.35">
      <c r="A482" s="26"/>
      <c r="B482" s="1016"/>
      <c r="C482" s="26"/>
      <c r="D482" s="26"/>
      <c r="E482" s="44"/>
      <c r="F482" s="26"/>
      <c r="G482" s="26"/>
      <c r="H482" s="147"/>
      <c r="I482" s="26"/>
      <c r="J482" s="26"/>
      <c r="K482" s="26"/>
      <c r="L482" s="26"/>
      <c r="M482" s="26"/>
      <c r="N482" s="148"/>
      <c r="O482" s="26"/>
      <c r="P482" s="26"/>
      <c r="Q482" s="26"/>
      <c r="R482" s="435"/>
      <c r="S482" s="136"/>
      <c r="T482" s="26"/>
      <c r="U482" s="45"/>
      <c r="V482" s="26"/>
      <c r="W482" s="26"/>
    </row>
    <row r="483" spans="1:23" x14ac:dyDescent="0.35">
      <c r="A483" s="26"/>
      <c r="B483" s="1016"/>
      <c r="C483" s="26"/>
      <c r="D483" s="26"/>
      <c r="E483" s="44"/>
      <c r="F483" s="26"/>
      <c r="G483" s="26"/>
      <c r="H483" s="147"/>
      <c r="I483" s="26"/>
      <c r="J483" s="26"/>
      <c r="K483" s="26"/>
      <c r="L483" s="26"/>
      <c r="M483" s="26"/>
      <c r="N483" s="148"/>
      <c r="O483" s="26"/>
      <c r="P483" s="26"/>
      <c r="Q483" s="26"/>
      <c r="R483" s="435"/>
      <c r="S483" s="136"/>
      <c r="T483" s="26"/>
      <c r="U483" s="45"/>
      <c r="V483" s="26"/>
      <c r="W483" s="26"/>
    </row>
    <row r="484" spans="1:23" x14ac:dyDescent="0.35">
      <c r="A484" s="26"/>
      <c r="B484" s="1016"/>
      <c r="C484" s="26"/>
      <c r="D484" s="26"/>
      <c r="E484" s="44"/>
      <c r="F484" s="26"/>
      <c r="G484" s="26"/>
      <c r="H484" s="147"/>
      <c r="I484" s="26"/>
      <c r="J484" s="26"/>
      <c r="K484" s="26"/>
      <c r="L484" s="26"/>
      <c r="M484" s="26"/>
      <c r="N484" s="148"/>
      <c r="O484" s="26"/>
      <c r="P484" s="26"/>
      <c r="Q484" s="26"/>
      <c r="R484" s="435"/>
      <c r="S484" s="136"/>
      <c r="T484" s="26"/>
      <c r="U484" s="45"/>
      <c r="V484" s="26"/>
      <c r="W484" s="26"/>
    </row>
    <row r="485" spans="1:23" x14ac:dyDescent="0.35">
      <c r="A485" s="26"/>
      <c r="B485" s="1016"/>
      <c r="C485" s="26"/>
      <c r="D485" s="26"/>
      <c r="E485" s="44"/>
      <c r="F485" s="26"/>
      <c r="G485" s="26"/>
      <c r="H485" s="147"/>
      <c r="I485" s="26"/>
      <c r="J485" s="26"/>
      <c r="K485" s="26"/>
      <c r="L485" s="26"/>
      <c r="M485" s="26"/>
      <c r="N485" s="148"/>
      <c r="O485" s="26"/>
      <c r="P485" s="26"/>
      <c r="Q485" s="26"/>
      <c r="R485" s="435"/>
      <c r="S485" s="136"/>
      <c r="T485" s="26"/>
      <c r="U485" s="45"/>
      <c r="V485" s="26"/>
      <c r="W485" s="26"/>
    </row>
    <row r="486" spans="1:23" x14ac:dyDescent="0.35">
      <c r="A486" s="26"/>
      <c r="B486" s="1016"/>
      <c r="C486" s="26"/>
      <c r="D486" s="26"/>
      <c r="E486" s="44"/>
      <c r="F486" s="26"/>
      <c r="G486" s="26"/>
      <c r="H486" s="147"/>
      <c r="I486" s="26"/>
      <c r="J486" s="26"/>
      <c r="K486" s="26"/>
      <c r="L486" s="26"/>
      <c r="M486" s="26"/>
      <c r="N486" s="148"/>
      <c r="O486" s="26"/>
      <c r="P486" s="26"/>
      <c r="Q486" s="26"/>
      <c r="R486" s="435"/>
      <c r="S486" s="136"/>
      <c r="T486" s="26"/>
      <c r="U486" s="45"/>
      <c r="V486" s="26"/>
      <c r="W486" s="26"/>
    </row>
    <row r="487" spans="1:23" x14ac:dyDescent="0.35">
      <c r="A487" s="26"/>
      <c r="B487" s="1016"/>
      <c r="C487" s="26"/>
      <c r="D487" s="26"/>
      <c r="E487" s="44"/>
      <c r="F487" s="26"/>
      <c r="G487" s="26"/>
      <c r="H487" s="147"/>
      <c r="I487" s="26"/>
      <c r="J487" s="26"/>
      <c r="K487" s="26"/>
      <c r="L487" s="26"/>
      <c r="M487" s="26"/>
      <c r="N487" s="148"/>
      <c r="O487" s="26"/>
      <c r="P487" s="26"/>
      <c r="Q487" s="26"/>
      <c r="R487" s="435"/>
      <c r="S487" s="136"/>
      <c r="T487" s="26"/>
      <c r="U487" s="45"/>
      <c r="V487" s="26"/>
      <c r="W487" s="26"/>
    </row>
    <row r="488" spans="1:23" x14ac:dyDescent="0.35">
      <c r="A488" s="26"/>
      <c r="B488" s="1016"/>
      <c r="C488" s="26"/>
      <c r="D488" s="26"/>
      <c r="E488" s="44"/>
      <c r="F488" s="26"/>
      <c r="G488" s="26"/>
      <c r="H488" s="147"/>
      <c r="I488" s="26"/>
      <c r="J488" s="26"/>
      <c r="K488" s="26"/>
      <c r="L488" s="26"/>
      <c r="M488" s="26"/>
      <c r="N488" s="148"/>
      <c r="O488" s="26"/>
      <c r="P488" s="26"/>
      <c r="Q488" s="26"/>
      <c r="R488" s="435"/>
      <c r="S488" s="136"/>
      <c r="T488" s="26"/>
      <c r="U488" s="45"/>
      <c r="V488" s="26"/>
      <c r="W488" s="26"/>
    </row>
    <row r="489" spans="1:23" x14ac:dyDescent="0.35">
      <c r="A489" s="26"/>
      <c r="B489" s="1016"/>
      <c r="C489" s="26"/>
      <c r="D489" s="26"/>
      <c r="E489" s="44"/>
      <c r="F489" s="26"/>
      <c r="G489" s="26"/>
      <c r="H489" s="147"/>
      <c r="I489" s="26"/>
      <c r="J489" s="26"/>
      <c r="K489" s="26"/>
      <c r="L489" s="26"/>
      <c r="M489" s="26"/>
      <c r="N489" s="148"/>
      <c r="O489" s="26"/>
      <c r="P489" s="26"/>
      <c r="Q489" s="26"/>
      <c r="R489" s="435"/>
      <c r="S489" s="136"/>
      <c r="T489" s="26"/>
      <c r="U489" s="45"/>
      <c r="V489" s="26"/>
      <c r="W489" s="26"/>
    </row>
    <row r="490" spans="1:23" x14ac:dyDescent="0.35">
      <c r="A490" s="26"/>
      <c r="B490" s="1016"/>
      <c r="C490" s="26"/>
      <c r="D490" s="26"/>
      <c r="E490" s="44"/>
      <c r="F490" s="26"/>
      <c r="G490" s="26"/>
      <c r="H490" s="147"/>
      <c r="I490" s="26"/>
      <c r="J490" s="26"/>
      <c r="K490" s="26"/>
      <c r="L490" s="26"/>
      <c r="M490" s="26"/>
      <c r="N490" s="148"/>
      <c r="O490" s="26"/>
      <c r="P490" s="26"/>
      <c r="Q490" s="26"/>
      <c r="R490" s="435"/>
      <c r="S490" s="136"/>
      <c r="T490" s="26"/>
      <c r="U490" s="45"/>
      <c r="V490" s="26"/>
      <c r="W490" s="26"/>
    </row>
    <row r="491" spans="1:23" x14ac:dyDescent="0.35">
      <c r="A491" s="26"/>
      <c r="B491" s="1016"/>
      <c r="C491" s="26"/>
      <c r="D491" s="26"/>
      <c r="E491" s="44"/>
      <c r="F491" s="26"/>
      <c r="G491" s="26"/>
      <c r="H491" s="147"/>
      <c r="I491" s="26"/>
      <c r="J491" s="26"/>
      <c r="K491" s="26"/>
      <c r="L491" s="26"/>
      <c r="M491" s="26"/>
      <c r="N491" s="148"/>
      <c r="O491" s="26"/>
      <c r="P491" s="26"/>
      <c r="Q491" s="26"/>
      <c r="R491" s="435"/>
      <c r="S491" s="136"/>
      <c r="T491" s="26"/>
      <c r="U491" s="45"/>
      <c r="V491" s="26"/>
      <c r="W491" s="26"/>
    </row>
    <row r="492" spans="1:23" x14ac:dyDescent="0.35">
      <c r="A492" s="26"/>
      <c r="B492" s="1016"/>
      <c r="C492" s="26"/>
      <c r="D492" s="26"/>
      <c r="E492" s="44"/>
      <c r="F492" s="26"/>
      <c r="G492" s="26"/>
      <c r="H492" s="147"/>
      <c r="I492" s="26"/>
      <c r="J492" s="26"/>
      <c r="K492" s="26"/>
      <c r="L492" s="26"/>
      <c r="M492" s="26"/>
      <c r="N492" s="148"/>
      <c r="O492" s="26"/>
      <c r="P492" s="26"/>
      <c r="Q492" s="26"/>
      <c r="R492" s="435"/>
      <c r="S492" s="136"/>
      <c r="T492" s="26"/>
      <c r="U492" s="45"/>
      <c r="V492" s="26"/>
      <c r="W492" s="26"/>
    </row>
    <row r="493" spans="1:23" x14ac:dyDescent="0.35">
      <c r="A493" s="26"/>
      <c r="B493" s="1016"/>
      <c r="C493" s="26"/>
      <c r="D493" s="26"/>
      <c r="E493" s="44"/>
      <c r="F493" s="26"/>
      <c r="G493" s="26"/>
      <c r="H493" s="147"/>
      <c r="I493" s="26"/>
      <c r="J493" s="26"/>
      <c r="K493" s="26"/>
      <c r="L493" s="26"/>
      <c r="M493" s="26"/>
      <c r="N493" s="148"/>
      <c r="O493" s="26"/>
      <c r="P493" s="26"/>
      <c r="Q493" s="26"/>
      <c r="R493" s="435"/>
      <c r="S493" s="136"/>
      <c r="T493" s="26"/>
      <c r="U493" s="45"/>
      <c r="V493" s="26"/>
      <c r="W493" s="26"/>
    </row>
    <row r="494" spans="1:23" x14ac:dyDescent="0.35">
      <c r="A494" s="26"/>
      <c r="B494" s="1016"/>
      <c r="C494" s="26"/>
      <c r="D494" s="26"/>
      <c r="E494" s="44"/>
      <c r="F494" s="26"/>
      <c r="G494" s="26"/>
      <c r="H494" s="147"/>
      <c r="I494" s="26"/>
      <c r="J494" s="26"/>
      <c r="K494" s="26"/>
      <c r="L494" s="26"/>
      <c r="M494" s="26"/>
      <c r="N494" s="148"/>
      <c r="O494" s="26"/>
      <c r="P494" s="26"/>
      <c r="Q494" s="26"/>
      <c r="R494" s="435"/>
      <c r="S494" s="136"/>
      <c r="T494" s="26"/>
      <c r="U494" s="45"/>
      <c r="V494" s="26"/>
      <c r="W494" s="26"/>
    </row>
    <row r="495" spans="1:23" x14ac:dyDescent="0.35">
      <c r="A495" s="26"/>
      <c r="B495" s="1016"/>
      <c r="C495" s="26"/>
      <c r="D495" s="26"/>
      <c r="E495" s="44"/>
      <c r="F495" s="26"/>
      <c r="G495" s="26"/>
      <c r="H495" s="147"/>
      <c r="I495" s="26"/>
      <c r="J495" s="26"/>
      <c r="K495" s="26"/>
      <c r="L495" s="26"/>
      <c r="M495" s="26"/>
      <c r="N495" s="148"/>
      <c r="O495" s="26"/>
      <c r="P495" s="26"/>
      <c r="Q495" s="26"/>
      <c r="R495" s="435"/>
      <c r="S495" s="136"/>
      <c r="T495" s="26"/>
      <c r="U495" s="45"/>
      <c r="V495" s="26"/>
      <c r="W495" s="26"/>
    </row>
    <row r="496" spans="1:23" x14ac:dyDescent="0.35">
      <c r="A496" s="26"/>
      <c r="B496" s="1016"/>
      <c r="C496" s="26"/>
      <c r="D496" s="26"/>
      <c r="E496" s="44"/>
      <c r="F496" s="26"/>
      <c r="G496" s="26"/>
      <c r="H496" s="147"/>
      <c r="I496" s="26"/>
      <c r="J496" s="26"/>
      <c r="K496" s="26"/>
      <c r="L496" s="26"/>
      <c r="M496" s="26"/>
      <c r="N496" s="148"/>
      <c r="O496" s="26"/>
      <c r="P496" s="26"/>
      <c r="Q496" s="26"/>
      <c r="R496" s="435"/>
      <c r="S496" s="136"/>
      <c r="T496" s="26"/>
      <c r="U496" s="45"/>
      <c r="V496" s="26"/>
      <c r="W496" s="26"/>
    </row>
    <row r="497" spans="1:23" x14ac:dyDescent="0.35">
      <c r="A497" s="26"/>
      <c r="B497" s="1016"/>
      <c r="C497" s="26"/>
      <c r="D497" s="26"/>
      <c r="E497" s="44"/>
      <c r="F497" s="26"/>
      <c r="G497" s="26"/>
      <c r="H497" s="147"/>
      <c r="I497" s="26"/>
      <c r="J497" s="26"/>
      <c r="K497" s="26"/>
      <c r="L497" s="26"/>
      <c r="M497" s="26"/>
      <c r="N497" s="148"/>
      <c r="O497" s="26"/>
      <c r="P497" s="26"/>
      <c r="Q497" s="26"/>
      <c r="R497" s="435"/>
      <c r="S497" s="136"/>
      <c r="T497" s="26"/>
      <c r="U497" s="45"/>
      <c r="V497" s="26"/>
      <c r="W497" s="26"/>
    </row>
    <row r="498" spans="1:23" x14ac:dyDescent="0.35">
      <c r="A498" s="26"/>
      <c r="B498" s="1016"/>
      <c r="C498" s="26"/>
      <c r="D498" s="26"/>
      <c r="E498" s="44"/>
      <c r="F498" s="26"/>
      <c r="G498" s="26"/>
      <c r="H498" s="147"/>
      <c r="I498" s="26"/>
      <c r="J498" s="26"/>
      <c r="K498" s="26"/>
      <c r="L498" s="26"/>
      <c r="M498" s="26"/>
      <c r="N498" s="148"/>
      <c r="O498" s="26"/>
      <c r="P498" s="26"/>
      <c r="Q498" s="26"/>
      <c r="R498" s="435"/>
      <c r="S498" s="136"/>
      <c r="T498" s="26"/>
      <c r="U498" s="45"/>
      <c r="V498" s="26"/>
      <c r="W498" s="26"/>
    </row>
    <row r="499" spans="1:23" x14ac:dyDescent="0.35">
      <c r="A499" s="26"/>
      <c r="B499" s="1016"/>
      <c r="C499" s="26"/>
      <c r="D499" s="26"/>
      <c r="E499" s="44"/>
      <c r="F499" s="26"/>
      <c r="G499" s="26"/>
      <c r="H499" s="147"/>
      <c r="I499" s="26"/>
      <c r="J499" s="26"/>
      <c r="K499" s="26"/>
      <c r="L499" s="26"/>
      <c r="M499" s="26"/>
      <c r="N499" s="148"/>
      <c r="O499" s="26"/>
      <c r="P499" s="26"/>
      <c r="Q499" s="26"/>
      <c r="R499" s="435"/>
      <c r="S499" s="136"/>
      <c r="T499" s="26"/>
      <c r="U499" s="45"/>
      <c r="V499" s="26"/>
      <c r="W499" s="26"/>
    </row>
    <row r="500" spans="1:23" x14ac:dyDescent="0.35">
      <c r="A500" s="26"/>
      <c r="B500" s="1016"/>
      <c r="C500" s="26"/>
      <c r="D500" s="26"/>
      <c r="E500" s="44"/>
      <c r="F500" s="26"/>
      <c r="G500" s="26"/>
      <c r="H500" s="147"/>
      <c r="I500" s="26"/>
      <c r="J500" s="26"/>
      <c r="K500" s="26"/>
      <c r="L500" s="26"/>
      <c r="M500" s="26"/>
      <c r="N500" s="148"/>
      <c r="O500" s="26"/>
      <c r="P500" s="26"/>
      <c r="Q500" s="26"/>
      <c r="R500" s="435"/>
      <c r="S500" s="136"/>
      <c r="T500" s="26"/>
      <c r="U500" s="45"/>
      <c r="V500" s="26"/>
      <c r="W500" s="26"/>
    </row>
    <row r="501" spans="1:23" x14ac:dyDescent="0.35">
      <c r="A501" s="26"/>
      <c r="B501" s="1016"/>
      <c r="C501" s="26"/>
      <c r="D501" s="26"/>
      <c r="E501" s="44"/>
      <c r="F501" s="26"/>
      <c r="G501" s="26"/>
      <c r="H501" s="147"/>
      <c r="I501" s="26"/>
      <c r="J501" s="26"/>
      <c r="K501" s="26"/>
      <c r="L501" s="26"/>
      <c r="M501" s="26"/>
      <c r="N501" s="148"/>
      <c r="O501" s="26"/>
      <c r="P501" s="26"/>
      <c r="Q501" s="26"/>
      <c r="R501" s="435"/>
      <c r="S501" s="136"/>
      <c r="T501" s="26"/>
      <c r="U501" s="45"/>
      <c r="V501" s="26"/>
      <c r="W501" s="26"/>
    </row>
    <row r="502" spans="1:23" x14ac:dyDescent="0.35">
      <c r="A502" s="26"/>
      <c r="B502" s="1016"/>
      <c r="C502" s="26"/>
      <c r="D502" s="26"/>
      <c r="E502" s="44"/>
      <c r="F502" s="26"/>
      <c r="G502" s="26"/>
      <c r="H502" s="147"/>
      <c r="I502" s="26"/>
      <c r="J502" s="26"/>
      <c r="K502" s="26"/>
      <c r="L502" s="26"/>
      <c r="M502" s="26"/>
      <c r="N502" s="148"/>
      <c r="O502" s="26"/>
      <c r="P502" s="26"/>
      <c r="Q502" s="26"/>
      <c r="R502" s="435"/>
      <c r="S502" s="136"/>
      <c r="T502" s="26"/>
      <c r="U502" s="45"/>
      <c r="V502" s="26"/>
      <c r="W502" s="26"/>
    </row>
    <row r="503" spans="1:23" x14ac:dyDescent="0.35">
      <c r="A503" s="26"/>
      <c r="B503" s="1016"/>
      <c r="C503" s="26"/>
      <c r="D503" s="26"/>
      <c r="E503" s="44"/>
      <c r="F503" s="26"/>
      <c r="G503" s="26"/>
      <c r="H503" s="147"/>
      <c r="I503" s="26"/>
      <c r="J503" s="26"/>
      <c r="K503" s="26"/>
      <c r="L503" s="26"/>
      <c r="M503" s="26"/>
      <c r="N503" s="148"/>
      <c r="O503" s="26"/>
      <c r="P503" s="26"/>
      <c r="Q503" s="26"/>
      <c r="R503" s="435"/>
      <c r="S503" s="136"/>
      <c r="T503" s="26"/>
      <c r="U503" s="45"/>
      <c r="V503" s="26"/>
      <c r="W503" s="26"/>
    </row>
    <row r="504" spans="1:23" x14ac:dyDescent="0.35">
      <c r="A504" s="26"/>
      <c r="B504" s="1016"/>
      <c r="C504" s="26"/>
      <c r="D504" s="26"/>
      <c r="E504" s="44"/>
      <c r="F504" s="26"/>
      <c r="G504" s="26"/>
      <c r="H504" s="147"/>
      <c r="I504" s="26"/>
      <c r="J504" s="26"/>
      <c r="K504" s="26"/>
      <c r="L504" s="26"/>
      <c r="M504" s="26"/>
      <c r="N504" s="148"/>
      <c r="O504" s="26"/>
      <c r="P504" s="26"/>
      <c r="Q504" s="26"/>
      <c r="R504" s="435"/>
      <c r="S504" s="136"/>
      <c r="T504" s="26"/>
      <c r="U504" s="45"/>
      <c r="V504" s="26"/>
      <c r="W504" s="26"/>
    </row>
    <row r="505" spans="1:23" x14ac:dyDescent="0.35">
      <c r="A505" s="26"/>
      <c r="B505" s="1016"/>
      <c r="C505" s="26"/>
      <c r="D505" s="26"/>
      <c r="E505" s="44"/>
      <c r="F505" s="26"/>
      <c r="G505" s="26"/>
      <c r="H505" s="147"/>
      <c r="I505" s="26"/>
      <c r="J505" s="26"/>
      <c r="K505" s="26"/>
      <c r="L505" s="26"/>
      <c r="M505" s="26"/>
      <c r="N505" s="148"/>
      <c r="O505" s="26"/>
      <c r="P505" s="26"/>
      <c r="Q505" s="26"/>
      <c r="R505" s="435"/>
      <c r="S505" s="136"/>
      <c r="T505" s="26"/>
      <c r="U505" s="45"/>
      <c r="V505" s="26"/>
      <c r="W505" s="26"/>
    </row>
    <row r="506" spans="1:23" x14ac:dyDescent="0.35">
      <c r="A506" s="26"/>
      <c r="B506" s="1016"/>
      <c r="C506" s="26"/>
      <c r="D506" s="26"/>
      <c r="E506" s="44"/>
      <c r="F506" s="26"/>
      <c r="G506" s="26"/>
      <c r="H506" s="147"/>
      <c r="I506" s="26"/>
      <c r="J506" s="26"/>
      <c r="K506" s="26"/>
      <c r="L506" s="26"/>
      <c r="M506" s="26"/>
      <c r="N506" s="148"/>
      <c r="O506" s="26"/>
      <c r="P506" s="26"/>
      <c r="Q506" s="26"/>
      <c r="R506" s="435"/>
      <c r="S506" s="136"/>
      <c r="T506" s="26"/>
      <c r="U506" s="45"/>
      <c r="V506" s="26"/>
      <c r="W506" s="26"/>
    </row>
    <row r="507" spans="1:23" x14ac:dyDescent="0.35">
      <c r="A507" s="26"/>
      <c r="B507" s="1016"/>
      <c r="C507" s="26"/>
      <c r="D507" s="26"/>
      <c r="E507" s="44"/>
      <c r="F507" s="26"/>
      <c r="G507" s="26"/>
      <c r="H507" s="147"/>
      <c r="I507" s="26"/>
      <c r="J507" s="26"/>
      <c r="K507" s="26"/>
      <c r="L507" s="26"/>
      <c r="M507" s="26"/>
      <c r="N507" s="148"/>
      <c r="O507" s="26"/>
      <c r="P507" s="26"/>
      <c r="Q507" s="26"/>
      <c r="R507" s="435"/>
      <c r="S507" s="136"/>
      <c r="T507" s="26"/>
      <c r="U507" s="45"/>
      <c r="V507" s="26"/>
      <c r="W507" s="26"/>
    </row>
    <row r="508" spans="1:23" x14ac:dyDescent="0.35">
      <c r="A508" s="26"/>
      <c r="B508" s="1016"/>
      <c r="C508" s="26"/>
      <c r="D508" s="26"/>
      <c r="E508" s="44"/>
      <c r="F508" s="26"/>
      <c r="G508" s="26"/>
      <c r="H508" s="147"/>
      <c r="I508" s="26"/>
      <c r="J508" s="26"/>
      <c r="K508" s="26"/>
      <c r="L508" s="26"/>
      <c r="M508" s="26"/>
      <c r="N508" s="148"/>
      <c r="O508" s="26"/>
      <c r="P508" s="26"/>
      <c r="Q508" s="26"/>
      <c r="R508" s="435"/>
      <c r="S508" s="136"/>
      <c r="T508" s="26"/>
      <c r="U508" s="45"/>
      <c r="V508" s="26"/>
      <c r="W508" s="26"/>
    </row>
    <row r="509" spans="1:23" x14ac:dyDescent="0.35">
      <c r="A509" s="26"/>
      <c r="B509" s="1016"/>
      <c r="C509" s="26"/>
      <c r="D509" s="26"/>
      <c r="E509" s="44"/>
      <c r="F509" s="26"/>
      <c r="G509" s="26"/>
      <c r="H509" s="147"/>
      <c r="I509" s="26"/>
      <c r="J509" s="26"/>
      <c r="K509" s="26"/>
      <c r="L509" s="26"/>
      <c r="M509" s="26"/>
      <c r="N509" s="148"/>
      <c r="O509" s="26"/>
      <c r="P509" s="26"/>
      <c r="Q509" s="26"/>
      <c r="R509" s="435"/>
      <c r="S509" s="136"/>
      <c r="T509" s="26"/>
      <c r="U509" s="45"/>
      <c r="V509" s="26"/>
      <c r="W509" s="26"/>
    </row>
    <row r="510" spans="1:23" x14ac:dyDescent="0.35">
      <c r="A510" s="26"/>
      <c r="B510" s="1016"/>
      <c r="C510" s="26"/>
      <c r="D510" s="26"/>
      <c r="E510" s="44"/>
      <c r="F510" s="26"/>
      <c r="G510" s="26"/>
      <c r="H510" s="147"/>
      <c r="I510" s="26"/>
      <c r="J510" s="26"/>
      <c r="K510" s="26"/>
      <c r="L510" s="26"/>
      <c r="M510" s="26"/>
      <c r="N510" s="148"/>
      <c r="O510" s="26"/>
      <c r="P510" s="26"/>
      <c r="Q510" s="26"/>
      <c r="R510" s="435"/>
      <c r="S510" s="136"/>
      <c r="T510" s="26"/>
      <c r="U510" s="45"/>
      <c r="V510" s="26"/>
      <c r="W510" s="26"/>
    </row>
    <row r="511" spans="1:23" x14ac:dyDescent="0.35">
      <c r="A511" s="26"/>
      <c r="B511" s="1016"/>
      <c r="C511" s="26"/>
      <c r="D511" s="26"/>
      <c r="E511" s="44"/>
      <c r="F511" s="26"/>
      <c r="G511" s="26"/>
      <c r="H511" s="147"/>
      <c r="I511" s="26"/>
      <c r="J511" s="26"/>
      <c r="K511" s="26"/>
      <c r="L511" s="26"/>
      <c r="M511" s="26"/>
      <c r="N511" s="148"/>
      <c r="O511" s="26"/>
      <c r="P511" s="26"/>
      <c r="Q511" s="26"/>
      <c r="R511" s="435"/>
      <c r="S511" s="136"/>
      <c r="T511" s="26"/>
      <c r="U511" s="45"/>
      <c r="V511" s="26"/>
      <c r="W511" s="26"/>
    </row>
    <row r="512" spans="1:23" x14ac:dyDescent="0.35">
      <c r="A512" s="26"/>
      <c r="B512" s="1016"/>
      <c r="C512" s="26"/>
      <c r="D512" s="26"/>
      <c r="E512" s="44"/>
      <c r="F512" s="26"/>
      <c r="G512" s="26"/>
      <c r="H512" s="147"/>
      <c r="I512" s="26"/>
      <c r="J512" s="26"/>
      <c r="K512" s="26"/>
      <c r="L512" s="26"/>
      <c r="M512" s="26"/>
      <c r="N512" s="148"/>
      <c r="O512" s="26"/>
      <c r="P512" s="26"/>
      <c r="Q512" s="26"/>
      <c r="R512" s="435"/>
      <c r="S512" s="136"/>
      <c r="T512" s="26"/>
      <c r="U512" s="45"/>
      <c r="V512" s="26"/>
      <c r="W512" s="26"/>
    </row>
    <row r="513" spans="1:23" x14ac:dyDescent="0.35">
      <c r="A513" s="26"/>
      <c r="B513" s="1016"/>
      <c r="C513" s="26"/>
      <c r="D513" s="26"/>
      <c r="E513" s="44"/>
      <c r="F513" s="26"/>
      <c r="G513" s="26"/>
      <c r="H513" s="147"/>
      <c r="I513" s="26"/>
      <c r="J513" s="26"/>
      <c r="K513" s="26"/>
      <c r="L513" s="26"/>
      <c r="M513" s="26"/>
      <c r="N513" s="148"/>
      <c r="O513" s="26"/>
      <c r="P513" s="26"/>
      <c r="Q513" s="26"/>
      <c r="R513" s="435"/>
      <c r="S513" s="136"/>
      <c r="T513" s="26"/>
      <c r="U513" s="45"/>
      <c r="V513" s="26"/>
      <c r="W513" s="26"/>
    </row>
    <row r="514" spans="1:23" x14ac:dyDescent="0.35">
      <c r="A514" s="26"/>
      <c r="B514" s="1016"/>
      <c r="C514" s="26"/>
      <c r="D514" s="26"/>
      <c r="E514" s="44"/>
      <c r="F514" s="26"/>
      <c r="G514" s="26"/>
      <c r="H514" s="147"/>
      <c r="I514" s="26"/>
      <c r="J514" s="26"/>
      <c r="K514" s="26"/>
      <c r="L514" s="26"/>
      <c r="M514" s="26"/>
      <c r="N514" s="148"/>
      <c r="O514" s="26"/>
      <c r="P514" s="26"/>
      <c r="Q514" s="26"/>
      <c r="R514" s="435"/>
      <c r="S514" s="136"/>
      <c r="T514" s="26"/>
      <c r="U514" s="45"/>
      <c r="V514" s="26"/>
      <c r="W514" s="26"/>
    </row>
    <row r="515" spans="1:23" x14ac:dyDescent="0.35">
      <c r="A515" s="26"/>
      <c r="B515" s="1016"/>
      <c r="C515" s="26"/>
      <c r="D515" s="26"/>
      <c r="E515" s="44"/>
      <c r="F515" s="26"/>
      <c r="G515" s="26"/>
      <c r="H515" s="147"/>
      <c r="I515" s="26"/>
      <c r="J515" s="26"/>
      <c r="K515" s="26"/>
      <c r="L515" s="26"/>
      <c r="M515" s="26"/>
      <c r="N515" s="148"/>
      <c r="O515" s="26"/>
      <c r="P515" s="26"/>
      <c r="Q515" s="26"/>
      <c r="R515" s="435"/>
      <c r="S515" s="136"/>
      <c r="T515" s="26"/>
      <c r="U515" s="45"/>
      <c r="V515" s="26"/>
      <c r="W515" s="26"/>
    </row>
    <row r="516" spans="1:23" x14ac:dyDescent="0.35">
      <c r="A516" s="26"/>
      <c r="B516" s="1016"/>
      <c r="C516" s="26"/>
      <c r="D516" s="26"/>
      <c r="E516" s="44"/>
      <c r="F516" s="26"/>
      <c r="G516" s="26"/>
      <c r="H516" s="147"/>
      <c r="I516" s="26"/>
      <c r="J516" s="26"/>
      <c r="K516" s="26"/>
      <c r="L516" s="26"/>
      <c r="M516" s="26"/>
      <c r="N516" s="148"/>
      <c r="O516" s="26"/>
      <c r="P516" s="26"/>
      <c r="Q516" s="26"/>
      <c r="R516" s="435"/>
      <c r="S516" s="136"/>
      <c r="T516" s="26"/>
      <c r="U516" s="45"/>
      <c r="V516" s="26"/>
      <c r="W516" s="26"/>
    </row>
    <row r="517" spans="1:23" x14ac:dyDescent="0.35">
      <c r="A517" s="26"/>
      <c r="B517" s="1016"/>
      <c r="C517" s="26"/>
      <c r="D517" s="26"/>
      <c r="E517" s="44"/>
      <c r="F517" s="26"/>
      <c r="G517" s="26"/>
      <c r="H517" s="147"/>
      <c r="I517" s="26"/>
      <c r="J517" s="26"/>
      <c r="K517" s="26"/>
      <c r="L517" s="26"/>
      <c r="M517" s="26"/>
      <c r="N517" s="148"/>
      <c r="O517" s="26"/>
      <c r="P517" s="26"/>
      <c r="Q517" s="26"/>
      <c r="R517" s="435"/>
      <c r="S517" s="136"/>
      <c r="T517" s="26"/>
      <c r="U517" s="45"/>
      <c r="V517" s="26"/>
      <c r="W517" s="26"/>
    </row>
    <row r="518" spans="1:23" x14ac:dyDescent="0.35">
      <c r="A518" s="26"/>
      <c r="B518" s="1016"/>
      <c r="C518" s="26"/>
      <c r="D518" s="26"/>
      <c r="E518" s="44"/>
      <c r="F518" s="26"/>
      <c r="G518" s="26"/>
      <c r="H518" s="147"/>
      <c r="I518" s="26"/>
      <c r="J518" s="26"/>
      <c r="K518" s="26"/>
      <c r="L518" s="26"/>
      <c r="M518" s="26"/>
      <c r="N518" s="148"/>
      <c r="O518" s="26"/>
      <c r="P518" s="26"/>
      <c r="Q518" s="26"/>
      <c r="R518" s="435"/>
      <c r="S518" s="136"/>
      <c r="T518" s="26"/>
      <c r="U518" s="45"/>
      <c r="V518" s="26"/>
      <c r="W518" s="26"/>
    </row>
    <row r="519" spans="1:23" x14ac:dyDescent="0.35">
      <c r="A519" s="26"/>
      <c r="B519" s="1016"/>
      <c r="C519" s="26"/>
      <c r="D519" s="26"/>
      <c r="E519" s="44"/>
      <c r="F519" s="26"/>
      <c r="G519" s="26"/>
      <c r="H519" s="147"/>
      <c r="I519" s="26"/>
      <c r="J519" s="26"/>
      <c r="K519" s="26"/>
      <c r="L519" s="26"/>
      <c r="M519" s="26"/>
      <c r="N519" s="148"/>
      <c r="O519" s="26"/>
      <c r="P519" s="26"/>
      <c r="Q519" s="26"/>
      <c r="R519" s="435"/>
      <c r="S519" s="136"/>
      <c r="T519" s="26"/>
      <c r="U519" s="45"/>
      <c r="V519" s="26"/>
      <c r="W519" s="26"/>
    </row>
    <row r="520" spans="1:23" x14ac:dyDescent="0.35">
      <c r="A520" s="26"/>
      <c r="B520" s="1016"/>
      <c r="C520" s="26"/>
      <c r="D520" s="26"/>
      <c r="E520" s="44"/>
      <c r="F520" s="26"/>
      <c r="G520" s="26"/>
      <c r="H520" s="147"/>
      <c r="I520" s="26"/>
      <c r="J520" s="26"/>
      <c r="K520" s="26"/>
      <c r="L520" s="26"/>
      <c r="M520" s="26"/>
      <c r="N520" s="148"/>
      <c r="O520" s="26"/>
      <c r="P520" s="26"/>
      <c r="Q520" s="26"/>
      <c r="R520" s="435"/>
      <c r="S520" s="136"/>
      <c r="T520" s="26"/>
      <c r="U520" s="45"/>
      <c r="V520" s="26"/>
      <c r="W520" s="26"/>
    </row>
    <row r="521" spans="1:23" x14ac:dyDescent="0.35">
      <c r="A521" s="26"/>
      <c r="B521" s="1016"/>
      <c r="C521" s="26"/>
      <c r="D521" s="26"/>
      <c r="E521" s="44"/>
      <c r="F521" s="26"/>
      <c r="G521" s="26"/>
      <c r="H521" s="147"/>
      <c r="I521" s="26"/>
      <c r="J521" s="26"/>
      <c r="K521" s="26"/>
      <c r="L521" s="26"/>
      <c r="M521" s="26"/>
      <c r="N521" s="148"/>
      <c r="O521" s="26"/>
      <c r="P521" s="26"/>
      <c r="Q521" s="26"/>
      <c r="R521" s="435"/>
      <c r="S521" s="136"/>
      <c r="T521" s="26"/>
      <c r="U521" s="45"/>
      <c r="V521" s="26"/>
      <c r="W521" s="26"/>
    </row>
    <row r="522" spans="1:23" x14ac:dyDescent="0.35">
      <c r="A522" s="26"/>
      <c r="B522" s="1016"/>
      <c r="C522" s="26"/>
      <c r="D522" s="26"/>
      <c r="E522" s="44"/>
      <c r="F522" s="26"/>
      <c r="G522" s="26"/>
      <c r="H522" s="147"/>
      <c r="I522" s="26"/>
      <c r="J522" s="26"/>
      <c r="K522" s="26"/>
      <c r="L522" s="26"/>
      <c r="M522" s="26"/>
      <c r="N522" s="148"/>
      <c r="O522" s="26"/>
      <c r="P522" s="26"/>
      <c r="Q522" s="26"/>
      <c r="R522" s="435"/>
      <c r="S522" s="136"/>
      <c r="T522" s="26"/>
      <c r="U522" s="45"/>
      <c r="V522" s="26"/>
      <c r="W522" s="26"/>
    </row>
    <row r="523" spans="1:23" x14ac:dyDescent="0.35">
      <c r="A523" s="26"/>
      <c r="B523" s="1016"/>
      <c r="C523" s="26"/>
      <c r="D523" s="26"/>
      <c r="E523" s="44"/>
      <c r="F523" s="26"/>
      <c r="G523" s="26"/>
      <c r="H523" s="147"/>
      <c r="I523" s="26"/>
      <c r="J523" s="26"/>
      <c r="K523" s="26"/>
      <c r="L523" s="26"/>
      <c r="M523" s="26"/>
      <c r="N523" s="148"/>
      <c r="O523" s="26"/>
      <c r="P523" s="26"/>
      <c r="Q523" s="26"/>
      <c r="R523" s="435"/>
      <c r="S523" s="136"/>
      <c r="T523" s="26"/>
      <c r="U523" s="45"/>
      <c r="V523" s="26"/>
      <c r="W523" s="26"/>
    </row>
    <row r="524" spans="1:23" x14ac:dyDescent="0.35">
      <c r="A524" s="26"/>
      <c r="B524" s="1016"/>
      <c r="C524" s="26"/>
      <c r="D524" s="26"/>
      <c r="E524" s="44"/>
      <c r="F524" s="26"/>
      <c r="G524" s="26"/>
      <c r="H524" s="147"/>
      <c r="I524" s="26"/>
      <c r="J524" s="26"/>
      <c r="K524" s="26"/>
      <c r="L524" s="26"/>
      <c r="M524" s="26"/>
      <c r="N524" s="148"/>
      <c r="O524" s="26"/>
      <c r="P524" s="26"/>
      <c r="Q524" s="26"/>
      <c r="R524" s="435"/>
      <c r="S524" s="136"/>
      <c r="T524" s="26"/>
      <c r="U524" s="45"/>
      <c r="V524" s="26"/>
      <c r="W524" s="26"/>
    </row>
    <row r="525" spans="1:23" x14ac:dyDescent="0.35">
      <c r="A525" s="26"/>
      <c r="B525" s="1016"/>
      <c r="C525" s="26"/>
      <c r="D525" s="26"/>
      <c r="E525" s="44"/>
      <c r="F525" s="26"/>
      <c r="G525" s="26"/>
      <c r="H525" s="147"/>
      <c r="I525" s="26"/>
      <c r="J525" s="26"/>
      <c r="K525" s="26"/>
      <c r="L525" s="26"/>
      <c r="M525" s="26"/>
      <c r="N525" s="148"/>
      <c r="O525" s="26"/>
      <c r="P525" s="26"/>
      <c r="Q525" s="26"/>
      <c r="R525" s="435"/>
      <c r="S525" s="136"/>
      <c r="T525" s="26"/>
      <c r="U525" s="45"/>
      <c r="V525" s="26"/>
      <c r="W525" s="26"/>
    </row>
    <row r="526" spans="1:23" x14ac:dyDescent="0.35">
      <c r="A526" s="26"/>
      <c r="B526" s="1016"/>
      <c r="C526" s="26"/>
      <c r="D526" s="26"/>
      <c r="E526" s="44"/>
      <c r="F526" s="26"/>
      <c r="G526" s="26"/>
      <c r="H526" s="147"/>
      <c r="I526" s="26"/>
      <c r="J526" s="26"/>
      <c r="K526" s="26"/>
      <c r="L526" s="26"/>
      <c r="M526" s="26"/>
      <c r="N526" s="148"/>
      <c r="O526" s="26"/>
      <c r="P526" s="26"/>
      <c r="Q526" s="26"/>
      <c r="R526" s="435"/>
      <c r="S526" s="136"/>
      <c r="T526" s="26"/>
      <c r="U526" s="45"/>
      <c r="V526" s="26"/>
      <c r="W526" s="26"/>
    </row>
    <row r="527" spans="1:23" x14ac:dyDescent="0.35">
      <c r="A527" s="26"/>
      <c r="B527" s="1016"/>
      <c r="C527" s="26"/>
      <c r="D527" s="26"/>
      <c r="E527" s="44"/>
      <c r="F527" s="26"/>
      <c r="G527" s="26"/>
      <c r="H527" s="147"/>
      <c r="I527" s="26"/>
      <c r="J527" s="26"/>
      <c r="K527" s="26"/>
      <c r="L527" s="26"/>
      <c r="M527" s="26"/>
      <c r="N527" s="148"/>
      <c r="O527" s="26"/>
      <c r="P527" s="26"/>
      <c r="Q527" s="26"/>
      <c r="R527" s="435"/>
      <c r="S527" s="136"/>
      <c r="T527" s="26"/>
      <c r="U527" s="45"/>
      <c r="V527" s="26"/>
      <c r="W527" s="26"/>
    </row>
    <row r="528" spans="1:23" x14ac:dyDescent="0.35">
      <c r="A528" s="26"/>
      <c r="B528" s="1016"/>
      <c r="C528" s="26"/>
      <c r="D528" s="26"/>
      <c r="E528" s="44"/>
      <c r="F528" s="26"/>
      <c r="G528" s="26"/>
      <c r="H528" s="147"/>
      <c r="I528" s="26"/>
      <c r="J528" s="26"/>
      <c r="K528" s="26"/>
      <c r="L528" s="26"/>
      <c r="M528" s="26"/>
      <c r="N528" s="148"/>
      <c r="O528" s="26"/>
      <c r="P528" s="26"/>
      <c r="Q528" s="26"/>
      <c r="R528" s="435"/>
      <c r="S528" s="136"/>
      <c r="T528" s="26"/>
      <c r="U528" s="45"/>
      <c r="V528" s="26"/>
      <c r="W528" s="26"/>
    </row>
    <row r="529" spans="1:23" x14ac:dyDescent="0.35">
      <c r="A529" s="26"/>
      <c r="B529" s="1016"/>
      <c r="C529" s="26"/>
      <c r="D529" s="26"/>
      <c r="E529" s="44"/>
      <c r="F529" s="26"/>
      <c r="G529" s="26"/>
      <c r="H529" s="147"/>
      <c r="I529" s="26"/>
      <c r="J529" s="26"/>
      <c r="K529" s="26"/>
      <c r="L529" s="26"/>
      <c r="M529" s="26"/>
      <c r="N529" s="148"/>
      <c r="O529" s="26"/>
      <c r="P529" s="26"/>
      <c r="Q529" s="26"/>
      <c r="R529" s="435"/>
      <c r="S529" s="136"/>
      <c r="T529" s="26"/>
      <c r="U529" s="45"/>
      <c r="V529" s="26"/>
      <c r="W529" s="26"/>
    </row>
    <row r="530" spans="1:23" x14ac:dyDescent="0.35">
      <c r="A530" s="26"/>
      <c r="B530" s="1016"/>
      <c r="C530" s="26"/>
      <c r="D530" s="26"/>
      <c r="E530" s="44"/>
      <c r="F530" s="26"/>
      <c r="G530" s="26"/>
      <c r="H530" s="147"/>
      <c r="I530" s="26"/>
      <c r="J530" s="26"/>
      <c r="K530" s="26"/>
      <c r="L530" s="26"/>
      <c r="M530" s="26"/>
      <c r="N530" s="148"/>
      <c r="O530" s="26"/>
      <c r="P530" s="26"/>
      <c r="Q530" s="26"/>
      <c r="R530" s="435"/>
      <c r="S530" s="136"/>
      <c r="T530" s="26"/>
      <c r="U530" s="45"/>
      <c r="V530" s="26"/>
      <c r="W530" s="26"/>
    </row>
    <row r="531" spans="1:23" x14ac:dyDescent="0.35">
      <c r="A531" s="26"/>
      <c r="B531" s="1016"/>
      <c r="C531" s="26"/>
      <c r="D531" s="26"/>
      <c r="E531" s="44"/>
      <c r="F531" s="26"/>
      <c r="G531" s="26"/>
      <c r="H531" s="147"/>
      <c r="I531" s="26"/>
      <c r="J531" s="26"/>
      <c r="K531" s="26"/>
      <c r="L531" s="26"/>
      <c r="M531" s="26"/>
      <c r="N531" s="148"/>
      <c r="O531" s="26"/>
      <c r="P531" s="26"/>
      <c r="Q531" s="26"/>
      <c r="R531" s="435"/>
      <c r="S531" s="136"/>
      <c r="T531" s="26"/>
      <c r="U531" s="45"/>
      <c r="V531" s="26"/>
      <c r="W531" s="26"/>
    </row>
    <row r="532" spans="1:23" x14ac:dyDescent="0.35">
      <c r="A532" s="26"/>
      <c r="B532" s="1016"/>
      <c r="C532" s="26"/>
      <c r="D532" s="26"/>
      <c r="E532" s="44"/>
      <c r="F532" s="26"/>
      <c r="G532" s="26"/>
      <c r="H532" s="147"/>
      <c r="I532" s="26"/>
      <c r="J532" s="26"/>
      <c r="K532" s="26"/>
      <c r="L532" s="26"/>
      <c r="M532" s="26"/>
      <c r="N532" s="148"/>
      <c r="O532" s="26"/>
      <c r="P532" s="26"/>
      <c r="Q532" s="26"/>
      <c r="R532" s="435"/>
      <c r="S532" s="136"/>
      <c r="T532" s="26"/>
      <c r="U532" s="45"/>
      <c r="V532" s="26"/>
      <c r="W532" s="26"/>
    </row>
    <row r="533" spans="1:23" x14ac:dyDescent="0.35">
      <c r="A533" s="26"/>
      <c r="B533" s="1016"/>
      <c r="C533" s="26"/>
      <c r="D533" s="26"/>
      <c r="E533" s="44"/>
      <c r="F533" s="26"/>
      <c r="G533" s="26"/>
      <c r="H533" s="147"/>
      <c r="I533" s="26"/>
      <c r="J533" s="26"/>
      <c r="K533" s="26"/>
      <c r="L533" s="26"/>
      <c r="M533" s="26"/>
      <c r="N533" s="148"/>
      <c r="O533" s="26"/>
      <c r="P533" s="26"/>
      <c r="Q533" s="26"/>
      <c r="R533" s="435"/>
      <c r="S533" s="136"/>
      <c r="T533" s="26"/>
      <c r="U533" s="45"/>
      <c r="V533" s="26"/>
      <c r="W533" s="26"/>
    </row>
    <row r="534" spans="1:23" x14ac:dyDescent="0.35">
      <c r="A534" s="26"/>
      <c r="B534" s="1016"/>
      <c r="C534" s="26"/>
      <c r="D534" s="26"/>
      <c r="E534" s="44"/>
      <c r="F534" s="26"/>
      <c r="G534" s="26"/>
      <c r="H534" s="147"/>
      <c r="I534" s="26"/>
      <c r="J534" s="26"/>
      <c r="K534" s="26"/>
      <c r="L534" s="26"/>
      <c r="M534" s="26"/>
      <c r="N534" s="148"/>
      <c r="O534" s="26"/>
      <c r="P534" s="26"/>
      <c r="Q534" s="26"/>
      <c r="R534" s="435"/>
      <c r="S534" s="136"/>
      <c r="T534" s="26"/>
      <c r="U534" s="45"/>
      <c r="V534" s="26"/>
      <c r="W534" s="26"/>
    </row>
    <row r="535" spans="1:23" x14ac:dyDescent="0.35">
      <c r="A535" s="26"/>
      <c r="B535" s="1016"/>
      <c r="C535" s="26"/>
      <c r="D535" s="26"/>
      <c r="E535" s="44"/>
      <c r="F535" s="26"/>
      <c r="G535" s="26"/>
      <c r="H535" s="147"/>
      <c r="I535" s="26"/>
      <c r="J535" s="26"/>
      <c r="K535" s="26"/>
      <c r="L535" s="26"/>
      <c r="M535" s="26"/>
      <c r="N535" s="148"/>
      <c r="O535" s="26"/>
      <c r="P535" s="26"/>
      <c r="Q535" s="26"/>
      <c r="R535" s="435"/>
      <c r="S535" s="136"/>
      <c r="T535" s="26"/>
      <c r="U535" s="45"/>
      <c r="V535" s="26"/>
      <c r="W535" s="26"/>
    </row>
    <row r="536" spans="1:23" x14ac:dyDescent="0.35">
      <c r="A536" s="26"/>
      <c r="B536" s="1016"/>
      <c r="C536" s="26"/>
      <c r="D536" s="26"/>
      <c r="E536" s="44"/>
      <c r="F536" s="26"/>
      <c r="G536" s="26"/>
      <c r="H536" s="147"/>
      <c r="I536" s="26"/>
      <c r="J536" s="26"/>
      <c r="K536" s="26"/>
      <c r="L536" s="26"/>
      <c r="M536" s="26"/>
      <c r="N536" s="148"/>
      <c r="O536" s="26"/>
      <c r="P536" s="26"/>
      <c r="Q536" s="26"/>
      <c r="R536" s="435"/>
      <c r="S536" s="136"/>
      <c r="T536" s="26"/>
      <c r="U536" s="45"/>
      <c r="V536" s="26"/>
      <c r="W536" s="26"/>
    </row>
    <row r="537" spans="1:23" x14ac:dyDescent="0.35">
      <c r="A537" s="26"/>
      <c r="B537" s="1016"/>
      <c r="C537" s="26"/>
      <c r="D537" s="26"/>
      <c r="E537" s="44"/>
      <c r="F537" s="26"/>
      <c r="G537" s="26"/>
      <c r="H537" s="147"/>
      <c r="I537" s="26"/>
      <c r="J537" s="26"/>
      <c r="K537" s="26"/>
      <c r="L537" s="26"/>
      <c r="M537" s="26"/>
      <c r="N537" s="148"/>
      <c r="O537" s="26"/>
      <c r="P537" s="26"/>
      <c r="Q537" s="26"/>
      <c r="R537" s="435"/>
      <c r="S537" s="136"/>
      <c r="T537" s="26"/>
      <c r="U537" s="45"/>
      <c r="V537" s="26"/>
      <c r="W537" s="26"/>
    </row>
    <row r="538" spans="1:23" x14ac:dyDescent="0.35">
      <c r="A538" s="26"/>
      <c r="B538" s="1016"/>
      <c r="C538" s="26"/>
      <c r="D538" s="26"/>
      <c r="E538" s="44"/>
      <c r="F538" s="26"/>
      <c r="G538" s="26"/>
      <c r="H538" s="147"/>
      <c r="I538" s="26"/>
      <c r="J538" s="26"/>
      <c r="K538" s="26"/>
      <c r="L538" s="26"/>
      <c r="M538" s="26"/>
      <c r="N538" s="148"/>
      <c r="O538" s="26"/>
      <c r="P538" s="26"/>
      <c r="Q538" s="26"/>
      <c r="R538" s="435"/>
      <c r="S538" s="136"/>
      <c r="T538" s="26"/>
      <c r="U538" s="45"/>
      <c r="V538" s="26"/>
      <c r="W538" s="26"/>
    </row>
    <row r="539" spans="1:23" x14ac:dyDescent="0.35">
      <c r="A539" s="26"/>
      <c r="B539" s="1016"/>
      <c r="C539" s="26"/>
      <c r="D539" s="26"/>
      <c r="E539" s="44"/>
      <c r="F539" s="26"/>
      <c r="G539" s="26"/>
      <c r="H539" s="147"/>
      <c r="I539" s="26"/>
      <c r="J539" s="26"/>
      <c r="K539" s="26"/>
      <c r="L539" s="26"/>
      <c r="M539" s="26"/>
      <c r="N539" s="148"/>
      <c r="O539" s="26"/>
      <c r="P539" s="26"/>
      <c r="Q539" s="26"/>
      <c r="R539" s="435"/>
      <c r="S539" s="136"/>
      <c r="T539" s="26"/>
      <c r="U539" s="45"/>
      <c r="V539" s="26"/>
      <c r="W539" s="26"/>
    </row>
    <row r="540" spans="1:23" x14ac:dyDescent="0.35">
      <c r="A540" s="26"/>
      <c r="B540" s="1016"/>
      <c r="C540" s="26"/>
      <c r="D540" s="26"/>
      <c r="E540" s="44"/>
      <c r="F540" s="26"/>
      <c r="G540" s="26"/>
      <c r="H540" s="147"/>
      <c r="I540" s="26"/>
      <c r="J540" s="26"/>
      <c r="K540" s="26"/>
      <c r="L540" s="26"/>
      <c r="M540" s="26"/>
      <c r="N540" s="148"/>
      <c r="O540" s="26"/>
      <c r="P540" s="26"/>
      <c r="Q540" s="26"/>
      <c r="R540" s="435"/>
      <c r="S540" s="136"/>
      <c r="T540" s="26"/>
      <c r="U540" s="45"/>
      <c r="V540" s="26"/>
      <c r="W540" s="26"/>
    </row>
    <row r="541" spans="1:23" x14ac:dyDescent="0.35">
      <c r="A541" s="26"/>
      <c r="B541" s="1016"/>
      <c r="C541" s="26"/>
      <c r="D541" s="26"/>
      <c r="E541" s="44"/>
      <c r="F541" s="26"/>
      <c r="G541" s="26"/>
      <c r="H541" s="147"/>
      <c r="I541" s="26"/>
      <c r="J541" s="26"/>
      <c r="K541" s="26"/>
      <c r="L541" s="26"/>
      <c r="M541" s="26"/>
      <c r="N541" s="148"/>
      <c r="O541" s="26"/>
      <c r="P541" s="26"/>
      <c r="Q541" s="26"/>
      <c r="R541" s="435"/>
      <c r="S541" s="136"/>
      <c r="T541" s="26"/>
      <c r="U541" s="45"/>
      <c r="V541" s="26"/>
      <c r="W541" s="26"/>
    </row>
    <row r="542" spans="1:23" x14ac:dyDescent="0.35">
      <c r="A542" s="26"/>
      <c r="B542" s="1016"/>
      <c r="C542" s="26"/>
      <c r="D542" s="26"/>
      <c r="E542" s="44"/>
      <c r="F542" s="26"/>
      <c r="G542" s="26"/>
      <c r="H542" s="147"/>
      <c r="I542" s="26"/>
      <c r="J542" s="26"/>
      <c r="K542" s="26"/>
      <c r="L542" s="26"/>
      <c r="M542" s="26"/>
      <c r="N542" s="148"/>
      <c r="O542" s="26"/>
      <c r="P542" s="26"/>
      <c r="Q542" s="26"/>
      <c r="R542" s="435"/>
      <c r="S542" s="136"/>
      <c r="T542" s="26"/>
      <c r="U542" s="45"/>
      <c r="V542" s="26"/>
      <c r="W542" s="26"/>
    </row>
    <row r="543" spans="1:23" x14ac:dyDescent="0.35">
      <c r="A543" s="26"/>
      <c r="B543" s="1016"/>
      <c r="C543" s="26"/>
      <c r="D543" s="26"/>
      <c r="E543" s="44"/>
      <c r="F543" s="26"/>
      <c r="G543" s="26"/>
      <c r="H543" s="147"/>
      <c r="I543" s="26"/>
      <c r="J543" s="26"/>
      <c r="K543" s="26"/>
      <c r="L543" s="26"/>
      <c r="M543" s="26"/>
      <c r="N543" s="148"/>
      <c r="O543" s="26"/>
      <c r="P543" s="26"/>
      <c r="Q543" s="26"/>
      <c r="R543" s="435"/>
      <c r="S543" s="136"/>
      <c r="T543" s="26"/>
      <c r="U543" s="45"/>
      <c r="V543" s="26"/>
      <c r="W543" s="26"/>
    </row>
    <row r="544" spans="1:23" x14ac:dyDescent="0.35">
      <c r="A544" s="26"/>
      <c r="B544" s="1016"/>
      <c r="C544" s="26"/>
      <c r="D544" s="26"/>
      <c r="E544" s="44"/>
      <c r="F544" s="26"/>
      <c r="G544" s="26"/>
      <c r="H544" s="147"/>
      <c r="I544" s="26"/>
      <c r="J544" s="26"/>
      <c r="K544" s="26"/>
      <c r="L544" s="26"/>
      <c r="M544" s="26"/>
      <c r="N544" s="148"/>
      <c r="O544" s="26"/>
      <c r="P544" s="26"/>
      <c r="Q544" s="26"/>
      <c r="R544" s="435"/>
      <c r="S544" s="136"/>
      <c r="T544" s="26"/>
      <c r="U544" s="45"/>
      <c r="V544" s="26"/>
      <c r="W544" s="26"/>
    </row>
    <row r="545" spans="1:23" x14ac:dyDescent="0.35">
      <c r="A545" s="26"/>
      <c r="B545" s="1016"/>
      <c r="C545" s="26"/>
      <c r="D545" s="26"/>
      <c r="E545" s="44"/>
      <c r="F545" s="26"/>
      <c r="G545" s="26"/>
      <c r="H545" s="147"/>
      <c r="I545" s="26"/>
      <c r="J545" s="26"/>
      <c r="K545" s="26"/>
      <c r="L545" s="26"/>
      <c r="M545" s="26"/>
      <c r="N545" s="148"/>
      <c r="O545" s="26"/>
      <c r="P545" s="26"/>
      <c r="Q545" s="26"/>
      <c r="R545" s="435"/>
      <c r="S545" s="136"/>
      <c r="T545" s="26"/>
      <c r="U545" s="45"/>
      <c r="V545" s="26"/>
      <c r="W545" s="26"/>
    </row>
    <row r="546" spans="1:23" x14ac:dyDescent="0.35">
      <c r="A546" s="26"/>
      <c r="B546" s="1016"/>
      <c r="C546" s="26"/>
      <c r="D546" s="26"/>
      <c r="E546" s="44"/>
      <c r="F546" s="26"/>
      <c r="G546" s="26"/>
      <c r="H546" s="147"/>
      <c r="I546" s="26"/>
      <c r="J546" s="26"/>
      <c r="K546" s="26"/>
      <c r="L546" s="26"/>
      <c r="M546" s="26"/>
      <c r="N546" s="148"/>
      <c r="O546" s="26"/>
      <c r="P546" s="26"/>
      <c r="Q546" s="26"/>
      <c r="R546" s="435"/>
      <c r="S546" s="136"/>
      <c r="T546" s="26"/>
      <c r="U546" s="45"/>
      <c r="V546" s="26"/>
      <c r="W546" s="26"/>
    </row>
    <row r="547" spans="1:23" x14ac:dyDescent="0.35">
      <c r="A547" s="26"/>
      <c r="B547" s="1016"/>
      <c r="C547" s="26"/>
      <c r="D547" s="26"/>
      <c r="E547" s="44"/>
      <c r="F547" s="26"/>
      <c r="G547" s="26"/>
      <c r="H547" s="147"/>
      <c r="I547" s="26"/>
      <c r="J547" s="26"/>
      <c r="K547" s="26"/>
      <c r="L547" s="26"/>
      <c r="M547" s="26"/>
      <c r="N547" s="148"/>
      <c r="O547" s="26"/>
      <c r="P547" s="26"/>
      <c r="Q547" s="26"/>
      <c r="R547" s="435"/>
      <c r="S547" s="136"/>
      <c r="T547" s="26"/>
      <c r="U547" s="45"/>
      <c r="V547" s="26"/>
      <c r="W547" s="26"/>
    </row>
    <row r="548" spans="1:23" x14ac:dyDescent="0.35">
      <c r="A548" s="26"/>
      <c r="B548" s="1016"/>
      <c r="C548" s="26"/>
      <c r="D548" s="26"/>
      <c r="E548" s="44"/>
      <c r="F548" s="26"/>
      <c r="G548" s="26"/>
      <c r="H548" s="147"/>
      <c r="I548" s="26"/>
      <c r="J548" s="26"/>
      <c r="K548" s="26"/>
      <c r="L548" s="26"/>
      <c r="M548" s="26"/>
      <c r="N548" s="148"/>
      <c r="O548" s="26"/>
      <c r="P548" s="26"/>
      <c r="Q548" s="26"/>
      <c r="R548" s="435"/>
      <c r="S548" s="136"/>
      <c r="T548" s="26"/>
      <c r="U548" s="45"/>
      <c r="V548" s="26"/>
      <c r="W548" s="26"/>
    </row>
    <row r="549" spans="1:23" x14ac:dyDescent="0.35">
      <c r="A549" s="26"/>
      <c r="B549" s="1016"/>
      <c r="C549" s="26"/>
      <c r="D549" s="26"/>
      <c r="E549" s="44"/>
      <c r="F549" s="26"/>
      <c r="G549" s="26"/>
      <c r="H549" s="147"/>
      <c r="I549" s="26"/>
      <c r="J549" s="26"/>
      <c r="K549" s="26"/>
      <c r="L549" s="26"/>
      <c r="M549" s="26"/>
      <c r="N549" s="148"/>
      <c r="O549" s="26"/>
      <c r="P549" s="26"/>
      <c r="Q549" s="26"/>
      <c r="R549" s="435"/>
      <c r="S549" s="136"/>
      <c r="T549" s="26"/>
      <c r="U549" s="45"/>
      <c r="V549" s="26"/>
      <c r="W549" s="26"/>
    </row>
    <row r="550" spans="1:23" x14ac:dyDescent="0.35">
      <c r="A550" s="26"/>
      <c r="B550" s="1016"/>
      <c r="C550" s="26"/>
      <c r="D550" s="26"/>
      <c r="E550" s="44"/>
      <c r="F550" s="26"/>
      <c r="G550" s="26"/>
      <c r="H550" s="147"/>
      <c r="I550" s="26"/>
      <c r="J550" s="26"/>
      <c r="K550" s="26"/>
      <c r="L550" s="26"/>
      <c r="M550" s="26"/>
      <c r="N550" s="148"/>
      <c r="O550" s="26"/>
      <c r="P550" s="26"/>
      <c r="Q550" s="26"/>
      <c r="R550" s="435"/>
      <c r="S550" s="136"/>
      <c r="T550" s="26"/>
      <c r="U550" s="45"/>
      <c r="V550" s="26"/>
      <c r="W550" s="26"/>
    </row>
    <row r="551" spans="1:23" x14ac:dyDescent="0.35">
      <c r="A551" s="26"/>
      <c r="B551" s="1016"/>
      <c r="C551" s="26"/>
      <c r="D551" s="26"/>
      <c r="E551" s="44"/>
      <c r="F551" s="26"/>
      <c r="G551" s="26"/>
      <c r="H551" s="147"/>
      <c r="I551" s="26"/>
      <c r="J551" s="26"/>
      <c r="K551" s="26"/>
      <c r="L551" s="26"/>
      <c r="M551" s="26"/>
      <c r="N551" s="148"/>
      <c r="O551" s="26"/>
      <c r="P551" s="26"/>
      <c r="Q551" s="26"/>
      <c r="R551" s="435"/>
      <c r="S551" s="136"/>
      <c r="T551" s="26"/>
      <c r="U551" s="45"/>
      <c r="V551" s="26"/>
      <c r="W551" s="26"/>
    </row>
    <row r="552" spans="1:23" x14ac:dyDescent="0.35">
      <c r="A552" s="26"/>
      <c r="B552" s="1016"/>
      <c r="C552" s="26"/>
      <c r="D552" s="26"/>
      <c r="E552" s="44"/>
      <c r="F552" s="26"/>
      <c r="G552" s="26"/>
      <c r="H552" s="147"/>
      <c r="I552" s="26"/>
      <c r="J552" s="26"/>
      <c r="K552" s="26"/>
      <c r="L552" s="26"/>
      <c r="M552" s="26"/>
      <c r="N552" s="148"/>
      <c r="O552" s="26"/>
      <c r="P552" s="26"/>
      <c r="Q552" s="26"/>
      <c r="R552" s="435"/>
      <c r="S552" s="136"/>
      <c r="T552" s="26"/>
      <c r="U552" s="45"/>
      <c r="V552" s="26"/>
      <c r="W552" s="26"/>
    </row>
    <row r="553" spans="1:23" x14ac:dyDescent="0.35">
      <c r="A553" s="26"/>
      <c r="B553" s="1016"/>
      <c r="C553" s="26"/>
      <c r="D553" s="26"/>
      <c r="E553" s="44"/>
      <c r="F553" s="26"/>
      <c r="G553" s="26"/>
      <c r="H553" s="147"/>
      <c r="I553" s="26"/>
      <c r="J553" s="26"/>
      <c r="K553" s="26"/>
      <c r="L553" s="26"/>
      <c r="M553" s="26"/>
      <c r="N553" s="148"/>
      <c r="O553" s="26"/>
      <c r="P553" s="26"/>
      <c r="Q553" s="26"/>
      <c r="R553" s="435"/>
      <c r="S553" s="136"/>
      <c r="T553" s="26"/>
      <c r="U553" s="45"/>
      <c r="V553" s="26"/>
      <c r="W553" s="26"/>
    </row>
    <row r="554" spans="1:23" x14ac:dyDescent="0.35">
      <c r="A554" s="26"/>
      <c r="B554" s="1016"/>
      <c r="C554" s="26"/>
      <c r="D554" s="26"/>
      <c r="E554" s="44"/>
      <c r="F554" s="26"/>
      <c r="G554" s="26"/>
      <c r="H554" s="147"/>
      <c r="I554" s="26"/>
      <c r="J554" s="26"/>
      <c r="K554" s="26"/>
      <c r="L554" s="26"/>
      <c r="M554" s="26"/>
      <c r="N554" s="148"/>
      <c r="O554" s="26"/>
      <c r="P554" s="26"/>
      <c r="Q554" s="26"/>
      <c r="R554" s="435"/>
      <c r="S554" s="136"/>
      <c r="T554" s="26"/>
      <c r="U554" s="45"/>
      <c r="V554" s="26"/>
      <c r="W554" s="26"/>
    </row>
    <row r="555" spans="1:23" x14ac:dyDescent="0.35">
      <c r="A555" s="26"/>
      <c r="B555" s="1016"/>
      <c r="C555" s="26"/>
      <c r="D555" s="26"/>
      <c r="E555" s="44"/>
      <c r="F555" s="26"/>
      <c r="G555" s="26"/>
      <c r="H555" s="147"/>
      <c r="I555" s="26"/>
      <c r="J555" s="26"/>
      <c r="K555" s="26"/>
      <c r="L555" s="26"/>
      <c r="M555" s="26"/>
      <c r="N555" s="148"/>
      <c r="O555" s="26"/>
      <c r="P555" s="26"/>
      <c r="Q555" s="26"/>
      <c r="R555" s="435"/>
      <c r="S555" s="136"/>
      <c r="T555" s="26"/>
      <c r="U555" s="45"/>
      <c r="V555" s="26"/>
      <c r="W555" s="26"/>
    </row>
    <row r="556" spans="1:23" x14ac:dyDescent="0.35">
      <c r="A556" s="26"/>
      <c r="B556" s="1016"/>
      <c r="C556" s="26"/>
      <c r="D556" s="26"/>
      <c r="E556" s="44"/>
      <c r="F556" s="26"/>
      <c r="G556" s="26"/>
      <c r="H556" s="147"/>
      <c r="I556" s="26"/>
      <c r="J556" s="26"/>
      <c r="K556" s="26"/>
      <c r="L556" s="26"/>
      <c r="M556" s="26"/>
      <c r="N556" s="148"/>
      <c r="O556" s="26"/>
      <c r="P556" s="26"/>
      <c r="Q556" s="26"/>
      <c r="R556" s="435"/>
      <c r="S556" s="136"/>
      <c r="T556" s="26"/>
      <c r="U556" s="45"/>
      <c r="V556" s="26"/>
      <c r="W556" s="26"/>
    </row>
    <row r="557" spans="1:23" x14ac:dyDescent="0.35">
      <c r="A557" s="26"/>
      <c r="B557" s="1016"/>
      <c r="C557" s="26"/>
      <c r="D557" s="26"/>
      <c r="E557" s="44"/>
      <c r="F557" s="26"/>
      <c r="G557" s="26"/>
      <c r="H557" s="147"/>
      <c r="I557" s="26"/>
      <c r="J557" s="26"/>
      <c r="K557" s="26"/>
      <c r="L557" s="26"/>
      <c r="M557" s="26"/>
      <c r="N557" s="148"/>
      <c r="O557" s="26"/>
      <c r="P557" s="26"/>
      <c r="Q557" s="26"/>
      <c r="R557" s="435"/>
      <c r="S557" s="136"/>
      <c r="T557" s="26"/>
      <c r="U557" s="45"/>
      <c r="V557" s="26"/>
      <c r="W557" s="26"/>
    </row>
    <row r="558" spans="1:23" x14ac:dyDescent="0.35">
      <c r="A558" s="26"/>
      <c r="B558" s="1016"/>
      <c r="C558" s="26"/>
      <c r="D558" s="26"/>
      <c r="E558" s="44"/>
      <c r="F558" s="26"/>
      <c r="G558" s="26"/>
      <c r="H558" s="147"/>
      <c r="I558" s="26"/>
      <c r="J558" s="26"/>
      <c r="K558" s="26"/>
      <c r="L558" s="26"/>
      <c r="M558" s="26"/>
      <c r="N558" s="148"/>
      <c r="O558" s="26"/>
      <c r="P558" s="26"/>
      <c r="Q558" s="26"/>
      <c r="R558" s="435"/>
      <c r="S558" s="136"/>
      <c r="T558" s="26"/>
      <c r="U558" s="45"/>
      <c r="V558" s="26"/>
      <c r="W558" s="26"/>
    </row>
    <row r="559" spans="1:23" x14ac:dyDescent="0.35">
      <c r="A559" s="26"/>
      <c r="B559" s="1016"/>
      <c r="C559" s="26"/>
      <c r="D559" s="26"/>
      <c r="E559" s="44"/>
      <c r="F559" s="26"/>
      <c r="G559" s="26"/>
      <c r="H559" s="147"/>
      <c r="I559" s="26"/>
      <c r="J559" s="26"/>
      <c r="K559" s="26"/>
      <c r="L559" s="26"/>
      <c r="M559" s="26"/>
      <c r="N559" s="148"/>
      <c r="O559" s="26"/>
      <c r="P559" s="26"/>
      <c r="Q559" s="26"/>
      <c r="R559" s="435"/>
      <c r="S559" s="136"/>
      <c r="T559" s="26"/>
      <c r="U559" s="45"/>
      <c r="V559" s="26"/>
      <c r="W559" s="26"/>
    </row>
    <row r="560" spans="1:23" x14ac:dyDescent="0.35">
      <c r="A560" s="26"/>
      <c r="B560" s="1016"/>
      <c r="C560" s="26"/>
      <c r="D560" s="26"/>
      <c r="E560" s="44"/>
      <c r="F560" s="26"/>
      <c r="G560" s="26"/>
      <c r="H560" s="147"/>
      <c r="I560" s="26"/>
      <c r="J560" s="26"/>
      <c r="K560" s="26"/>
      <c r="L560" s="26"/>
      <c r="M560" s="26"/>
      <c r="N560" s="148"/>
      <c r="O560" s="26"/>
      <c r="P560" s="26"/>
      <c r="Q560" s="26"/>
      <c r="R560" s="435"/>
      <c r="S560" s="136"/>
      <c r="T560" s="26"/>
      <c r="U560" s="45"/>
      <c r="V560" s="26"/>
      <c r="W560" s="26"/>
    </row>
    <row r="561" spans="1:23" x14ac:dyDescent="0.35">
      <c r="A561" s="26"/>
      <c r="B561" s="1016"/>
      <c r="C561" s="26"/>
      <c r="D561" s="26"/>
      <c r="E561" s="44"/>
      <c r="F561" s="26"/>
      <c r="G561" s="26"/>
      <c r="H561" s="147"/>
      <c r="I561" s="26"/>
      <c r="J561" s="26"/>
      <c r="K561" s="26"/>
      <c r="L561" s="26"/>
      <c r="M561" s="26"/>
      <c r="N561" s="148"/>
      <c r="O561" s="26"/>
      <c r="P561" s="26"/>
      <c r="Q561" s="26"/>
      <c r="R561" s="435"/>
      <c r="S561" s="136"/>
      <c r="T561" s="26"/>
      <c r="U561" s="45"/>
      <c r="V561" s="26"/>
      <c r="W561" s="26"/>
    </row>
    <row r="562" spans="1:23" x14ac:dyDescent="0.35">
      <c r="A562" s="26"/>
      <c r="B562" s="1016"/>
      <c r="C562" s="26"/>
      <c r="D562" s="26"/>
      <c r="E562" s="44"/>
      <c r="F562" s="26"/>
      <c r="G562" s="26"/>
      <c r="H562" s="147"/>
      <c r="I562" s="26"/>
      <c r="J562" s="26"/>
      <c r="K562" s="26"/>
      <c r="L562" s="26"/>
      <c r="M562" s="26"/>
      <c r="N562" s="148"/>
      <c r="O562" s="26"/>
      <c r="P562" s="26"/>
      <c r="Q562" s="26"/>
      <c r="R562" s="435"/>
      <c r="S562" s="136"/>
      <c r="T562" s="26"/>
      <c r="U562" s="45"/>
      <c r="V562" s="26"/>
      <c r="W562" s="26"/>
    </row>
    <row r="563" spans="1:23" x14ac:dyDescent="0.35">
      <c r="A563" s="26"/>
      <c r="B563" s="1016"/>
      <c r="C563" s="26"/>
      <c r="D563" s="26"/>
      <c r="E563" s="44"/>
      <c r="F563" s="26"/>
      <c r="G563" s="26"/>
      <c r="H563" s="147"/>
      <c r="I563" s="26"/>
      <c r="J563" s="26"/>
      <c r="K563" s="26"/>
      <c r="L563" s="26"/>
      <c r="M563" s="26"/>
      <c r="N563" s="148"/>
      <c r="O563" s="26"/>
      <c r="P563" s="26"/>
      <c r="Q563" s="26"/>
      <c r="R563" s="435"/>
      <c r="S563" s="136"/>
      <c r="T563" s="26"/>
      <c r="U563" s="45"/>
      <c r="V563" s="26"/>
      <c r="W563" s="26"/>
    </row>
    <row r="564" spans="1:23" x14ac:dyDescent="0.35">
      <c r="A564" s="26"/>
      <c r="B564" s="1016"/>
      <c r="C564" s="26"/>
      <c r="D564" s="26"/>
      <c r="E564" s="44"/>
      <c r="F564" s="26"/>
      <c r="G564" s="26"/>
      <c r="H564" s="147"/>
      <c r="I564" s="26"/>
      <c r="J564" s="26"/>
      <c r="K564" s="26"/>
      <c r="L564" s="26"/>
      <c r="M564" s="26"/>
      <c r="N564" s="148"/>
      <c r="O564" s="26"/>
      <c r="P564" s="26"/>
      <c r="Q564" s="26"/>
      <c r="R564" s="435"/>
      <c r="S564" s="136"/>
      <c r="T564" s="26"/>
      <c r="U564" s="45"/>
      <c r="V564" s="26"/>
      <c r="W564" s="26"/>
    </row>
    <row r="565" spans="1:23" x14ac:dyDescent="0.35">
      <c r="A565" s="26"/>
      <c r="B565" s="1016"/>
      <c r="C565" s="26"/>
      <c r="D565" s="26"/>
      <c r="E565" s="44"/>
      <c r="F565" s="26"/>
      <c r="G565" s="26"/>
      <c r="H565" s="147"/>
      <c r="I565" s="26"/>
      <c r="J565" s="26"/>
      <c r="K565" s="26"/>
      <c r="L565" s="26"/>
      <c r="M565" s="26"/>
      <c r="N565" s="148"/>
      <c r="O565" s="26"/>
      <c r="P565" s="26"/>
      <c r="Q565" s="26"/>
      <c r="R565" s="435"/>
      <c r="S565" s="136"/>
      <c r="T565" s="26"/>
      <c r="U565" s="45"/>
      <c r="V565" s="26"/>
      <c r="W565" s="26"/>
    </row>
    <row r="566" spans="1:23" x14ac:dyDescent="0.35">
      <c r="A566" s="26"/>
      <c r="B566" s="1016"/>
      <c r="C566" s="26"/>
      <c r="D566" s="26"/>
      <c r="E566" s="44"/>
      <c r="F566" s="26"/>
      <c r="G566" s="26"/>
      <c r="H566" s="147"/>
      <c r="I566" s="26"/>
      <c r="J566" s="26"/>
      <c r="K566" s="26"/>
      <c r="L566" s="26"/>
      <c r="M566" s="26"/>
      <c r="N566" s="148"/>
      <c r="O566" s="26"/>
      <c r="P566" s="26"/>
      <c r="Q566" s="26"/>
      <c r="R566" s="435"/>
      <c r="S566" s="136"/>
      <c r="T566" s="26"/>
      <c r="U566" s="45"/>
      <c r="V566" s="26"/>
      <c r="W566" s="26"/>
    </row>
    <row r="567" spans="1:23" x14ac:dyDescent="0.35">
      <c r="A567" s="26"/>
      <c r="B567" s="1016"/>
      <c r="C567" s="26"/>
      <c r="D567" s="26"/>
      <c r="E567" s="44"/>
      <c r="F567" s="26"/>
      <c r="G567" s="26"/>
      <c r="H567" s="147"/>
      <c r="I567" s="26"/>
      <c r="J567" s="26"/>
      <c r="K567" s="26"/>
      <c r="L567" s="26"/>
      <c r="M567" s="26"/>
      <c r="N567" s="148"/>
      <c r="O567" s="26"/>
      <c r="P567" s="26"/>
      <c r="Q567" s="26"/>
      <c r="R567" s="435"/>
      <c r="S567" s="136"/>
      <c r="T567" s="26"/>
      <c r="U567" s="45"/>
      <c r="V567" s="26"/>
      <c r="W567" s="26"/>
    </row>
    <row r="568" spans="1:23" x14ac:dyDescent="0.35">
      <c r="A568" s="26"/>
      <c r="B568" s="1016"/>
      <c r="C568" s="26"/>
      <c r="D568" s="26"/>
      <c r="E568" s="44"/>
      <c r="F568" s="26"/>
      <c r="G568" s="26"/>
      <c r="H568" s="147"/>
      <c r="I568" s="26"/>
      <c r="J568" s="26"/>
      <c r="K568" s="26"/>
      <c r="L568" s="26"/>
      <c r="M568" s="26"/>
      <c r="N568" s="148"/>
      <c r="O568" s="26"/>
      <c r="P568" s="26"/>
      <c r="Q568" s="26"/>
      <c r="R568" s="435"/>
      <c r="S568" s="136"/>
      <c r="T568" s="26"/>
      <c r="U568" s="45"/>
      <c r="V568" s="26"/>
      <c r="W568" s="26"/>
    </row>
    <row r="569" spans="1:23" x14ac:dyDescent="0.35">
      <c r="A569" s="26"/>
      <c r="B569" s="1016"/>
      <c r="C569" s="26"/>
      <c r="D569" s="26"/>
      <c r="E569" s="44"/>
      <c r="F569" s="26"/>
      <c r="G569" s="26"/>
      <c r="H569" s="147"/>
      <c r="I569" s="26"/>
      <c r="J569" s="26"/>
      <c r="K569" s="26"/>
      <c r="L569" s="26"/>
      <c r="M569" s="26"/>
      <c r="N569" s="148"/>
      <c r="O569" s="26"/>
      <c r="P569" s="26"/>
      <c r="Q569" s="26"/>
      <c r="R569" s="435"/>
      <c r="S569" s="136"/>
      <c r="T569" s="26"/>
      <c r="U569" s="45"/>
      <c r="V569" s="26"/>
      <c r="W569" s="26"/>
    </row>
    <row r="570" spans="1:23" x14ac:dyDescent="0.35">
      <c r="A570" s="26"/>
      <c r="B570" s="1016"/>
      <c r="C570" s="26"/>
      <c r="D570" s="26"/>
      <c r="E570" s="44"/>
      <c r="F570" s="26"/>
      <c r="G570" s="26"/>
      <c r="H570" s="147"/>
      <c r="I570" s="26"/>
      <c r="J570" s="26"/>
      <c r="K570" s="26"/>
      <c r="L570" s="26"/>
      <c r="M570" s="26"/>
      <c r="N570" s="148"/>
      <c r="O570" s="26"/>
      <c r="P570" s="26"/>
      <c r="Q570" s="26"/>
      <c r="R570" s="435"/>
      <c r="S570" s="136"/>
      <c r="T570" s="26"/>
      <c r="U570" s="45"/>
      <c r="V570" s="26"/>
      <c r="W570" s="26"/>
    </row>
    <row r="571" spans="1:23" x14ac:dyDescent="0.35">
      <c r="A571" s="26"/>
      <c r="B571" s="1016"/>
      <c r="C571" s="26"/>
      <c r="D571" s="26"/>
      <c r="E571" s="44"/>
      <c r="F571" s="26"/>
      <c r="G571" s="26"/>
      <c r="H571" s="147"/>
      <c r="I571" s="26"/>
      <c r="J571" s="26"/>
      <c r="K571" s="26"/>
      <c r="L571" s="26"/>
      <c r="M571" s="26"/>
      <c r="N571" s="148"/>
      <c r="O571" s="26"/>
      <c r="P571" s="26"/>
      <c r="Q571" s="26"/>
      <c r="R571" s="435"/>
      <c r="S571" s="136"/>
      <c r="T571" s="26"/>
      <c r="U571" s="45"/>
      <c r="V571" s="26"/>
      <c r="W571" s="26"/>
    </row>
    <row r="572" spans="1:23" x14ac:dyDescent="0.35">
      <c r="A572" s="26"/>
      <c r="B572" s="1016"/>
      <c r="C572" s="26"/>
      <c r="D572" s="26"/>
      <c r="E572" s="44"/>
      <c r="F572" s="26"/>
      <c r="G572" s="26"/>
      <c r="H572" s="147"/>
      <c r="I572" s="26"/>
      <c r="J572" s="26"/>
      <c r="K572" s="26"/>
      <c r="L572" s="26"/>
      <c r="M572" s="26"/>
      <c r="N572" s="148"/>
      <c r="O572" s="26"/>
      <c r="P572" s="26"/>
      <c r="Q572" s="26"/>
      <c r="R572" s="435"/>
      <c r="S572" s="136"/>
      <c r="T572" s="26"/>
      <c r="U572" s="45"/>
      <c r="V572" s="26"/>
      <c r="W572" s="26"/>
    </row>
    <row r="573" spans="1:23" x14ac:dyDescent="0.35">
      <c r="A573" s="26"/>
      <c r="B573" s="1016"/>
      <c r="C573" s="26"/>
      <c r="D573" s="26"/>
      <c r="E573" s="44"/>
      <c r="F573" s="26"/>
      <c r="G573" s="26"/>
      <c r="H573" s="147"/>
      <c r="I573" s="26"/>
      <c r="J573" s="26"/>
      <c r="K573" s="26"/>
      <c r="L573" s="26"/>
      <c r="M573" s="26"/>
      <c r="N573" s="148"/>
      <c r="O573" s="26"/>
      <c r="P573" s="26"/>
      <c r="Q573" s="26"/>
      <c r="R573" s="435"/>
      <c r="S573" s="136"/>
      <c r="T573" s="26"/>
      <c r="U573" s="45"/>
      <c r="V573" s="26"/>
      <c r="W573" s="26"/>
    </row>
    <row r="574" spans="1:23" x14ac:dyDescent="0.35">
      <c r="A574" s="26"/>
      <c r="B574" s="1016"/>
      <c r="C574" s="26"/>
      <c r="D574" s="26"/>
      <c r="E574" s="44"/>
      <c r="F574" s="26"/>
      <c r="G574" s="26"/>
      <c r="H574" s="147"/>
      <c r="I574" s="26"/>
      <c r="J574" s="26"/>
      <c r="K574" s="26"/>
      <c r="L574" s="26"/>
      <c r="M574" s="26"/>
      <c r="N574" s="148"/>
      <c r="O574" s="26"/>
      <c r="P574" s="26"/>
      <c r="Q574" s="26"/>
      <c r="R574" s="435"/>
      <c r="S574" s="136"/>
      <c r="T574" s="26"/>
      <c r="U574" s="45"/>
      <c r="V574" s="26"/>
      <c r="W574" s="26"/>
    </row>
    <row r="575" spans="1:23" x14ac:dyDescent="0.35">
      <c r="A575" s="26"/>
      <c r="B575" s="1016"/>
      <c r="C575" s="26"/>
      <c r="D575" s="26"/>
      <c r="E575" s="44"/>
      <c r="F575" s="26"/>
      <c r="G575" s="26"/>
      <c r="H575" s="147"/>
      <c r="I575" s="26"/>
      <c r="J575" s="26"/>
      <c r="K575" s="26"/>
      <c r="L575" s="26"/>
      <c r="M575" s="26"/>
      <c r="N575" s="148"/>
      <c r="O575" s="26"/>
      <c r="P575" s="26"/>
      <c r="Q575" s="26"/>
      <c r="R575" s="435"/>
      <c r="S575" s="136"/>
      <c r="T575" s="26"/>
      <c r="U575" s="45"/>
      <c r="V575" s="26"/>
      <c r="W575" s="26"/>
    </row>
    <row r="576" spans="1:23" x14ac:dyDescent="0.35">
      <c r="A576" s="26"/>
      <c r="B576" s="1016"/>
      <c r="C576" s="26"/>
      <c r="D576" s="26"/>
      <c r="E576" s="44"/>
      <c r="F576" s="26"/>
      <c r="G576" s="26"/>
      <c r="H576" s="147"/>
      <c r="I576" s="26"/>
      <c r="J576" s="26"/>
      <c r="K576" s="26"/>
      <c r="L576" s="26"/>
      <c r="M576" s="26"/>
      <c r="N576" s="148"/>
      <c r="O576" s="26"/>
      <c r="P576" s="26"/>
      <c r="Q576" s="26"/>
      <c r="R576" s="435"/>
      <c r="S576" s="136"/>
      <c r="T576" s="26"/>
      <c r="U576" s="45"/>
      <c r="V576" s="26"/>
      <c r="W576" s="26"/>
    </row>
    <row r="577" spans="1:23" x14ac:dyDescent="0.35">
      <c r="A577" s="26"/>
      <c r="B577" s="1016"/>
      <c r="C577" s="26"/>
      <c r="D577" s="26"/>
      <c r="E577" s="44"/>
      <c r="F577" s="26"/>
      <c r="G577" s="26"/>
      <c r="H577" s="147"/>
      <c r="I577" s="26"/>
      <c r="J577" s="26"/>
      <c r="K577" s="26"/>
      <c r="L577" s="26"/>
      <c r="M577" s="26"/>
      <c r="N577" s="148"/>
      <c r="O577" s="26"/>
      <c r="P577" s="26"/>
      <c r="Q577" s="26"/>
      <c r="R577" s="435"/>
      <c r="S577" s="136"/>
      <c r="T577" s="26"/>
      <c r="U577" s="45"/>
      <c r="V577" s="26"/>
      <c r="W577" s="26"/>
    </row>
    <row r="578" spans="1:23" x14ac:dyDescent="0.35">
      <c r="A578" s="26"/>
      <c r="B578" s="1016"/>
      <c r="C578" s="26"/>
      <c r="D578" s="26"/>
      <c r="E578" s="44"/>
      <c r="F578" s="26"/>
      <c r="G578" s="26"/>
      <c r="H578" s="147"/>
      <c r="I578" s="26"/>
      <c r="J578" s="26"/>
      <c r="K578" s="26"/>
      <c r="L578" s="26"/>
      <c r="M578" s="26"/>
      <c r="N578" s="148"/>
      <c r="O578" s="26"/>
      <c r="P578" s="26"/>
      <c r="Q578" s="26"/>
      <c r="R578" s="435"/>
      <c r="S578" s="136"/>
      <c r="T578" s="26"/>
      <c r="U578" s="45"/>
      <c r="V578" s="26"/>
      <c r="W578" s="26"/>
    </row>
    <row r="579" spans="1:23" x14ac:dyDescent="0.35">
      <c r="A579" s="26"/>
      <c r="B579" s="1016"/>
      <c r="C579" s="26"/>
      <c r="D579" s="26"/>
      <c r="E579" s="44"/>
      <c r="F579" s="26"/>
      <c r="G579" s="26"/>
      <c r="H579" s="147"/>
      <c r="I579" s="26"/>
      <c r="J579" s="26"/>
      <c r="K579" s="26"/>
      <c r="L579" s="26"/>
      <c r="M579" s="26"/>
      <c r="N579" s="148"/>
      <c r="O579" s="26"/>
      <c r="P579" s="26"/>
      <c r="Q579" s="26"/>
      <c r="R579" s="435"/>
      <c r="S579" s="136"/>
      <c r="T579" s="26"/>
      <c r="U579" s="45"/>
      <c r="V579" s="26"/>
      <c r="W579" s="26"/>
    </row>
    <row r="580" spans="1:23" x14ac:dyDescent="0.35">
      <c r="A580" s="26"/>
      <c r="B580" s="1016"/>
      <c r="C580" s="26"/>
      <c r="D580" s="26"/>
      <c r="E580" s="44"/>
      <c r="F580" s="26"/>
      <c r="G580" s="26"/>
      <c r="H580" s="147"/>
      <c r="I580" s="26"/>
      <c r="J580" s="26"/>
      <c r="K580" s="26"/>
      <c r="L580" s="26"/>
      <c r="M580" s="26"/>
      <c r="N580" s="148"/>
      <c r="O580" s="26"/>
      <c r="P580" s="26"/>
      <c r="Q580" s="26"/>
      <c r="R580" s="435"/>
      <c r="S580" s="136"/>
      <c r="T580" s="26"/>
      <c r="U580" s="45"/>
      <c r="V580" s="26"/>
      <c r="W580" s="26"/>
    </row>
    <row r="581" spans="1:23" x14ac:dyDescent="0.35">
      <c r="A581" s="26"/>
      <c r="B581" s="1016"/>
      <c r="C581" s="26"/>
      <c r="D581" s="26"/>
      <c r="E581" s="44"/>
      <c r="F581" s="26"/>
      <c r="G581" s="26"/>
      <c r="H581" s="147"/>
      <c r="I581" s="26"/>
      <c r="J581" s="26"/>
      <c r="K581" s="26"/>
      <c r="L581" s="26"/>
      <c r="M581" s="26"/>
      <c r="N581" s="148"/>
      <c r="O581" s="26"/>
      <c r="P581" s="26"/>
      <c r="Q581" s="26"/>
      <c r="R581" s="435"/>
      <c r="S581" s="136"/>
      <c r="T581" s="26"/>
      <c r="U581" s="45"/>
      <c r="V581" s="26"/>
      <c r="W581" s="26"/>
    </row>
    <row r="582" spans="1:23" x14ac:dyDescent="0.35">
      <c r="A582" s="26"/>
      <c r="B582" s="1016"/>
      <c r="C582" s="26"/>
      <c r="D582" s="26"/>
      <c r="E582" s="44"/>
      <c r="F582" s="26"/>
      <c r="G582" s="26"/>
      <c r="H582" s="147"/>
      <c r="I582" s="26"/>
      <c r="J582" s="26"/>
      <c r="K582" s="26"/>
      <c r="L582" s="26"/>
      <c r="M582" s="26"/>
      <c r="N582" s="148"/>
      <c r="O582" s="26"/>
      <c r="P582" s="26"/>
      <c r="Q582" s="26"/>
      <c r="R582" s="435"/>
      <c r="S582" s="136"/>
      <c r="T582" s="26"/>
      <c r="U582" s="45"/>
      <c r="V582" s="26"/>
      <c r="W582" s="26"/>
    </row>
    <row r="583" spans="1:23" x14ac:dyDescent="0.35">
      <c r="A583" s="26"/>
      <c r="B583" s="1016"/>
      <c r="C583" s="26"/>
      <c r="D583" s="26"/>
      <c r="E583" s="44"/>
      <c r="F583" s="26"/>
      <c r="G583" s="26"/>
      <c r="H583" s="147"/>
      <c r="I583" s="26"/>
      <c r="J583" s="26"/>
      <c r="K583" s="26"/>
      <c r="L583" s="26"/>
      <c r="M583" s="26"/>
      <c r="N583" s="148"/>
      <c r="O583" s="26"/>
      <c r="P583" s="26"/>
      <c r="Q583" s="26"/>
      <c r="R583" s="435"/>
      <c r="S583" s="136"/>
      <c r="T583" s="26"/>
      <c r="U583" s="45"/>
      <c r="V583" s="26"/>
      <c r="W583" s="26"/>
    </row>
    <row r="584" spans="1:23" x14ac:dyDescent="0.35">
      <c r="A584" s="26"/>
      <c r="B584" s="1016"/>
      <c r="C584" s="26"/>
      <c r="D584" s="26"/>
      <c r="E584" s="44"/>
      <c r="F584" s="26"/>
      <c r="G584" s="26"/>
      <c r="H584" s="147"/>
      <c r="I584" s="26"/>
      <c r="J584" s="26"/>
      <c r="K584" s="26"/>
      <c r="L584" s="26"/>
      <c r="M584" s="26"/>
      <c r="N584" s="148"/>
      <c r="O584" s="26"/>
      <c r="P584" s="26"/>
      <c r="Q584" s="26"/>
      <c r="R584" s="435"/>
      <c r="S584" s="136"/>
      <c r="T584" s="26"/>
      <c r="U584" s="45"/>
      <c r="V584" s="26"/>
      <c r="W584" s="26"/>
    </row>
    <row r="585" spans="1:23" x14ac:dyDescent="0.35">
      <c r="A585" s="26"/>
      <c r="B585" s="1016"/>
      <c r="C585" s="26"/>
      <c r="D585" s="26"/>
      <c r="E585" s="44"/>
      <c r="F585" s="26"/>
      <c r="G585" s="26"/>
      <c r="H585" s="147"/>
      <c r="I585" s="26"/>
      <c r="J585" s="26"/>
      <c r="K585" s="26"/>
      <c r="L585" s="26"/>
      <c r="M585" s="26"/>
      <c r="N585" s="148"/>
      <c r="O585" s="26"/>
      <c r="P585" s="26"/>
      <c r="Q585" s="26"/>
      <c r="R585" s="435"/>
      <c r="S585" s="136"/>
      <c r="T585" s="26"/>
      <c r="U585" s="45"/>
      <c r="V585" s="26"/>
      <c r="W585" s="26"/>
    </row>
    <row r="586" spans="1:23" x14ac:dyDescent="0.35">
      <c r="A586" s="26"/>
      <c r="B586" s="1016"/>
      <c r="C586" s="26"/>
      <c r="D586" s="26"/>
      <c r="E586" s="44"/>
      <c r="F586" s="26"/>
      <c r="G586" s="26"/>
      <c r="H586" s="147"/>
      <c r="I586" s="26"/>
      <c r="J586" s="26"/>
      <c r="K586" s="26"/>
      <c r="L586" s="26"/>
      <c r="M586" s="26"/>
      <c r="N586" s="148"/>
      <c r="O586" s="26"/>
      <c r="P586" s="26"/>
      <c r="Q586" s="26"/>
      <c r="R586" s="435"/>
      <c r="S586" s="136"/>
      <c r="T586" s="26"/>
      <c r="U586" s="45"/>
      <c r="V586" s="26"/>
      <c r="W586" s="26"/>
    </row>
    <row r="587" spans="1:23" x14ac:dyDescent="0.35">
      <c r="A587" s="26"/>
      <c r="B587" s="1016"/>
      <c r="C587" s="26"/>
      <c r="D587" s="26"/>
      <c r="E587" s="44"/>
      <c r="F587" s="26"/>
      <c r="G587" s="26"/>
      <c r="H587" s="147"/>
      <c r="I587" s="26"/>
      <c r="J587" s="26"/>
      <c r="K587" s="26"/>
      <c r="L587" s="26"/>
      <c r="M587" s="26"/>
      <c r="N587" s="148"/>
      <c r="O587" s="26"/>
      <c r="P587" s="26"/>
      <c r="Q587" s="26"/>
      <c r="R587" s="435"/>
      <c r="S587" s="136"/>
      <c r="T587" s="26"/>
      <c r="U587" s="45"/>
      <c r="V587" s="26"/>
      <c r="W587" s="26"/>
    </row>
    <row r="588" spans="1:23" x14ac:dyDescent="0.35">
      <c r="A588" s="26"/>
      <c r="B588" s="1016"/>
      <c r="C588" s="26"/>
      <c r="D588" s="26"/>
      <c r="E588" s="44"/>
      <c r="F588" s="26"/>
      <c r="G588" s="26"/>
      <c r="H588" s="147"/>
      <c r="I588" s="26"/>
      <c r="J588" s="26"/>
      <c r="K588" s="26"/>
      <c r="L588" s="26"/>
      <c r="M588" s="26"/>
      <c r="N588" s="148"/>
      <c r="O588" s="26"/>
      <c r="P588" s="26"/>
      <c r="Q588" s="26"/>
      <c r="R588" s="435"/>
      <c r="S588" s="136"/>
      <c r="T588" s="26"/>
      <c r="U588" s="45"/>
      <c r="V588" s="26"/>
      <c r="W588" s="26"/>
    </row>
    <row r="589" spans="1:23" x14ac:dyDescent="0.35">
      <c r="A589" s="26"/>
      <c r="B589" s="1016"/>
      <c r="C589" s="26"/>
      <c r="D589" s="26"/>
      <c r="E589" s="44"/>
      <c r="F589" s="26"/>
      <c r="G589" s="26"/>
      <c r="H589" s="147"/>
      <c r="I589" s="26"/>
      <c r="J589" s="26"/>
      <c r="K589" s="26"/>
      <c r="L589" s="26"/>
      <c r="M589" s="26"/>
      <c r="N589" s="148"/>
      <c r="O589" s="26"/>
      <c r="P589" s="26"/>
      <c r="Q589" s="26"/>
      <c r="R589" s="435"/>
      <c r="S589" s="136"/>
      <c r="T589" s="26"/>
      <c r="U589" s="45"/>
      <c r="V589" s="26"/>
      <c r="W589" s="26"/>
    </row>
    <row r="590" spans="1:23" x14ac:dyDescent="0.35">
      <c r="A590" s="26"/>
      <c r="B590" s="1016"/>
      <c r="C590" s="26"/>
      <c r="D590" s="26"/>
      <c r="E590" s="44"/>
      <c r="F590" s="26"/>
      <c r="G590" s="26"/>
      <c r="H590" s="147"/>
      <c r="I590" s="26"/>
      <c r="J590" s="26"/>
      <c r="K590" s="26"/>
      <c r="L590" s="26"/>
      <c r="M590" s="26"/>
      <c r="N590" s="148"/>
      <c r="O590" s="26"/>
      <c r="P590" s="26"/>
      <c r="Q590" s="26"/>
      <c r="R590" s="435"/>
      <c r="S590" s="136"/>
      <c r="T590" s="26"/>
      <c r="U590" s="45"/>
      <c r="V590" s="26"/>
      <c r="W590" s="26"/>
    </row>
    <row r="591" spans="1:23" x14ac:dyDescent="0.35">
      <c r="A591" s="26"/>
      <c r="B591" s="1016"/>
      <c r="C591" s="26"/>
      <c r="D591" s="26"/>
      <c r="E591" s="44"/>
      <c r="F591" s="26"/>
      <c r="G591" s="26"/>
      <c r="H591" s="147"/>
      <c r="I591" s="26"/>
      <c r="J591" s="26"/>
      <c r="K591" s="26"/>
      <c r="L591" s="26"/>
      <c r="M591" s="26"/>
      <c r="N591" s="148"/>
      <c r="O591" s="26"/>
      <c r="P591" s="26"/>
      <c r="Q591" s="26"/>
      <c r="R591" s="435"/>
      <c r="S591" s="136"/>
      <c r="T591" s="26"/>
      <c r="U591" s="45"/>
      <c r="V591" s="26"/>
      <c r="W591" s="26"/>
    </row>
    <row r="592" spans="1:23" x14ac:dyDescent="0.35">
      <c r="A592" s="26"/>
      <c r="B592" s="1016"/>
      <c r="C592" s="26"/>
      <c r="D592" s="26"/>
      <c r="E592" s="44"/>
      <c r="F592" s="26"/>
      <c r="G592" s="26"/>
      <c r="H592" s="147"/>
      <c r="I592" s="26"/>
      <c r="J592" s="26"/>
      <c r="K592" s="26"/>
      <c r="L592" s="26"/>
      <c r="M592" s="26"/>
      <c r="N592" s="148"/>
      <c r="O592" s="26"/>
      <c r="P592" s="26"/>
      <c r="Q592" s="26"/>
      <c r="R592" s="435"/>
      <c r="S592" s="136"/>
      <c r="T592" s="26"/>
      <c r="U592" s="45"/>
      <c r="V592" s="26"/>
      <c r="W592" s="26"/>
    </row>
    <row r="593" spans="1:23" x14ac:dyDescent="0.35">
      <c r="A593" s="26"/>
      <c r="B593" s="1016"/>
      <c r="C593" s="26"/>
      <c r="D593" s="26"/>
      <c r="E593" s="44"/>
      <c r="F593" s="26"/>
      <c r="G593" s="26"/>
      <c r="H593" s="147"/>
      <c r="I593" s="26"/>
      <c r="J593" s="26"/>
      <c r="K593" s="26"/>
      <c r="L593" s="26"/>
      <c r="M593" s="26"/>
      <c r="N593" s="148"/>
      <c r="O593" s="26"/>
      <c r="P593" s="26"/>
      <c r="Q593" s="26"/>
      <c r="R593" s="435"/>
      <c r="S593" s="136"/>
      <c r="T593" s="26"/>
      <c r="U593" s="45"/>
      <c r="V593" s="26"/>
      <c r="W593" s="26"/>
    </row>
    <row r="594" spans="1:23" x14ac:dyDescent="0.35">
      <c r="A594" s="26"/>
      <c r="B594" s="1016"/>
      <c r="C594" s="26"/>
      <c r="D594" s="26"/>
      <c r="E594" s="44"/>
      <c r="F594" s="26"/>
      <c r="G594" s="26"/>
      <c r="H594" s="147"/>
      <c r="I594" s="26"/>
      <c r="J594" s="26"/>
      <c r="K594" s="26"/>
      <c r="L594" s="26"/>
      <c r="M594" s="26"/>
      <c r="N594" s="148"/>
      <c r="O594" s="26"/>
      <c r="P594" s="26"/>
      <c r="Q594" s="26"/>
      <c r="R594" s="435"/>
      <c r="S594" s="136"/>
      <c r="T594" s="26"/>
      <c r="U594" s="45"/>
      <c r="V594" s="26"/>
      <c r="W594" s="26"/>
    </row>
    <row r="595" spans="1:23" x14ac:dyDescent="0.35">
      <c r="A595" s="26"/>
      <c r="B595" s="1016"/>
      <c r="C595" s="26"/>
      <c r="D595" s="26"/>
      <c r="E595" s="44"/>
      <c r="F595" s="26"/>
      <c r="G595" s="26"/>
      <c r="H595" s="147"/>
      <c r="I595" s="26"/>
      <c r="J595" s="26"/>
      <c r="K595" s="26"/>
      <c r="L595" s="26"/>
      <c r="M595" s="26"/>
      <c r="N595" s="148"/>
      <c r="O595" s="26"/>
      <c r="P595" s="26"/>
      <c r="Q595" s="26"/>
      <c r="R595" s="435"/>
      <c r="S595" s="136"/>
      <c r="T595" s="26"/>
      <c r="U595" s="45"/>
      <c r="V595" s="26"/>
      <c r="W595" s="26"/>
    </row>
    <row r="596" spans="1:23" x14ac:dyDescent="0.35">
      <c r="A596" s="26"/>
      <c r="B596" s="1016"/>
      <c r="C596" s="26"/>
      <c r="D596" s="26"/>
      <c r="E596" s="44"/>
      <c r="F596" s="26"/>
      <c r="G596" s="26"/>
      <c r="H596" s="147"/>
      <c r="I596" s="26"/>
      <c r="J596" s="26"/>
      <c r="K596" s="26"/>
      <c r="L596" s="26"/>
      <c r="M596" s="26"/>
      <c r="N596" s="148"/>
      <c r="O596" s="26"/>
      <c r="P596" s="26"/>
      <c r="Q596" s="26"/>
      <c r="R596" s="435"/>
      <c r="S596" s="136"/>
      <c r="T596" s="26"/>
      <c r="U596" s="45"/>
      <c r="V596" s="26"/>
      <c r="W596" s="26"/>
    </row>
    <row r="597" spans="1:23" x14ac:dyDescent="0.35">
      <c r="A597" s="26"/>
      <c r="B597" s="1016"/>
      <c r="C597" s="26"/>
      <c r="D597" s="26"/>
      <c r="E597" s="44"/>
      <c r="F597" s="26"/>
      <c r="G597" s="26"/>
      <c r="H597" s="147"/>
      <c r="I597" s="26"/>
      <c r="J597" s="26"/>
      <c r="K597" s="26"/>
      <c r="L597" s="26"/>
      <c r="M597" s="26"/>
      <c r="N597" s="148"/>
      <c r="O597" s="26"/>
      <c r="P597" s="26"/>
      <c r="Q597" s="26"/>
      <c r="R597" s="435"/>
      <c r="S597" s="136"/>
      <c r="T597" s="26"/>
      <c r="U597" s="45"/>
      <c r="V597" s="26"/>
      <c r="W597" s="26"/>
    </row>
    <row r="598" spans="1:23" x14ac:dyDescent="0.35">
      <c r="A598" s="26"/>
      <c r="B598" s="1016"/>
      <c r="C598" s="26"/>
      <c r="D598" s="26"/>
      <c r="E598" s="44"/>
      <c r="F598" s="26"/>
      <c r="G598" s="26"/>
      <c r="H598" s="147"/>
      <c r="I598" s="26"/>
      <c r="J598" s="26"/>
      <c r="K598" s="26"/>
      <c r="L598" s="26"/>
      <c r="M598" s="26"/>
      <c r="N598" s="148"/>
      <c r="O598" s="26"/>
      <c r="P598" s="26"/>
      <c r="Q598" s="26"/>
      <c r="R598" s="435"/>
      <c r="S598" s="136"/>
      <c r="T598" s="26"/>
      <c r="U598" s="45"/>
      <c r="V598" s="26"/>
      <c r="W598" s="26"/>
    </row>
    <row r="599" spans="1:23" x14ac:dyDescent="0.35">
      <c r="A599" s="26"/>
      <c r="B599" s="1016"/>
      <c r="C599" s="26"/>
      <c r="D599" s="26"/>
      <c r="E599" s="44"/>
      <c r="F599" s="26"/>
      <c r="G599" s="26"/>
      <c r="H599" s="147"/>
      <c r="I599" s="26"/>
      <c r="J599" s="26"/>
      <c r="K599" s="26"/>
      <c r="L599" s="26"/>
      <c r="M599" s="26"/>
      <c r="N599" s="148"/>
      <c r="O599" s="26"/>
      <c r="P599" s="26"/>
      <c r="Q599" s="26"/>
      <c r="R599" s="435"/>
      <c r="S599" s="136"/>
      <c r="T599" s="26"/>
      <c r="U599" s="45"/>
      <c r="V599" s="26"/>
      <c r="W599" s="26"/>
    </row>
    <row r="600" spans="1:23" x14ac:dyDescent="0.35">
      <c r="A600" s="26"/>
      <c r="B600" s="1016"/>
      <c r="C600" s="26"/>
      <c r="D600" s="26"/>
      <c r="E600" s="44"/>
      <c r="F600" s="26"/>
      <c r="G600" s="26"/>
      <c r="H600" s="147"/>
      <c r="I600" s="26"/>
      <c r="J600" s="26"/>
      <c r="K600" s="26"/>
      <c r="L600" s="26"/>
      <c r="M600" s="26"/>
      <c r="N600" s="148"/>
      <c r="O600" s="26"/>
      <c r="P600" s="26"/>
      <c r="Q600" s="26"/>
      <c r="R600" s="435"/>
      <c r="S600" s="136"/>
      <c r="T600" s="26"/>
      <c r="U600" s="45"/>
      <c r="V600" s="26"/>
      <c r="W600" s="26"/>
    </row>
    <row r="601" spans="1:23" x14ac:dyDescent="0.35">
      <c r="A601" s="26"/>
      <c r="B601" s="1016"/>
      <c r="C601" s="26"/>
      <c r="D601" s="26"/>
      <c r="E601" s="44"/>
      <c r="F601" s="26"/>
      <c r="G601" s="26"/>
      <c r="H601" s="147"/>
      <c r="I601" s="26"/>
      <c r="J601" s="26"/>
      <c r="K601" s="26"/>
      <c r="L601" s="26"/>
      <c r="M601" s="26"/>
      <c r="N601" s="148"/>
      <c r="O601" s="26"/>
      <c r="P601" s="26"/>
      <c r="Q601" s="26"/>
      <c r="R601" s="435"/>
      <c r="S601" s="136"/>
      <c r="T601" s="26"/>
      <c r="U601" s="45"/>
      <c r="V601" s="26"/>
      <c r="W601" s="26"/>
    </row>
    <row r="602" spans="1:23" x14ac:dyDescent="0.35">
      <c r="A602" s="26"/>
      <c r="B602" s="1016"/>
      <c r="C602" s="26"/>
      <c r="D602" s="26"/>
      <c r="E602" s="44"/>
      <c r="F602" s="26"/>
      <c r="G602" s="26"/>
      <c r="H602" s="147"/>
      <c r="I602" s="26"/>
      <c r="J602" s="26"/>
      <c r="K602" s="26"/>
      <c r="L602" s="26"/>
      <c r="M602" s="26"/>
      <c r="N602" s="148"/>
      <c r="O602" s="26"/>
      <c r="P602" s="26"/>
      <c r="Q602" s="26"/>
      <c r="R602" s="435"/>
      <c r="S602" s="136"/>
      <c r="T602" s="26"/>
      <c r="U602" s="45"/>
      <c r="V602" s="26"/>
      <c r="W602" s="26"/>
    </row>
    <row r="603" spans="1:23" x14ac:dyDescent="0.35">
      <c r="A603" s="26"/>
      <c r="B603" s="1016"/>
      <c r="C603" s="26"/>
      <c r="D603" s="26"/>
      <c r="E603" s="44"/>
      <c r="F603" s="26"/>
      <c r="G603" s="26"/>
      <c r="H603" s="147"/>
      <c r="I603" s="26"/>
      <c r="J603" s="26"/>
      <c r="K603" s="26"/>
      <c r="L603" s="26"/>
      <c r="M603" s="26"/>
      <c r="N603" s="148"/>
      <c r="O603" s="26"/>
      <c r="P603" s="26"/>
      <c r="Q603" s="26"/>
      <c r="R603" s="435"/>
      <c r="S603" s="136"/>
      <c r="T603" s="26"/>
      <c r="U603" s="45"/>
      <c r="V603" s="26"/>
      <c r="W603" s="26"/>
    </row>
    <row r="604" spans="1:23" x14ac:dyDescent="0.35">
      <c r="A604" s="26"/>
      <c r="B604" s="1016"/>
      <c r="C604" s="26"/>
      <c r="D604" s="26"/>
      <c r="E604" s="44"/>
      <c r="F604" s="26"/>
      <c r="G604" s="26"/>
      <c r="H604" s="147"/>
      <c r="I604" s="26"/>
      <c r="J604" s="26"/>
      <c r="K604" s="26"/>
      <c r="L604" s="26"/>
      <c r="M604" s="26"/>
      <c r="N604" s="148"/>
      <c r="O604" s="26"/>
      <c r="P604" s="26"/>
      <c r="Q604" s="26"/>
      <c r="R604" s="435"/>
      <c r="S604" s="136"/>
      <c r="T604" s="26"/>
      <c r="U604" s="45"/>
      <c r="V604" s="26"/>
      <c r="W604" s="26"/>
    </row>
    <row r="605" spans="1:23" x14ac:dyDescent="0.35">
      <c r="A605" s="26"/>
      <c r="B605" s="1016"/>
      <c r="C605" s="26"/>
      <c r="D605" s="26"/>
      <c r="E605" s="44"/>
      <c r="F605" s="26"/>
      <c r="G605" s="26"/>
      <c r="H605" s="147"/>
      <c r="I605" s="26"/>
      <c r="J605" s="26"/>
      <c r="K605" s="26"/>
      <c r="L605" s="26"/>
      <c r="M605" s="26"/>
      <c r="N605" s="148"/>
      <c r="O605" s="26"/>
      <c r="P605" s="26"/>
      <c r="Q605" s="26"/>
      <c r="R605" s="435"/>
      <c r="S605" s="136"/>
      <c r="T605" s="26"/>
      <c r="U605" s="45"/>
      <c r="V605" s="26"/>
      <c r="W605" s="26"/>
    </row>
    <row r="606" spans="1:23" x14ac:dyDescent="0.35">
      <c r="A606" s="26"/>
      <c r="B606" s="1016"/>
      <c r="C606" s="26"/>
      <c r="D606" s="26"/>
      <c r="E606" s="44"/>
      <c r="F606" s="26"/>
      <c r="G606" s="26"/>
      <c r="H606" s="147"/>
      <c r="I606" s="26"/>
      <c r="J606" s="26"/>
      <c r="K606" s="26"/>
      <c r="L606" s="26"/>
      <c r="M606" s="26"/>
      <c r="N606" s="148"/>
      <c r="O606" s="26"/>
      <c r="P606" s="26"/>
      <c r="Q606" s="26"/>
      <c r="R606" s="435"/>
      <c r="S606" s="136"/>
      <c r="T606" s="26"/>
      <c r="U606" s="45"/>
      <c r="V606" s="26"/>
      <c r="W606" s="26"/>
    </row>
    <row r="607" spans="1:23" x14ac:dyDescent="0.35">
      <c r="A607" s="26"/>
      <c r="B607" s="1016"/>
      <c r="C607" s="26"/>
      <c r="D607" s="26"/>
      <c r="E607" s="44"/>
      <c r="F607" s="26"/>
      <c r="G607" s="26"/>
      <c r="H607" s="147"/>
      <c r="I607" s="26"/>
      <c r="J607" s="26"/>
      <c r="K607" s="26"/>
      <c r="L607" s="26"/>
      <c r="M607" s="26"/>
      <c r="N607" s="148"/>
      <c r="O607" s="26"/>
      <c r="P607" s="26"/>
      <c r="Q607" s="26"/>
      <c r="R607" s="435"/>
      <c r="S607" s="136"/>
      <c r="T607" s="26"/>
      <c r="U607" s="45"/>
      <c r="V607" s="26"/>
      <c r="W607" s="26"/>
    </row>
    <row r="608" spans="1:23" x14ac:dyDescent="0.35">
      <c r="A608" s="26"/>
      <c r="B608" s="1016"/>
      <c r="C608" s="26"/>
      <c r="D608" s="26"/>
      <c r="E608" s="44"/>
      <c r="F608" s="26"/>
      <c r="G608" s="26"/>
      <c r="H608" s="147"/>
      <c r="I608" s="26"/>
      <c r="J608" s="26"/>
      <c r="K608" s="26"/>
      <c r="L608" s="26"/>
      <c r="M608" s="26"/>
      <c r="N608" s="148"/>
      <c r="O608" s="26"/>
      <c r="P608" s="26"/>
      <c r="Q608" s="26"/>
      <c r="R608" s="435"/>
      <c r="S608" s="136"/>
      <c r="T608" s="26"/>
      <c r="U608" s="45"/>
      <c r="V608" s="26"/>
      <c r="W608" s="26"/>
    </row>
    <row r="609" spans="1:23" x14ac:dyDescent="0.35">
      <c r="A609" s="26"/>
      <c r="B609" s="1016"/>
      <c r="C609" s="26"/>
      <c r="D609" s="26"/>
      <c r="E609" s="44"/>
      <c r="F609" s="26"/>
      <c r="G609" s="26"/>
      <c r="H609" s="147"/>
      <c r="I609" s="26"/>
      <c r="J609" s="26"/>
      <c r="K609" s="26"/>
      <c r="L609" s="26"/>
      <c r="M609" s="26"/>
      <c r="N609" s="148"/>
      <c r="O609" s="26"/>
      <c r="P609" s="26"/>
      <c r="Q609" s="26"/>
      <c r="R609" s="435"/>
      <c r="S609" s="136"/>
      <c r="T609" s="26"/>
      <c r="U609" s="45"/>
      <c r="V609" s="26"/>
      <c r="W609" s="26"/>
    </row>
    <row r="610" spans="1:23" x14ac:dyDescent="0.35">
      <c r="A610" s="26"/>
      <c r="B610" s="1016"/>
      <c r="C610" s="26"/>
      <c r="D610" s="26"/>
      <c r="E610" s="44"/>
      <c r="F610" s="26"/>
      <c r="G610" s="26"/>
      <c r="H610" s="147"/>
      <c r="I610" s="26"/>
      <c r="J610" s="26"/>
      <c r="K610" s="26"/>
      <c r="L610" s="26"/>
      <c r="M610" s="26"/>
      <c r="N610" s="148"/>
      <c r="O610" s="26"/>
      <c r="P610" s="26"/>
      <c r="Q610" s="26"/>
      <c r="R610" s="435"/>
      <c r="S610" s="136"/>
      <c r="T610" s="26"/>
      <c r="U610" s="45"/>
      <c r="V610" s="26"/>
      <c r="W610" s="26"/>
    </row>
    <row r="611" spans="1:23" x14ac:dyDescent="0.35">
      <c r="A611" s="26"/>
      <c r="B611" s="1016"/>
      <c r="C611" s="26"/>
      <c r="D611" s="26"/>
      <c r="E611" s="44"/>
      <c r="F611" s="26"/>
      <c r="G611" s="26"/>
      <c r="H611" s="147"/>
      <c r="I611" s="26"/>
      <c r="J611" s="26"/>
      <c r="K611" s="26"/>
      <c r="L611" s="26"/>
      <c r="M611" s="26"/>
      <c r="N611" s="148"/>
      <c r="O611" s="26"/>
      <c r="P611" s="26"/>
      <c r="Q611" s="26"/>
      <c r="R611" s="435"/>
      <c r="S611" s="136"/>
      <c r="T611" s="26"/>
      <c r="U611" s="45"/>
      <c r="V611" s="26"/>
      <c r="W611" s="26"/>
    </row>
    <row r="612" spans="1:23" x14ac:dyDescent="0.35">
      <c r="A612" s="26"/>
      <c r="B612" s="1016"/>
      <c r="C612" s="26"/>
      <c r="D612" s="26"/>
      <c r="E612" s="44"/>
      <c r="F612" s="26"/>
      <c r="G612" s="26"/>
      <c r="H612" s="147"/>
      <c r="I612" s="26"/>
      <c r="J612" s="26"/>
      <c r="K612" s="26"/>
      <c r="L612" s="26"/>
      <c r="M612" s="26"/>
      <c r="N612" s="148"/>
      <c r="O612" s="26"/>
      <c r="P612" s="26"/>
      <c r="Q612" s="26"/>
      <c r="R612" s="435"/>
      <c r="S612" s="136"/>
      <c r="T612" s="26"/>
      <c r="U612" s="45"/>
      <c r="V612" s="26"/>
      <c r="W612" s="26"/>
    </row>
    <row r="613" spans="1:23" x14ac:dyDescent="0.35">
      <c r="A613" s="26"/>
      <c r="B613" s="1016"/>
      <c r="C613" s="26"/>
      <c r="D613" s="26"/>
      <c r="E613" s="44"/>
      <c r="F613" s="26"/>
      <c r="G613" s="26"/>
      <c r="H613" s="147"/>
      <c r="I613" s="26"/>
      <c r="J613" s="26"/>
      <c r="K613" s="26"/>
      <c r="L613" s="26"/>
      <c r="M613" s="26"/>
      <c r="N613" s="148"/>
      <c r="O613" s="26"/>
      <c r="P613" s="26"/>
      <c r="Q613" s="26"/>
      <c r="R613" s="435"/>
      <c r="S613" s="136"/>
      <c r="T613" s="26"/>
      <c r="U613" s="45"/>
      <c r="V613" s="26"/>
      <c r="W613" s="26"/>
    </row>
    <row r="614" spans="1:23" x14ac:dyDescent="0.35">
      <c r="A614" s="26"/>
      <c r="B614" s="1016"/>
      <c r="C614" s="26"/>
      <c r="D614" s="26"/>
      <c r="E614" s="44"/>
      <c r="F614" s="26"/>
      <c r="G614" s="26"/>
      <c r="H614" s="147"/>
      <c r="I614" s="26"/>
      <c r="J614" s="26"/>
      <c r="K614" s="26"/>
      <c r="L614" s="26"/>
      <c r="M614" s="26"/>
      <c r="N614" s="148"/>
      <c r="O614" s="26"/>
      <c r="P614" s="26"/>
      <c r="Q614" s="26"/>
      <c r="R614" s="435"/>
      <c r="S614" s="136"/>
      <c r="T614" s="26"/>
      <c r="U614" s="45"/>
      <c r="V614" s="26"/>
      <c r="W614" s="26"/>
    </row>
    <row r="615" spans="1:23" x14ac:dyDescent="0.35">
      <c r="A615" s="26"/>
      <c r="B615" s="1016"/>
      <c r="C615" s="26"/>
      <c r="D615" s="26"/>
      <c r="E615" s="44"/>
      <c r="F615" s="26"/>
      <c r="G615" s="26"/>
      <c r="H615" s="147"/>
      <c r="I615" s="26"/>
      <c r="J615" s="26"/>
      <c r="K615" s="26"/>
      <c r="L615" s="26"/>
      <c r="M615" s="26"/>
      <c r="N615" s="148"/>
      <c r="O615" s="26"/>
      <c r="P615" s="26"/>
      <c r="Q615" s="26"/>
      <c r="R615" s="435"/>
      <c r="S615" s="136"/>
      <c r="T615" s="26"/>
      <c r="U615" s="45"/>
      <c r="V615" s="26"/>
      <c r="W615" s="26"/>
    </row>
    <row r="616" spans="1:23" x14ac:dyDescent="0.35">
      <c r="A616" s="26"/>
      <c r="B616" s="1016"/>
      <c r="C616" s="26"/>
      <c r="D616" s="26"/>
      <c r="E616" s="44"/>
      <c r="F616" s="26"/>
      <c r="G616" s="26"/>
      <c r="H616" s="147"/>
      <c r="I616" s="26"/>
      <c r="J616" s="26"/>
      <c r="K616" s="26"/>
      <c r="L616" s="26"/>
      <c r="M616" s="26"/>
      <c r="N616" s="148"/>
      <c r="O616" s="26"/>
      <c r="P616" s="26"/>
      <c r="Q616" s="26"/>
      <c r="R616" s="435"/>
      <c r="S616" s="136"/>
      <c r="T616" s="26"/>
      <c r="U616" s="45"/>
      <c r="V616" s="26"/>
      <c r="W616" s="26"/>
    </row>
    <row r="617" spans="1:23" x14ac:dyDescent="0.35">
      <c r="A617" s="26"/>
      <c r="B617" s="1016"/>
      <c r="C617" s="26"/>
      <c r="D617" s="26"/>
      <c r="E617" s="44"/>
      <c r="F617" s="26"/>
      <c r="G617" s="26"/>
      <c r="H617" s="147"/>
      <c r="I617" s="26"/>
      <c r="J617" s="26"/>
      <c r="K617" s="26"/>
      <c r="L617" s="26"/>
      <c r="M617" s="26"/>
      <c r="N617" s="148"/>
      <c r="O617" s="26"/>
      <c r="P617" s="26"/>
      <c r="Q617" s="26"/>
      <c r="R617" s="435"/>
      <c r="S617" s="136"/>
      <c r="T617" s="26"/>
      <c r="U617" s="45"/>
      <c r="V617" s="26"/>
      <c r="W617" s="26"/>
    </row>
    <row r="618" spans="1:23" x14ac:dyDescent="0.35">
      <c r="A618" s="26"/>
      <c r="B618" s="1016"/>
      <c r="C618" s="26"/>
      <c r="D618" s="26"/>
      <c r="E618" s="44"/>
      <c r="F618" s="26"/>
      <c r="G618" s="26"/>
      <c r="H618" s="147"/>
      <c r="I618" s="26"/>
      <c r="J618" s="26"/>
      <c r="K618" s="26"/>
      <c r="L618" s="26"/>
      <c r="M618" s="26"/>
      <c r="N618" s="148"/>
      <c r="O618" s="26"/>
      <c r="P618" s="26"/>
      <c r="Q618" s="26"/>
      <c r="R618" s="435"/>
      <c r="S618" s="136"/>
      <c r="T618" s="26"/>
      <c r="U618" s="45"/>
      <c r="V618" s="26"/>
      <c r="W618" s="26"/>
    </row>
    <row r="619" spans="1:23" x14ac:dyDescent="0.35">
      <c r="A619" s="26"/>
      <c r="B619" s="1016"/>
      <c r="C619" s="26"/>
      <c r="D619" s="26"/>
      <c r="E619" s="44"/>
      <c r="F619" s="26"/>
      <c r="G619" s="26"/>
      <c r="H619" s="147"/>
      <c r="I619" s="26"/>
      <c r="J619" s="26"/>
      <c r="K619" s="26"/>
      <c r="L619" s="26"/>
      <c r="M619" s="26"/>
      <c r="N619" s="148"/>
      <c r="O619" s="26"/>
      <c r="P619" s="26"/>
      <c r="Q619" s="26"/>
      <c r="R619" s="435"/>
      <c r="S619" s="136"/>
      <c r="T619" s="26"/>
      <c r="U619" s="45"/>
      <c r="V619" s="26"/>
      <c r="W619" s="26"/>
    </row>
    <row r="620" spans="1:23" x14ac:dyDescent="0.35">
      <c r="A620" s="26"/>
      <c r="B620" s="1016"/>
      <c r="C620" s="26"/>
      <c r="D620" s="26"/>
      <c r="E620" s="44"/>
      <c r="F620" s="26"/>
      <c r="G620" s="26"/>
      <c r="H620" s="147"/>
      <c r="I620" s="26"/>
      <c r="J620" s="26"/>
      <c r="K620" s="26"/>
      <c r="L620" s="26"/>
      <c r="M620" s="26"/>
      <c r="N620" s="148"/>
      <c r="O620" s="26"/>
      <c r="P620" s="26"/>
      <c r="Q620" s="26"/>
      <c r="R620" s="435"/>
      <c r="S620" s="136"/>
      <c r="T620" s="26"/>
      <c r="U620" s="45"/>
      <c r="V620" s="26"/>
      <c r="W620" s="26"/>
    </row>
    <row r="621" spans="1:23" x14ac:dyDescent="0.35">
      <c r="A621" s="26"/>
      <c r="B621" s="1016"/>
      <c r="C621" s="26"/>
      <c r="D621" s="26"/>
      <c r="E621" s="44"/>
      <c r="F621" s="26"/>
      <c r="G621" s="26"/>
      <c r="H621" s="147"/>
      <c r="I621" s="26"/>
      <c r="J621" s="26"/>
      <c r="K621" s="26"/>
      <c r="L621" s="26"/>
      <c r="M621" s="26"/>
      <c r="N621" s="148"/>
      <c r="O621" s="26"/>
      <c r="P621" s="26"/>
      <c r="Q621" s="26"/>
      <c r="R621" s="435"/>
      <c r="S621" s="136"/>
      <c r="T621" s="26"/>
      <c r="U621" s="45"/>
      <c r="V621" s="26"/>
      <c r="W621" s="26"/>
    </row>
    <row r="622" spans="1:23" x14ac:dyDescent="0.35">
      <c r="A622" s="26"/>
      <c r="B622" s="1016"/>
      <c r="C622" s="26"/>
      <c r="D622" s="26"/>
      <c r="E622" s="44"/>
      <c r="F622" s="26"/>
      <c r="G622" s="26"/>
      <c r="H622" s="147"/>
      <c r="I622" s="26"/>
      <c r="J622" s="26"/>
      <c r="K622" s="26"/>
      <c r="L622" s="26"/>
      <c r="M622" s="26"/>
      <c r="N622" s="148"/>
      <c r="O622" s="26"/>
      <c r="P622" s="26"/>
      <c r="Q622" s="26"/>
      <c r="R622" s="435"/>
      <c r="S622" s="136"/>
      <c r="T622" s="26"/>
      <c r="U622" s="45"/>
      <c r="V622" s="26"/>
      <c r="W622" s="26"/>
    </row>
    <row r="623" spans="1:23" x14ac:dyDescent="0.35">
      <c r="A623" s="26"/>
      <c r="B623" s="1016"/>
      <c r="C623" s="26"/>
      <c r="D623" s="26"/>
      <c r="E623" s="44"/>
      <c r="F623" s="26"/>
      <c r="G623" s="26"/>
      <c r="H623" s="147"/>
      <c r="I623" s="26"/>
      <c r="J623" s="26"/>
      <c r="K623" s="26"/>
      <c r="L623" s="26"/>
      <c r="M623" s="26"/>
      <c r="N623" s="148"/>
      <c r="O623" s="26"/>
      <c r="P623" s="26"/>
      <c r="Q623" s="26"/>
      <c r="R623" s="435"/>
      <c r="S623" s="136"/>
      <c r="T623" s="26"/>
      <c r="U623" s="45"/>
      <c r="V623" s="26"/>
      <c r="W623" s="26"/>
    </row>
    <row r="624" spans="1:23" x14ac:dyDescent="0.35">
      <c r="A624" s="26"/>
      <c r="B624" s="1016"/>
      <c r="C624" s="26"/>
      <c r="D624" s="26"/>
      <c r="E624" s="44"/>
      <c r="F624" s="26"/>
      <c r="G624" s="26"/>
      <c r="H624" s="147"/>
      <c r="I624" s="26"/>
      <c r="J624" s="26"/>
      <c r="K624" s="26"/>
      <c r="L624" s="26"/>
      <c r="M624" s="26"/>
      <c r="N624" s="148"/>
      <c r="O624" s="26"/>
      <c r="P624" s="26"/>
      <c r="Q624" s="26"/>
      <c r="R624" s="435"/>
      <c r="S624" s="136"/>
      <c r="T624" s="26"/>
      <c r="U624" s="45"/>
      <c r="V624" s="26"/>
      <c r="W624" s="26"/>
    </row>
    <row r="625" spans="1:23" x14ac:dyDescent="0.35">
      <c r="A625" s="26"/>
      <c r="B625" s="1016"/>
      <c r="C625" s="26"/>
      <c r="D625" s="26"/>
      <c r="E625" s="44"/>
      <c r="F625" s="26"/>
      <c r="G625" s="26"/>
      <c r="H625" s="147"/>
      <c r="I625" s="26"/>
      <c r="J625" s="26"/>
      <c r="K625" s="26"/>
      <c r="L625" s="26"/>
      <c r="M625" s="26"/>
      <c r="N625" s="148"/>
      <c r="O625" s="26"/>
      <c r="P625" s="26"/>
      <c r="Q625" s="26"/>
      <c r="R625" s="435"/>
      <c r="S625" s="136"/>
      <c r="T625" s="26"/>
      <c r="U625" s="45"/>
      <c r="V625" s="26"/>
      <c r="W625" s="26"/>
    </row>
    <row r="626" spans="1:23" x14ac:dyDescent="0.35">
      <c r="A626" s="26"/>
      <c r="B626" s="1016"/>
      <c r="C626" s="26"/>
      <c r="D626" s="26"/>
      <c r="E626" s="44"/>
      <c r="F626" s="26"/>
      <c r="G626" s="26"/>
      <c r="H626" s="147"/>
      <c r="I626" s="26"/>
      <c r="J626" s="26"/>
      <c r="K626" s="26"/>
      <c r="L626" s="26"/>
      <c r="M626" s="26"/>
      <c r="N626" s="148"/>
      <c r="O626" s="26"/>
      <c r="P626" s="26"/>
      <c r="Q626" s="26"/>
      <c r="R626" s="435"/>
      <c r="S626" s="136"/>
      <c r="T626" s="26"/>
      <c r="U626" s="45"/>
      <c r="V626" s="26"/>
      <c r="W626" s="26"/>
    </row>
    <row r="627" spans="1:23" x14ac:dyDescent="0.35">
      <c r="A627" s="26"/>
      <c r="B627" s="1016"/>
      <c r="C627" s="26"/>
      <c r="D627" s="26"/>
      <c r="E627" s="44"/>
      <c r="F627" s="26"/>
      <c r="G627" s="26"/>
      <c r="H627" s="147"/>
      <c r="I627" s="26"/>
      <c r="J627" s="26"/>
      <c r="K627" s="26"/>
      <c r="L627" s="26"/>
      <c r="M627" s="26"/>
      <c r="N627" s="148"/>
      <c r="O627" s="26"/>
      <c r="P627" s="26"/>
      <c r="Q627" s="26"/>
      <c r="R627" s="435"/>
      <c r="S627" s="136"/>
      <c r="T627" s="26"/>
      <c r="U627" s="45"/>
      <c r="V627" s="26"/>
      <c r="W627" s="26"/>
    </row>
    <row r="628" spans="1:23" x14ac:dyDescent="0.35">
      <c r="A628" s="26"/>
      <c r="B628" s="1016"/>
      <c r="C628" s="26"/>
      <c r="D628" s="26"/>
      <c r="E628" s="44"/>
      <c r="F628" s="26"/>
      <c r="G628" s="26"/>
      <c r="H628" s="147"/>
      <c r="I628" s="26"/>
      <c r="J628" s="26"/>
      <c r="K628" s="26"/>
      <c r="L628" s="26"/>
      <c r="M628" s="26"/>
      <c r="N628" s="148"/>
      <c r="O628" s="26"/>
      <c r="P628" s="26"/>
      <c r="Q628" s="26"/>
      <c r="R628" s="435"/>
      <c r="S628" s="136"/>
      <c r="T628" s="26"/>
      <c r="U628" s="45"/>
      <c r="V628" s="26"/>
      <c r="W628" s="26"/>
    </row>
    <row r="629" spans="1:23" x14ac:dyDescent="0.35">
      <c r="A629" s="26"/>
      <c r="B629" s="1016"/>
      <c r="C629" s="26"/>
      <c r="D629" s="26"/>
      <c r="E629" s="44"/>
      <c r="F629" s="26"/>
      <c r="G629" s="26"/>
      <c r="H629" s="147"/>
      <c r="I629" s="26"/>
      <c r="J629" s="26"/>
      <c r="K629" s="26"/>
      <c r="L629" s="26"/>
      <c r="M629" s="26"/>
      <c r="N629" s="148"/>
      <c r="O629" s="26"/>
      <c r="P629" s="26"/>
      <c r="Q629" s="26"/>
      <c r="R629" s="435"/>
      <c r="S629" s="136"/>
      <c r="T629" s="26"/>
      <c r="U629" s="45"/>
      <c r="V629" s="26"/>
      <c r="W629" s="26"/>
    </row>
    <row r="630" spans="1:23" x14ac:dyDescent="0.35">
      <c r="A630" s="26"/>
      <c r="B630" s="1016"/>
      <c r="C630" s="26"/>
      <c r="D630" s="26"/>
      <c r="E630" s="44"/>
      <c r="F630" s="26"/>
      <c r="G630" s="26"/>
      <c r="H630" s="147"/>
      <c r="I630" s="26"/>
      <c r="J630" s="26"/>
      <c r="K630" s="26"/>
      <c r="L630" s="26"/>
      <c r="M630" s="26"/>
      <c r="N630" s="148"/>
      <c r="O630" s="26"/>
      <c r="P630" s="26"/>
      <c r="Q630" s="26"/>
      <c r="R630" s="435"/>
      <c r="S630" s="136"/>
      <c r="T630" s="26"/>
      <c r="U630" s="45"/>
      <c r="V630" s="26"/>
      <c r="W630" s="26"/>
    </row>
    <row r="631" spans="1:23" x14ac:dyDescent="0.35">
      <c r="A631" s="26"/>
      <c r="B631" s="1016"/>
      <c r="C631" s="26"/>
      <c r="D631" s="26"/>
      <c r="E631" s="44"/>
      <c r="F631" s="26"/>
      <c r="G631" s="26"/>
      <c r="H631" s="147"/>
      <c r="I631" s="26"/>
      <c r="J631" s="26"/>
      <c r="K631" s="26"/>
      <c r="L631" s="26"/>
      <c r="M631" s="26"/>
      <c r="N631" s="148"/>
      <c r="O631" s="26"/>
      <c r="P631" s="26"/>
      <c r="Q631" s="26"/>
      <c r="R631" s="435"/>
      <c r="S631" s="136"/>
      <c r="T631" s="26"/>
      <c r="U631" s="45"/>
      <c r="V631" s="26"/>
      <c r="W631" s="26"/>
    </row>
    <row r="632" spans="1:23" x14ac:dyDescent="0.35">
      <c r="A632" s="26"/>
      <c r="B632" s="1016"/>
      <c r="C632" s="26"/>
      <c r="D632" s="26"/>
      <c r="E632" s="44"/>
      <c r="F632" s="26"/>
      <c r="G632" s="26"/>
      <c r="H632" s="147"/>
      <c r="I632" s="26"/>
      <c r="J632" s="26"/>
      <c r="K632" s="26"/>
      <c r="L632" s="26"/>
      <c r="M632" s="26"/>
      <c r="N632" s="148"/>
      <c r="O632" s="26"/>
      <c r="P632" s="26"/>
      <c r="Q632" s="26"/>
      <c r="R632" s="435"/>
      <c r="S632" s="136"/>
      <c r="T632" s="26"/>
      <c r="U632" s="45"/>
      <c r="V632" s="26"/>
      <c r="W632" s="26"/>
    </row>
    <row r="633" spans="1:23" x14ac:dyDescent="0.35">
      <c r="A633" s="26"/>
      <c r="B633" s="1016"/>
      <c r="C633" s="26"/>
      <c r="D633" s="26"/>
      <c r="E633" s="44"/>
      <c r="F633" s="26"/>
      <c r="G633" s="26"/>
      <c r="H633" s="147"/>
      <c r="I633" s="26"/>
      <c r="J633" s="26"/>
      <c r="K633" s="26"/>
      <c r="L633" s="26"/>
      <c r="M633" s="26"/>
      <c r="N633" s="148"/>
      <c r="O633" s="26"/>
      <c r="P633" s="26"/>
      <c r="Q633" s="26"/>
      <c r="R633" s="435"/>
      <c r="S633" s="136"/>
      <c r="T633" s="26"/>
      <c r="U633" s="45"/>
      <c r="V633" s="26"/>
      <c r="W633" s="26"/>
    </row>
    <row r="634" spans="1:23" x14ac:dyDescent="0.35">
      <c r="A634" s="26"/>
      <c r="B634" s="1016"/>
      <c r="C634" s="26"/>
      <c r="D634" s="26"/>
      <c r="E634" s="44"/>
      <c r="F634" s="26"/>
      <c r="G634" s="26"/>
      <c r="H634" s="147"/>
      <c r="I634" s="26"/>
      <c r="J634" s="26"/>
      <c r="K634" s="26"/>
      <c r="L634" s="26"/>
      <c r="M634" s="26"/>
      <c r="N634" s="148"/>
      <c r="O634" s="26"/>
      <c r="P634" s="26"/>
      <c r="Q634" s="26"/>
      <c r="R634" s="435"/>
      <c r="S634" s="136"/>
      <c r="T634" s="26"/>
      <c r="U634" s="45"/>
      <c r="V634" s="26"/>
      <c r="W634" s="26"/>
    </row>
    <row r="635" spans="1:23" x14ac:dyDescent="0.35">
      <c r="A635" s="26"/>
      <c r="B635" s="1016"/>
      <c r="C635" s="26"/>
      <c r="D635" s="26"/>
      <c r="E635" s="44"/>
      <c r="F635" s="26"/>
      <c r="G635" s="26"/>
      <c r="H635" s="147"/>
      <c r="I635" s="26"/>
      <c r="J635" s="26"/>
      <c r="K635" s="26"/>
      <c r="L635" s="26"/>
      <c r="M635" s="26"/>
      <c r="N635" s="148"/>
      <c r="O635" s="26"/>
      <c r="P635" s="26"/>
      <c r="Q635" s="26"/>
      <c r="R635" s="435"/>
      <c r="S635" s="136"/>
      <c r="T635" s="26"/>
      <c r="U635" s="45"/>
      <c r="V635" s="26"/>
      <c r="W635" s="26"/>
    </row>
    <row r="636" spans="1:23" x14ac:dyDescent="0.35">
      <c r="A636" s="26"/>
      <c r="B636" s="1016"/>
      <c r="C636" s="26"/>
      <c r="D636" s="26"/>
      <c r="E636" s="44"/>
      <c r="F636" s="26"/>
      <c r="G636" s="26"/>
      <c r="H636" s="147"/>
      <c r="I636" s="26"/>
      <c r="J636" s="26"/>
      <c r="K636" s="26"/>
      <c r="L636" s="26"/>
      <c r="M636" s="26"/>
      <c r="N636" s="148"/>
      <c r="O636" s="26"/>
      <c r="P636" s="26"/>
      <c r="Q636" s="26"/>
      <c r="R636" s="435"/>
      <c r="S636" s="136"/>
      <c r="T636" s="26"/>
      <c r="U636" s="45"/>
      <c r="V636" s="26"/>
      <c r="W636" s="26"/>
    </row>
    <row r="637" spans="1:23" x14ac:dyDescent="0.35">
      <c r="A637" s="26"/>
      <c r="B637" s="1016"/>
      <c r="C637" s="26"/>
      <c r="D637" s="26"/>
      <c r="E637" s="44"/>
      <c r="F637" s="26"/>
      <c r="G637" s="26"/>
      <c r="H637" s="147"/>
      <c r="I637" s="26"/>
      <c r="J637" s="26"/>
      <c r="K637" s="26"/>
      <c r="L637" s="26"/>
      <c r="M637" s="26"/>
      <c r="N637" s="148"/>
      <c r="O637" s="26"/>
      <c r="P637" s="26"/>
      <c r="Q637" s="26"/>
      <c r="R637" s="435"/>
      <c r="S637" s="136"/>
      <c r="T637" s="26"/>
      <c r="U637" s="45"/>
      <c r="V637" s="26"/>
      <c r="W637" s="26"/>
    </row>
    <row r="638" spans="1:23" x14ac:dyDescent="0.35">
      <c r="A638" s="26"/>
      <c r="B638" s="1016"/>
      <c r="C638" s="26"/>
      <c r="D638" s="26"/>
      <c r="E638" s="44"/>
      <c r="F638" s="26"/>
      <c r="G638" s="26"/>
      <c r="H638" s="147"/>
      <c r="I638" s="26"/>
      <c r="J638" s="26"/>
      <c r="K638" s="26"/>
      <c r="L638" s="26"/>
      <c r="M638" s="26"/>
      <c r="N638" s="148"/>
      <c r="O638" s="26"/>
      <c r="P638" s="26"/>
      <c r="Q638" s="26"/>
      <c r="R638" s="435"/>
      <c r="S638" s="136"/>
      <c r="T638" s="26"/>
      <c r="U638" s="45"/>
      <c r="V638" s="26"/>
      <c r="W638" s="26"/>
    </row>
    <row r="639" spans="1:23" x14ac:dyDescent="0.35">
      <c r="A639" s="26"/>
      <c r="B639" s="1016"/>
      <c r="C639" s="26"/>
      <c r="D639" s="26"/>
      <c r="E639" s="44"/>
      <c r="F639" s="26"/>
      <c r="G639" s="26"/>
      <c r="H639" s="147"/>
      <c r="I639" s="26"/>
      <c r="J639" s="26"/>
      <c r="K639" s="26"/>
      <c r="L639" s="26"/>
      <c r="M639" s="26"/>
      <c r="N639" s="148"/>
      <c r="O639" s="26"/>
      <c r="P639" s="26"/>
      <c r="Q639" s="26"/>
      <c r="R639" s="435"/>
      <c r="S639" s="136"/>
      <c r="T639" s="26"/>
      <c r="U639" s="45"/>
      <c r="V639" s="26"/>
      <c r="W639" s="26"/>
    </row>
    <row r="640" spans="1:23" x14ac:dyDescent="0.35">
      <c r="A640" s="26"/>
      <c r="B640" s="1016"/>
      <c r="C640" s="26"/>
      <c r="D640" s="26"/>
      <c r="E640" s="44"/>
      <c r="F640" s="26"/>
      <c r="G640" s="26"/>
      <c r="H640" s="147"/>
      <c r="I640" s="26"/>
      <c r="J640" s="26"/>
      <c r="K640" s="26"/>
      <c r="L640" s="26"/>
      <c r="M640" s="26"/>
      <c r="N640" s="148"/>
      <c r="O640" s="26"/>
      <c r="P640" s="26"/>
      <c r="Q640" s="26"/>
      <c r="R640" s="435"/>
      <c r="S640" s="136"/>
      <c r="T640" s="26"/>
      <c r="U640" s="45"/>
      <c r="V640" s="26"/>
      <c r="W640" s="26"/>
    </row>
    <row r="641" spans="1:23" x14ac:dyDescent="0.35">
      <c r="A641" s="26"/>
      <c r="B641" s="1016"/>
      <c r="C641" s="26"/>
      <c r="D641" s="26"/>
      <c r="E641" s="44"/>
      <c r="F641" s="26"/>
      <c r="G641" s="26"/>
      <c r="H641" s="147"/>
      <c r="I641" s="26"/>
      <c r="J641" s="26"/>
      <c r="K641" s="26"/>
      <c r="L641" s="26"/>
      <c r="M641" s="26"/>
      <c r="N641" s="148"/>
      <c r="O641" s="26"/>
      <c r="P641" s="26"/>
      <c r="Q641" s="26"/>
      <c r="R641" s="435"/>
      <c r="S641" s="136"/>
      <c r="T641" s="26"/>
      <c r="U641" s="45"/>
      <c r="V641" s="26"/>
      <c r="W641" s="26"/>
    </row>
    <row r="642" spans="1:23" x14ac:dyDescent="0.35">
      <c r="A642" s="26"/>
      <c r="B642" s="1016"/>
      <c r="C642" s="26"/>
      <c r="D642" s="26"/>
      <c r="E642" s="44"/>
      <c r="F642" s="26"/>
      <c r="G642" s="26"/>
      <c r="H642" s="147"/>
      <c r="I642" s="26"/>
      <c r="J642" s="26"/>
      <c r="K642" s="26"/>
      <c r="L642" s="26"/>
      <c r="M642" s="26"/>
      <c r="N642" s="148"/>
      <c r="O642" s="26"/>
      <c r="P642" s="26"/>
      <c r="Q642" s="26"/>
      <c r="R642" s="435"/>
      <c r="S642" s="136"/>
      <c r="T642" s="26"/>
      <c r="U642" s="45"/>
      <c r="V642" s="26"/>
      <c r="W642" s="26"/>
    </row>
    <row r="643" spans="1:23" x14ac:dyDescent="0.35">
      <c r="A643" s="26"/>
      <c r="B643" s="1016"/>
      <c r="C643" s="26"/>
      <c r="D643" s="26"/>
      <c r="E643" s="44"/>
      <c r="F643" s="26"/>
      <c r="G643" s="26"/>
      <c r="H643" s="147"/>
      <c r="I643" s="26"/>
      <c r="J643" s="26"/>
      <c r="K643" s="26"/>
      <c r="L643" s="26"/>
      <c r="M643" s="26"/>
      <c r="N643" s="148"/>
      <c r="O643" s="26"/>
      <c r="P643" s="26"/>
      <c r="Q643" s="26"/>
      <c r="R643" s="435"/>
      <c r="S643" s="136"/>
      <c r="T643" s="26"/>
      <c r="U643" s="45"/>
      <c r="V643" s="26"/>
      <c r="W643" s="26"/>
    </row>
    <row r="644" spans="1:23" x14ac:dyDescent="0.35">
      <c r="A644" s="26"/>
      <c r="B644" s="1016"/>
      <c r="C644" s="26"/>
      <c r="D644" s="26"/>
      <c r="E644" s="44"/>
      <c r="F644" s="26"/>
      <c r="G644" s="26"/>
      <c r="H644" s="147"/>
      <c r="I644" s="26"/>
      <c r="J644" s="26"/>
      <c r="K644" s="26"/>
      <c r="L644" s="26"/>
      <c r="M644" s="26"/>
      <c r="N644" s="148"/>
      <c r="O644" s="26"/>
      <c r="P644" s="26"/>
      <c r="Q644" s="26"/>
      <c r="R644" s="435"/>
      <c r="S644" s="136"/>
      <c r="T644" s="26"/>
      <c r="U644" s="45"/>
      <c r="V644" s="26"/>
      <c r="W644" s="26"/>
    </row>
    <row r="645" spans="1:23" x14ac:dyDescent="0.35">
      <c r="A645" s="26"/>
      <c r="B645" s="1016"/>
      <c r="C645" s="26"/>
      <c r="D645" s="26"/>
      <c r="E645" s="44"/>
      <c r="F645" s="26"/>
      <c r="G645" s="26"/>
      <c r="H645" s="147"/>
      <c r="I645" s="26"/>
      <c r="J645" s="26"/>
      <c r="K645" s="26"/>
      <c r="L645" s="26"/>
      <c r="M645" s="26"/>
      <c r="N645" s="148"/>
      <c r="O645" s="26"/>
      <c r="P645" s="26"/>
      <c r="Q645" s="26"/>
      <c r="R645" s="435"/>
      <c r="S645" s="136"/>
      <c r="T645" s="26"/>
      <c r="U645" s="45"/>
      <c r="V645" s="26"/>
      <c r="W645" s="26"/>
    </row>
    <row r="646" spans="1:23" x14ac:dyDescent="0.35">
      <c r="A646" s="26"/>
      <c r="B646" s="1016"/>
      <c r="C646" s="26"/>
      <c r="D646" s="26"/>
      <c r="E646" s="44"/>
      <c r="F646" s="26"/>
      <c r="G646" s="26"/>
      <c r="H646" s="147"/>
      <c r="I646" s="26"/>
      <c r="J646" s="26"/>
      <c r="K646" s="26"/>
      <c r="L646" s="26"/>
      <c r="M646" s="26"/>
      <c r="N646" s="148"/>
      <c r="O646" s="26"/>
      <c r="P646" s="26"/>
      <c r="Q646" s="26"/>
      <c r="R646" s="435"/>
      <c r="S646" s="136"/>
      <c r="T646" s="26"/>
      <c r="U646" s="45"/>
      <c r="V646" s="26"/>
      <c r="W646" s="26"/>
    </row>
    <row r="647" spans="1:23" x14ac:dyDescent="0.35">
      <c r="A647" s="26"/>
      <c r="B647" s="1016"/>
      <c r="C647" s="26"/>
      <c r="D647" s="26"/>
      <c r="E647" s="44"/>
      <c r="F647" s="26"/>
      <c r="G647" s="26"/>
      <c r="H647" s="147"/>
      <c r="I647" s="26"/>
      <c r="J647" s="26"/>
      <c r="K647" s="26"/>
      <c r="L647" s="26"/>
      <c r="M647" s="26"/>
      <c r="N647" s="148"/>
      <c r="O647" s="26"/>
      <c r="P647" s="26"/>
      <c r="Q647" s="26"/>
      <c r="R647" s="435"/>
      <c r="S647" s="136"/>
      <c r="T647" s="26"/>
      <c r="U647" s="45"/>
      <c r="V647" s="26"/>
      <c r="W647" s="26"/>
    </row>
    <row r="648" spans="1:23" x14ac:dyDescent="0.35">
      <c r="A648" s="26"/>
      <c r="B648" s="1016"/>
      <c r="C648" s="26"/>
      <c r="D648" s="26"/>
      <c r="E648" s="44"/>
      <c r="F648" s="26"/>
      <c r="G648" s="26"/>
      <c r="H648" s="147"/>
      <c r="I648" s="26"/>
      <c r="J648" s="26"/>
      <c r="K648" s="26"/>
      <c r="L648" s="26"/>
      <c r="M648" s="26"/>
      <c r="N648" s="148"/>
      <c r="O648" s="26"/>
      <c r="P648" s="26"/>
      <c r="Q648" s="26"/>
      <c r="R648" s="435"/>
      <c r="S648" s="136"/>
      <c r="T648" s="26"/>
      <c r="U648" s="45"/>
      <c r="V648" s="26"/>
      <c r="W648" s="26"/>
    </row>
    <row r="649" spans="1:23" x14ac:dyDescent="0.35">
      <c r="A649" s="26"/>
      <c r="B649" s="1016"/>
      <c r="C649" s="26"/>
      <c r="D649" s="26"/>
      <c r="E649" s="44"/>
      <c r="F649" s="26"/>
      <c r="G649" s="26"/>
      <c r="H649" s="147"/>
      <c r="I649" s="26"/>
      <c r="J649" s="26"/>
      <c r="K649" s="26"/>
      <c r="L649" s="26"/>
      <c r="M649" s="26"/>
      <c r="N649" s="148"/>
      <c r="O649" s="26"/>
      <c r="P649" s="26"/>
      <c r="Q649" s="26"/>
      <c r="R649" s="435"/>
      <c r="S649" s="136"/>
      <c r="T649" s="26"/>
      <c r="U649" s="45"/>
      <c r="V649" s="26"/>
      <c r="W649" s="26"/>
    </row>
    <row r="650" spans="1:23" x14ac:dyDescent="0.35">
      <c r="A650" s="26"/>
      <c r="B650" s="1016"/>
      <c r="C650" s="26"/>
      <c r="D650" s="26"/>
      <c r="E650" s="44"/>
      <c r="F650" s="26"/>
      <c r="G650" s="26"/>
      <c r="H650" s="147"/>
      <c r="I650" s="26"/>
      <c r="J650" s="26"/>
      <c r="K650" s="26"/>
      <c r="L650" s="26"/>
      <c r="M650" s="26"/>
      <c r="N650" s="148"/>
      <c r="O650" s="26"/>
      <c r="P650" s="26"/>
      <c r="Q650" s="26"/>
      <c r="R650" s="435"/>
      <c r="S650" s="136"/>
      <c r="T650" s="26"/>
      <c r="U650" s="45"/>
      <c r="V650" s="26"/>
      <c r="W650" s="26"/>
    </row>
    <row r="651" spans="1:23" x14ac:dyDescent="0.35">
      <c r="A651" s="26"/>
      <c r="B651" s="1016"/>
      <c r="C651" s="26"/>
      <c r="D651" s="26"/>
      <c r="E651" s="44"/>
      <c r="F651" s="26"/>
      <c r="G651" s="26"/>
      <c r="H651" s="147"/>
      <c r="I651" s="26"/>
      <c r="J651" s="26"/>
      <c r="K651" s="26"/>
      <c r="L651" s="26"/>
      <c r="M651" s="26"/>
      <c r="N651" s="148"/>
      <c r="O651" s="26"/>
      <c r="P651" s="26"/>
      <c r="Q651" s="26"/>
      <c r="R651" s="435"/>
      <c r="S651" s="136"/>
      <c r="T651" s="26"/>
      <c r="U651" s="45"/>
      <c r="V651" s="26"/>
      <c r="W651" s="26"/>
    </row>
    <row r="652" spans="1:23" x14ac:dyDescent="0.35">
      <c r="A652" s="26"/>
      <c r="B652" s="1016"/>
      <c r="C652" s="26"/>
      <c r="D652" s="26"/>
      <c r="E652" s="44"/>
      <c r="F652" s="26"/>
      <c r="G652" s="26"/>
      <c r="H652" s="147"/>
      <c r="I652" s="26"/>
      <c r="J652" s="26"/>
      <c r="K652" s="26"/>
      <c r="L652" s="26"/>
      <c r="M652" s="26"/>
      <c r="N652" s="148"/>
      <c r="O652" s="26"/>
      <c r="P652" s="26"/>
      <c r="Q652" s="26"/>
      <c r="R652" s="435"/>
      <c r="S652" s="136"/>
      <c r="T652" s="26"/>
      <c r="U652" s="45"/>
      <c r="V652" s="26"/>
      <c r="W652" s="26"/>
    </row>
    <row r="653" spans="1:23" x14ac:dyDescent="0.35">
      <c r="A653" s="26"/>
      <c r="B653" s="1016"/>
      <c r="C653" s="26"/>
      <c r="D653" s="26"/>
      <c r="E653" s="44"/>
      <c r="F653" s="26"/>
      <c r="G653" s="26"/>
      <c r="H653" s="147"/>
      <c r="I653" s="26"/>
      <c r="J653" s="26"/>
      <c r="K653" s="26"/>
      <c r="L653" s="26"/>
      <c r="M653" s="26"/>
      <c r="N653" s="148"/>
      <c r="O653" s="26"/>
      <c r="P653" s="26"/>
      <c r="Q653" s="26"/>
      <c r="R653" s="435"/>
      <c r="S653" s="136"/>
      <c r="T653" s="26"/>
      <c r="U653" s="45"/>
      <c r="V653" s="26"/>
      <c r="W653" s="26"/>
    </row>
    <row r="654" spans="1:23" x14ac:dyDescent="0.35">
      <c r="A654" s="26"/>
      <c r="B654" s="1016"/>
      <c r="C654" s="26"/>
      <c r="D654" s="26"/>
      <c r="E654" s="44"/>
      <c r="F654" s="26"/>
      <c r="G654" s="26"/>
      <c r="H654" s="147"/>
      <c r="I654" s="26"/>
      <c r="J654" s="26"/>
      <c r="K654" s="26"/>
      <c r="L654" s="26"/>
      <c r="M654" s="26"/>
      <c r="N654" s="148"/>
      <c r="O654" s="26"/>
      <c r="P654" s="26"/>
      <c r="Q654" s="26"/>
      <c r="R654" s="435"/>
      <c r="S654" s="136"/>
      <c r="T654" s="26"/>
      <c r="U654" s="45"/>
      <c r="V654" s="26"/>
      <c r="W654" s="26"/>
    </row>
    <row r="655" spans="1:23" x14ac:dyDescent="0.35">
      <c r="A655" s="26"/>
      <c r="B655" s="1016"/>
      <c r="C655" s="26"/>
      <c r="D655" s="26"/>
      <c r="E655" s="44"/>
      <c r="F655" s="26"/>
      <c r="G655" s="26"/>
      <c r="H655" s="147"/>
      <c r="I655" s="26"/>
      <c r="J655" s="26"/>
      <c r="K655" s="26"/>
      <c r="L655" s="26"/>
      <c r="M655" s="26"/>
      <c r="N655" s="148"/>
      <c r="O655" s="26"/>
      <c r="P655" s="26"/>
      <c r="Q655" s="26"/>
      <c r="R655" s="435"/>
      <c r="S655" s="136"/>
      <c r="T655" s="26"/>
      <c r="U655" s="45"/>
      <c r="V655" s="26"/>
      <c r="W655" s="26"/>
    </row>
    <row r="656" spans="1:23" x14ac:dyDescent="0.35">
      <c r="A656" s="26"/>
      <c r="B656" s="1016"/>
      <c r="C656" s="26"/>
      <c r="D656" s="26"/>
      <c r="E656" s="44"/>
      <c r="F656" s="26"/>
      <c r="G656" s="26"/>
      <c r="H656" s="147"/>
      <c r="I656" s="26"/>
      <c r="J656" s="26"/>
      <c r="K656" s="26"/>
      <c r="L656" s="26"/>
      <c r="M656" s="26"/>
      <c r="N656" s="148"/>
      <c r="O656" s="26"/>
      <c r="P656" s="26"/>
      <c r="Q656" s="26"/>
      <c r="R656" s="435"/>
      <c r="S656" s="136"/>
      <c r="T656" s="26"/>
      <c r="U656" s="45"/>
      <c r="V656" s="26"/>
      <c r="W656" s="26"/>
    </row>
    <row r="657" spans="1:23" x14ac:dyDescent="0.35">
      <c r="A657" s="26"/>
      <c r="B657" s="1016"/>
      <c r="C657" s="26"/>
      <c r="D657" s="26"/>
      <c r="E657" s="44"/>
      <c r="F657" s="26"/>
      <c r="G657" s="26"/>
      <c r="H657" s="147"/>
      <c r="I657" s="26"/>
      <c r="J657" s="26"/>
      <c r="K657" s="26"/>
      <c r="L657" s="26"/>
      <c r="M657" s="26"/>
      <c r="N657" s="148"/>
      <c r="O657" s="26"/>
      <c r="P657" s="26"/>
      <c r="Q657" s="26"/>
      <c r="R657" s="435"/>
      <c r="S657" s="136"/>
      <c r="T657" s="26"/>
      <c r="U657" s="45"/>
      <c r="V657" s="26"/>
      <c r="W657" s="26"/>
    </row>
    <row r="658" spans="1:23" x14ac:dyDescent="0.35">
      <c r="A658" s="26"/>
      <c r="B658" s="1016"/>
      <c r="C658" s="26"/>
      <c r="D658" s="26"/>
      <c r="E658" s="44"/>
      <c r="F658" s="26"/>
      <c r="G658" s="26"/>
      <c r="H658" s="147"/>
      <c r="I658" s="26"/>
      <c r="J658" s="26"/>
      <c r="K658" s="26"/>
      <c r="L658" s="26"/>
      <c r="M658" s="26"/>
      <c r="N658" s="148"/>
      <c r="O658" s="26"/>
      <c r="P658" s="26"/>
      <c r="Q658" s="26"/>
      <c r="R658" s="435"/>
      <c r="S658" s="136"/>
      <c r="T658" s="26"/>
      <c r="U658" s="45"/>
      <c r="V658" s="26"/>
      <c r="W658" s="26"/>
    </row>
    <row r="659" spans="1:23" x14ac:dyDescent="0.35">
      <c r="A659" s="26"/>
      <c r="B659" s="1016"/>
      <c r="C659" s="26"/>
      <c r="D659" s="26"/>
      <c r="E659" s="44"/>
      <c r="F659" s="26"/>
      <c r="G659" s="26"/>
      <c r="H659" s="147"/>
      <c r="I659" s="26"/>
      <c r="J659" s="26"/>
      <c r="K659" s="26"/>
      <c r="L659" s="26"/>
      <c r="M659" s="26"/>
      <c r="N659" s="148"/>
      <c r="O659" s="26"/>
      <c r="P659" s="26"/>
      <c r="Q659" s="26"/>
      <c r="R659" s="435"/>
      <c r="S659" s="136"/>
      <c r="T659" s="26"/>
      <c r="U659" s="45"/>
      <c r="V659" s="26"/>
      <c r="W659" s="26"/>
    </row>
    <row r="660" spans="1:23" x14ac:dyDescent="0.35">
      <c r="A660" s="26"/>
      <c r="B660" s="1016"/>
      <c r="C660" s="26"/>
      <c r="D660" s="26"/>
      <c r="E660" s="44"/>
      <c r="F660" s="26"/>
      <c r="G660" s="26"/>
      <c r="H660" s="147"/>
      <c r="I660" s="26"/>
      <c r="J660" s="26"/>
      <c r="K660" s="26"/>
      <c r="L660" s="26"/>
      <c r="M660" s="26"/>
      <c r="N660" s="148"/>
      <c r="O660" s="26"/>
      <c r="P660" s="26"/>
      <c r="Q660" s="26"/>
      <c r="R660" s="435"/>
      <c r="S660" s="136"/>
      <c r="T660" s="26"/>
      <c r="U660" s="45"/>
      <c r="V660" s="26"/>
      <c r="W660" s="26"/>
    </row>
    <row r="661" spans="1:23" x14ac:dyDescent="0.35">
      <c r="A661" s="26"/>
      <c r="B661" s="1016"/>
      <c r="C661" s="26"/>
      <c r="D661" s="26"/>
      <c r="E661" s="44"/>
      <c r="F661" s="26"/>
      <c r="G661" s="26"/>
      <c r="H661" s="147"/>
      <c r="I661" s="26"/>
      <c r="J661" s="26"/>
      <c r="K661" s="26"/>
      <c r="L661" s="26"/>
      <c r="M661" s="26"/>
      <c r="N661" s="148"/>
      <c r="O661" s="26"/>
      <c r="P661" s="26"/>
      <c r="Q661" s="26"/>
      <c r="R661" s="435"/>
      <c r="S661" s="136"/>
      <c r="T661" s="26"/>
      <c r="U661" s="45"/>
      <c r="V661" s="26"/>
      <c r="W661" s="26"/>
    </row>
    <row r="662" spans="1:23" x14ac:dyDescent="0.35">
      <c r="A662" s="26"/>
      <c r="B662" s="1016"/>
      <c r="C662" s="26"/>
      <c r="D662" s="26"/>
      <c r="E662" s="44"/>
      <c r="F662" s="26"/>
      <c r="G662" s="26"/>
      <c r="H662" s="147"/>
      <c r="I662" s="26"/>
      <c r="J662" s="26"/>
      <c r="K662" s="26"/>
      <c r="L662" s="26"/>
      <c r="M662" s="26"/>
      <c r="N662" s="148"/>
      <c r="O662" s="26"/>
      <c r="P662" s="26"/>
      <c r="Q662" s="26"/>
      <c r="R662" s="435"/>
      <c r="S662" s="136"/>
      <c r="T662" s="26"/>
      <c r="U662" s="45"/>
      <c r="V662" s="26"/>
      <c r="W662" s="26"/>
    </row>
    <row r="663" spans="1:23" x14ac:dyDescent="0.35">
      <c r="A663" s="26"/>
      <c r="B663" s="1016"/>
      <c r="C663" s="26"/>
      <c r="D663" s="26"/>
      <c r="E663" s="44"/>
      <c r="F663" s="26"/>
      <c r="G663" s="26"/>
      <c r="H663" s="147"/>
      <c r="I663" s="26"/>
      <c r="J663" s="26"/>
      <c r="K663" s="26"/>
      <c r="L663" s="26"/>
      <c r="M663" s="26"/>
      <c r="N663" s="148"/>
      <c r="O663" s="26"/>
      <c r="P663" s="26"/>
      <c r="Q663" s="26"/>
      <c r="R663" s="435"/>
      <c r="S663" s="136"/>
      <c r="T663" s="26"/>
      <c r="U663" s="45"/>
      <c r="V663" s="26"/>
      <c r="W663" s="26"/>
    </row>
    <row r="664" spans="1:23" x14ac:dyDescent="0.35">
      <c r="A664" s="26"/>
      <c r="B664" s="1016"/>
      <c r="C664" s="26"/>
      <c r="D664" s="26"/>
      <c r="E664" s="44"/>
      <c r="F664" s="26"/>
      <c r="G664" s="26"/>
      <c r="H664" s="147"/>
      <c r="I664" s="26"/>
      <c r="J664" s="26"/>
      <c r="K664" s="26"/>
      <c r="L664" s="26"/>
      <c r="M664" s="26"/>
      <c r="N664" s="148"/>
      <c r="O664" s="26"/>
      <c r="P664" s="26"/>
      <c r="Q664" s="26"/>
      <c r="R664" s="435"/>
      <c r="S664" s="136"/>
      <c r="T664" s="26"/>
      <c r="U664" s="45"/>
      <c r="V664" s="26"/>
      <c r="W664" s="26"/>
    </row>
    <row r="665" spans="1:23" x14ac:dyDescent="0.35">
      <c r="A665" s="26"/>
      <c r="B665" s="1016"/>
      <c r="C665" s="26"/>
      <c r="D665" s="26"/>
      <c r="E665" s="44"/>
      <c r="F665" s="26"/>
      <c r="G665" s="26"/>
      <c r="H665" s="147"/>
      <c r="I665" s="26"/>
      <c r="J665" s="26"/>
      <c r="K665" s="26"/>
      <c r="L665" s="26"/>
      <c r="M665" s="26"/>
      <c r="N665" s="148"/>
      <c r="O665" s="26"/>
      <c r="P665" s="26"/>
      <c r="Q665" s="26"/>
      <c r="R665" s="435"/>
      <c r="S665" s="136"/>
      <c r="T665" s="26"/>
      <c r="U665" s="45"/>
      <c r="V665" s="26"/>
      <c r="W665" s="26"/>
    </row>
    <row r="666" spans="1:23" x14ac:dyDescent="0.35">
      <c r="A666" s="26"/>
      <c r="B666" s="1016"/>
      <c r="C666" s="26"/>
      <c r="D666" s="26"/>
      <c r="E666" s="44"/>
      <c r="F666" s="26"/>
      <c r="G666" s="26"/>
      <c r="H666" s="147"/>
      <c r="I666" s="26"/>
      <c r="J666" s="26"/>
      <c r="K666" s="26"/>
      <c r="L666" s="26"/>
      <c r="M666" s="26"/>
      <c r="N666" s="148"/>
      <c r="O666" s="26"/>
      <c r="P666" s="26"/>
      <c r="Q666" s="26"/>
      <c r="R666" s="435"/>
      <c r="S666" s="136"/>
      <c r="T666" s="26"/>
      <c r="U666" s="45"/>
      <c r="V666" s="26"/>
      <c r="W666" s="26"/>
    </row>
    <row r="667" spans="1:23" x14ac:dyDescent="0.35">
      <c r="A667" s="26"/>
      <c r="B667" s="1016"/>
      <c r="C667" s="26"/>
      <c r="D667" s="26"/>
      <c r="E667" s="44"/>
      <c r="F667" s="26"/>
      <c r="G667" s="26"/>
      <c r="H667" s="147"/>
      <c r="I667" s="26"/>
      <c r="J667" s="26"/>
      <c r="K667" s="26"/>
      <c r="L667" s="26"/>
      <c r="M667" s="26"/>
      <c r="N667" s="148"/>
      <c r="O667" s="26"/>
      <c r="P667" s="26"/>
      <c r="Q667" s="26"/>
      <c r="R667" s="435"/>
      <c r="S667" s="136"/>
      <c r="T667" s="26"/>
      <c r="U667" s="45"/>
      <c r="V667" s="26"/>
      <c r="W667" s="26"/>
    </row>
    <row r="668" spans="1:23" x14ac:dyDescent="0.35">
      <c r="A668" s="26"/>
      <c r="B668" s="1016"/>
      <c r="C668" s="26"/>
      <c r="D668" s="26"/>
      <c r="E668" s="44"/>
      <c r="F668" s="26"/>
      <c r="G668" s="26"/>
      <c r="H668" s="147"/>
      <c r="I668" s="26"/>
      <c r="J668" s="26"/>
      <c r="K668" s="26"/>
      <c r="L668" s="26"/>
      <c r="M668" s="26"/>
      <c r="N668" s="148"/>
      <c r="O668" s="26"/>
      <c r="P668" s="26"/>
      <c r="Q668" s="26"/>
      <c r="R668" s="435"/>
      <c r="S668" s="136"/>
      <c r="T668" s="26"/>
      <c r="U668" s="45"/>
      <c r="V668" s="26"/>
      <c r="W668" s="26"/>
    </row>
    <row r="669" spans="1:23" x14ac:dyDescent="0.35">
      <c r="A669" s="26"/>
      <c r="B669" s="1016"/>
      <c r="C669" s="26"/>
      <c r="D669" s="26"/>
      <c r="E669" s="44"/>
      <c r="F669" s="26"/>
      <c r="G669" s="26"/>
      <c r="H669" s="147"/>
      <c r="I669" s="26"/>
      <c r="J669" s="26"/>
      <c r="K669" s="26"/>
      <c r="L669" s="26"/>
      <c r="M669" s="26"/>
      <c r="N669" s="148"/>
      <c r="O669" s="26"/>
      <c r="P669" s="26"/>
      <c r="Q669" s="26"/>
      <c r="R669" s="435"/>
      <c r="S669" s="136"/>
      <c r="T669" s="26"/>
      <c r="U669" s="45"/>
      <c r="V669" s="26"/>
      <c r="W669" s="26"/>
    </row>
    <row r="670" spans="1:23" x14ac:dyDescent="0.35">
      <c r="A670" s="26"/>
      <c r="B670" s="1016"/>
      <c r="C670" s="26"/>
      <c r="D670" s="26"/>
      <c r="E670" s="44"/>
      <c r="F670" s="26"/>
      <c r="G670" s="26"/>
      <c r="H670" s="147"/>
      <c r="I670" s="26"/>
      <c r="J670" s="26"/>
      <c r="K670" s="26"/>
      <c r="L670" s="26"/>
      <c r="M670" s="26"/>
      <c r="N670" s="148"/>
      <c r="O670" s="26"/>
      <c r="P670" s="26"/>
      <c r="Q670" s="26"/>
      <c r="R670" s="435"/>
      <c r="S670" s="136"/>
      <c r="T670" s="26"/>
      <c r="U670" s="45"/>
      <c r="V670" s="26"/>
      <c r="W670" s="26"/>
    </row>
    <row r="671" spans="1:23" x14ac:dyDescent="0.35">
      <c r="A671" s="26"/>
      <c r="B671" s="1016"/>
      <c r="C671" s="26"/>
      <c r="D671" s="26"/>
      <c r="E671" s="44"/>
      <c r="F671" s="26"/>
      <c r="G671" s="26"/>
      <c r="H671" s="147"/>
      <c r="I671" s="26"/>
      <c r="J671" s="26"/>
      <c r="K671" s="26"/>
      <c r="L671" s="26"/>
      <c r="M671" s="26"/>
      <c r="N671" s="148"/>
      <c r="O671" s="26"/>
      <c r="P671" s="26"/>
      <c r="Q671" s="26"/>
      <c r="R671" s="435"/>
      <c r="S671" s="136"/>
      <c r="T671" s="26"/>
      <c r="U671" s="45"/>
      <c r="V671" s="26"/>
      <c r="W671" s="26"/>
    </row>
    <row r="672" spans="1:23" x14ac:dyDescent="0.35">
      <c r="A672" s="26"/>
      <c r="B672" s="1016"/>
      <c r="C672" s="26"/>
      <c r="D672" s="26"/>
      <c r="E672" s="44"/>
      <c r="F672" s="26"/>
      <c r="G672" s="26"/>
      <c r="H672" s="147"/>
      <c r="I672" s="26"/>
      <c r="J672" s="26"/>
      <c r="K672" s="26"/>
      <c r="L672" s="26"/>
      <c r="M672" s="26"/>
      <c r="N672" s="148"/>
      <c r="O672" s="26"/>
      <c r="P672" s="26"/>
      <c r="Q672" s="26"/>
      <c r="R672" s="435"/>
      <c r="S672" s="136"/>
      <c r="T672" s="26"/>
      <c r="U672" s="45"/>
      <c r="V672" s="26"/>
      <c r="W672" s="26"/>
    </row>
    <row r="673" spans="1:23" x14ac:dyDescent="0.35">
      <c r="A673" s="26"/>
      <c r="B673" s="1016"/>
      <c r="C673" s="26"/>
      <c r="D673" s="26"/>
      <c r="E673" s="44"/>
      <c r="F673" s="26"/>
      <c r="G673" s="26"/>
      <c r="H673" s="147"/>
      <c r="I673" s="26"/>
      <c r="J673" s="26"/>
      <c r="K673" s="26"/>
      <c r="L673" s="26"/>
      <c r="M673" s="26"/>
      <c r="N673" s="148"/>
      <c r="O673" s="26"/>
      <c r="P673" s="26"/>
      <c r="Q673" s="26"/>
      <c r="R673" s="435"/>
      <c r="S673" s="136"/>
      <c r="T673" s="26"/>
      <c r="U673" s="45"/>
      <c r="V673" s="26"/>
      <c r="W673" s="26"/>
    </row>
    <row r="674" spans="1:23" x14ac:dyDescent="0.35">
      <c r="A674" s="26"/>
      <c r="B674" s="1016"/>
      <c r="C674" s="26"/>
      <c r="D674" s="26"/>
      <c r="E674" s="44"/>
      <c r="F674" s="26"/>
      <c r="G674" s="26"/>
      <c r="H674" s="147"/>
      <c r="I674" s="26"/>
      <c r="J674" s="26"/>
      <c r="K674" s="26"/>
      <c r="L674" s="26"/>
      <c r="M674" s="26"/>
      <c r="N674" s="148"/>
      <c r="O674" s="26"/>
      <c r="P674" s="26"/>
      <c r="Q674" s="26"/>
      <c r="R674" s="435"/>
      <c r="S674" s="136"/>
      <c r="T674" s="26"/>
      <c r="U674" s="45"/>
      <c r="V674" s="26"/>
      <c r="W674" s="26"/>
    </row>
    <row r="675" spans="1:23" x14ac:dyDescent="0.35">
      <c r="A675" s="26"/>
      <c r="B675" s="1016"/>
      <c r="C675" s="26"/>
      <c r="D675" s="26"/>
      <c r="E675" s="44"/>
      <c r="F675" s="26"/>
      <c r="G675" s="26"/>
      <c r="H675" s="147"/>
      <c r="I675" s="26"/>
      <c r="J675" s="26"/>
      <c r="K675" s="26"/>
      <c r="L675" s="26"/>
      <c r="M675" s="26"/>
      <c r="N675" s="148"/>
      <c r="O675" s="26"/>
      <c r="P675" s="26"/>
      <c r="Q675" s="26"/>
      <c r="R675" s="435"/>
      <c r="S675" s="136"/>
      <c r="T675" s="26"/>
      <c r="U675" s="45"/>
      <c r="V675" s="26"/>
      <c r="W675" s="26"/>
    </row>
    <row r="676" spans="1:23" x14ac:dyDescent="0.35">
      <c r="A676" s="26"/>
      <c r="B676" s="1016"/>
      <c r="C676" s="26"/>
      <c r="D676" s="26"/>
      <c r="E676" s="44"/>
      <c r="F676" s="26"/>
      <c r="G676" s="26"/>
      <c r="H676" s="147"/>
      <c r="I676" s="26"/>
      <c r="J676" s="26"/>
      <c r="K676" s="26"/>
      <c r="L676" s="26"/>
      <c r="M676" s="26"/>
      <c r="N676" s="148"/>
      <c r="O676" s="26"/>
      <c r="P676" s="26"/>
      <c r="Q676" s="26"/>
      <c r="R676" s="435"/>
      <c r="S676" s="136"/>
      <c r="T676" s="26"/>
      <c r="U676" s="45"/>
      <c r="V676" s="26"/>
      <c r="W676" s="26"/>
    </row>
    <row r="677" spans="1:23" x14ac:dyDescent="0.35">
      <c r="A677" s="26"/>
      <c r="B677" s="1016"/>
      <c r="C677" s="26"/>
      <c r="D677" s="26"/>
      <c r="E677" s="44"/>
      <c r="F677" s="26"/>
      <c r="G677" s="26"/>
      <c r="H677" s="147"/>
      <c r="I677" s="26"/>
      <c r="J677" s="26"/>
      <c r="K677" s="26"/>
      <c r="L677" s="26"/>
      <c r="M677" s="26"/>
      <c r="N677" s="148"/>
      <c r="O677" s="26"/>
      <c r="P677" s="26"/>
      <c r="Q677" s="26"/>
      <c r="R677" s="435"/>
      <c r="S677" s="136"/>
      <c r="T677" s="26"/>
      <c r="U677" s="45"/>
      <c r="V677" s="26"/>
      <c r="W677" s="26"/>
    </row>
    <row r="678" spans="1:23" x14ac:dyDescent="0.35">
      <c r="A678" s="26"/>
      <c r="B678" s="1016"/>
      <c r="C678" s="26"/>
      <c r="D678" s="26"/>
      <c r="E678" s="44"/>
      <c r="F678" s="26"/>
      <c r="G678" s="26"/>
      <c r="H678" s="147"/>
      <c r="I678" s="26"/>
      <c r="J678" s="26"/>
      <c r="K678" s="26"/>
      <c r="L678" s="26"/>
      <c r="M678" s="26"/>
      <c r="N678" s="148"/>
      <c r="O678" s="26"/>
      <c r="P678" s="26"/>
      <c r="Q678" s="26"/>
      <c r="R678" s="435"/>
      <c r="S678" s="136"/>
      <c r="T678" s="26"/>
      <c r="U678" s="45"/>
      <c r="V678" s="26"/>
      <c r="W678" s="26"/>
    </row>
    <row r="679" spans="1:23" x14ac:dyDescent="0.35">
      <c r="A679" s="26"/>
      <c r="B679" s="1016"/>
      <c r="C679" s="26"/>
      <c r="D679" s="26"/>
      <c r="E679" s="44"/>
      <c r="F679" s="26"/>
      <c r="G679" s="26"/>
      <c r="H679" s="147"/>
      <c r="I679" s="26"/>
      <c r="J679" s="26"/>
      <c r="K679" s="26"/>
      <c r="L679" s="26"/>
      <c r="M679" s="26"/>
      <c r="N679" s="148"/>
      <c r="O679" s="26"/>
      <c r="P679" s="26"/>
      <c r="Q679" s="26"/>
      <c r="R679" s="435"/>
      <c r="S679" s="136"/>
      <c r="T679" s="26"/>
      <c r="U679" s="45"/>
      <c r="V679" s="26"/>
      <c r="W679" s="26"/>
    </row>
    <row r="680" spans="1:23" x14ac:dyDescent="0.35">
      <c r="A680" s="26"/>
      <c r="B680" s="1016"/>
      <c r="C680" s="26"/>
      <c r="D680" s="26"/>
      <c r="E680" s="44"/>
      <c r="F680" s="26"/>
      <c r="G680" s="26"/>
      <c r="H680" s="147"/>
      <c r="I680" s="26"/>
      <c r="J680" s="26"/>
      <c r="K680" s="26"/>
      <c r="L680" s="26"/>
      <c r="M680" s="26"/>
      <c r="N680" s="148"/>
      <c r="O680" s="26"/>
      <c r="P680" s="26"/>
      <c r="Q680" s="26"/>
      <c r="R680" s="435"/>
      <c r="S680" s="136"/>
      <c r="T680" s="26"/>
      <c r="U680" s="45"/>
      <c r="V680" s="26"/>
      <c r="W680" s="26"/>
    </row>
    <row r="681" spans="1:23" x14ac:dyDescent="0.35">
      <c r="A681" s="26"/>
      <c r="B681" s="1016"/>
      <c r="C681" s="26"/>
      <c r="D681" s="26"/>
      <c r="E681" s="44"/>
      <c r="F681" s="26"/>
      <c r="G681" s="26"/>
      <c r="H681" s="147"/>
      <c r="I681" s="26"/>
      <c r="J681" s="26"/>
      <c r="K681" s="26"/>
      <c r="L681" s="26"/>
      <c r="M681" s="26"/>
      <c r="N681" s="148"/>
      <c r="O681" s="26"/>
      <c r="P681" s="26"/>
      <c r="Q681" s="26"/>
      <c r="R681" s="435"/>
      <c r="S681" s="136"/>
      <c r="T681" s="26"/>
      <c r="U681" s="45"/>
      <c r="V681" s="26"/>
      <c r="W681" s="26"/>
    </row>
    <row r="682" spans="1:23" x14ac:dyDescent="0.35">
      <c r="A682" s="26"/>
      <c r="B682" s="1016"/>
      <c r="C682" s="26"/>
      <c r="D682" s="26"/>
      <c r="E682" s="44"/>
      <c r="F682" s="26"/>
      <c r="G682" s="26"/>
      <c r="H682" s="147"/>
      <c r="I682" s="26"/>
      <c r="J682" s="26"/>
      <c r="K682" s="26"/>
      <c r="L682" s="26"/>
      <c r="M682" s="26"/>
      <c r="N682" s="148"/>
      <c r="O682" s="26"/>
      <c r="P682" s="26"/>
      <c r="Q682" s="26"/>
      <c r="R682" s="435"/>
      <c r="S682" s="136"/>
      <c r="T682" s="26"/>
      <c r="U682" s="45"/>
      <c r="V682" s="26"/>
      <c r="W682" s="26"/>
    </row>
    <row r="683" spans="1:23" x14ac:dyDescent="0.35">
      <c r="A683" s="26"/>
      <c r="B683" s="1016"/>
      <c r="C683" s="26"/>
      <c r="D683" s="26"/>
      <c r="E683" s="44"/>
      <c r="F683" s="26"/>
      <c r="G683" s="26"/>
      <c r="H683" s="147"/>
      <c r="I683" s="26"/>
      <c r="J683" s="26"/>
      <c r="K683" s="26"/>
      <c r="L683" s="26"/>
      <c r="M683" s="26"/>
      <c r="N683" s="148"/>
      <c r="O683" s="26"/>
      <c r="P683" s="26"/>
      <c r="Q683" s="26"/>
      <c r="R683" s="435"/>
      <c r="S683" s="136"/>
      <c r="T683" s="26"/>
      <c r="U683" s="45"/>
      <c r="V683" s="26"/>
      <c r="W683" s="26"/>
    </row>
    <row r="684" spans="1:23" x14ac:dyDescent="0.35">
      <c r="A684" s="26"/>
      <c r="B684" s="1016"/>
      <c r="C684" s="26"/>
      <c r="D684" s="26"/>
      <c r="E684" s="44"/>
      <c r="F684" s="26"/>
      <c r="G684" s="26"/>
      <c r="H684" s="147"/>
      <c r="I684" s="26"/>
      <c r="J684" s="26"/>
      <c r="K684" s="26"/>
      <c r="L684" s="26"/>
      <c r="M684" s="26"/>
      <c r="N684" s="148"/>
      <c r="O684" s="26"/>
      <c r="P684" s="26"/>
      <c r="Q684" s="26"/>
      <c r="R684" s="435"/>
      <c r="S684" s="136"/>
      <c r="T684" s="26"/>
      <c r="U684" s="45"/>
      <c r="V684" s="26"/>
      <c r="W684" s="26"/>
    </row>
    <row r="685" spans="1:23" x14ac:dyDescent="0.35">
      <c r="A685" s="26"/>
      <c r="B685" s="1016"/>
      <c r="C685" s="26"/>
      <c r="D685" s="26"/>
      <c r="E685" s="44"/>
      <c r="F685" s="26"/>
      <c r="G685" s="26"/>
      <c r="H685" s="147"/>
      <c r="I685" s="26"/>
      <c r="J685" s="26"/>
      <c r="K685" s="26"/>
      <c r="L685" s="26"/>
      <c r="M685" s="26"/>
      <c r="N685" s="148"/>
      <c r="O685" s="26"/>
      <c r="P685" s="26"/>
      <c r="Q685" s="26"/>
      <c r="R685" s="435"/>
      <c r="S685" s="136"/>
      <c r="T685" s="26"/>
      <c r="U685" s="45"/>
      <c r="V685" s="26"/>
      <c r="W685" s="26"/>
    </row>
    <row r="686" spans="1:23" x14ac:dyDescent="0.35">
      <c r="A686" s="26"/>
      <c r="B686" s="1016"/>
      <c r="C686" s="26"/>
      <c r="D686" s="26"/>
      <c r="E686" s="44"/>
      <c r="F686" s="26"/>
      <c r="G686" s="26"/>
      <c r="H686" s="147"/>
      <c r="I686" s="26"/>
      <c r="J686" s="26"/>
      <c r="K686" s="26"/>
      <c r="L686" s="26"/>
      <c r="M686" s="26"/>
      <c r="N686" s="148"/>
      <c r="O686" s="26"/>
      <c r="P686" s="26"/>
      <c r="Q686" s="26"/>
      <c r="R686" s="435"/>
      <c r="S686" s="136"/>
      <c r="T686" s="26"/>
      <c r="U686" s="45"/>
      <c r="V686" s="26"/>
      <c r="W686" s="26"/>
    </row>
    <row r="687" spans="1:23" x14ac:dyDescent="0.35">
      <c r="A687" s="26"/>
      <c r="B687" s="1016"/>
      <c r="C687" s="26"/>
      <c r="D687" s="26"/>
      <c r="E687" s="44"/>
      <c r="F687" s="26"/>
      <c r="G687" s="26"/>
      <c r="H687" s="147"/>
      <c r="I687" s="26"/>
      <c r="J687" s="26"/>
      <c r="K687" s="26"/>
      <c r="L687" s="26"/>
      <c r="M687" s="26"/>
      <c r="N687" s="148"/>
      <c r="O687" s="26"/>
      <c r="P687" s="26"/>
      <c r="Q687" s="26"/>
      <c r="R687" s="435"/>
      <c r="S687" s="136"/>
      <c r="T687" s="26"/>
      <c r="U687" s="45"/>
      <c r="V687" s="26"/>
      <c r="W687" s="26"/>
    </row>
    <row r="688" spans="1:23" x14ac:dyDescent="0.35">
      <c r="A688" s="26"/>
      <c r="B688" s="1016"/>
      <c r="C688" s="26"/>
      <c r="D688" s="26"/>
      <c r="E688" s="44"/>
      <c r="F688" s="26"/>
      <c r="G688" s="26"/>
      <c r="H688" s="147"/>
      <c r="I688" s="26"/>
      <c r="J688" s="26"/>
      <c r="K688" s="26"/>
      <c r="L688" s="26"/>
      <c r="M688" s="26"/>
      <c r="N688" s="148"/>
      <c r="O688" s="26"/>
      <c r="P688" s="26"/>
      <c r="Q688" s="26"/>
      <c r="R688" s="435"/>
      <c r="S688" s="136"/>
      <c r="T688" s="26"/>
      <c r="U688" s="45"/>
      <c r="V688" s="26"/>
      <c r="W688" s="26"/>
    </row>
    <row r="689" spans="1:23" x14ac:dyDescent="0.35">
      <c r="A689" s="26"/>
      <c r="B689" s="1016"/>
      <c r="C689" s="26"/>
      <c r="D689" s="26"/>
      <c r="E689" s="44"/>
      <c r="F689" s="26"/>
      <c r="G689" s="26"/>
      <c r="H689" s="147"/>
      <c r="I689" s="26"/>
      <c r="J689" s="26"/>
      <c r="K689" s="26"/>
      <c r="L689" s="26"/>
      <c r="M689" s="26"/>
      <c r="N689" s="148"/>
      <c r="O689" s="26"/>
      <c r="P689" s="26"/>
      <c r="Q689" s="26"/>
      <c r="R689" s="435"/>
      <c r="S689" s="136"/>
      <c r="T689" s="26"/>
      <c r="U689" s="45"/>
      <c r="V689" s="26"/>
      <c r="W689" s="26"/>
    </row>
    <row r="690" spans="1:23" x14ac:dyDescent="0.35">
      <c r="A690" s="26"/>
      <c r="B690" s="1016"/>
      <c r="C690" s="26"/>
      <c r="D690" s="26"/>
      <c r="E690" s="44"/>
      <c r="F690" s="26"/>
      <c r="G690" s="26"/>
      <c r="H690" s="147"/>
      <c r="I690" s="26"/>
      <c r="J690" s="26"/>
      <c r="K690" s="26"/>
      <c r="L690" s="26"/>
      <c r="M690" s="26"/>
      <c r="N690" s="148"/>
      <c r="O690" s="26"/>
      <c r="P690" s="26"/>
      <c r="Q690" s="26"/>
      <c r="R690" s="435"/>
      <c r="S690" s="136"/>
      <c r="T690" s="26"/>
      <c r="U690" s="45"/>
      <c r="V690" s="26"/>
      <c r="W690" s="26"/>
    </row>
    <row r="691" spans="1:23" x14ac:dyDescent="0.35">
      <c r="A691" s="26"/>
      <c r="B691" s="1016"/>
      <c r="C691" s="26"/>
      <c r="D691" s="26"/>
      <c r="E691" s="44"/>
      <c r="F691" s="26"/>
      <c r="G691" s="26"/>
      <c r="H691" s="147"/>
      <c r="I691" s="26"/>
      <c r="J691" s="26"/>
      <c r="K691" s="26"/>
      <c r="L691" s="26"/>
      <c r="M691" s="26"/>
      <c r="N691" s="148"/>
      <c r="O691" s="26"/>
      <c r="P691" s="26"/>
      <c r="Q691" s="26"/>
      <c r="R691" s="435"/>
      <c r="S691" s="136"/>
      <c r="T691" s="26"/>
      <c r="U691" s="45"/>
      <c r="V691" s="26"/>
      <c r="W691" s="26"/>
    </row>
    <row r="692" spans="1:23" x14ac:dyDescent="0.35">
      <c r="A692" s="26"/>
      <c r="B692" s="1016"/>
      <c r="C692" s="26"/>
      <c r="D692" s="26"/>
      <c r="E692" s="44"/>
      <c r="F692" s="26"/>
      <c r="G692" s="26"/>
      <c r="H692" s="147"/>
      <c r="I692" s="26"/>
      <c r="J692" s="26"/>
      <c r="K692" s="26"/>
      <c r="L692" s="26"/>
      <c r="M692" s="26"/>
      <c r="N692" s="148"/>
      <c r="O692" s="26"/>
      <c r="P692" s="26"/>
      <c r="Q692" s="26"/>
      <c r="R692" s="435"/>
      <c r="S692" s="136"/>
      <c r="T692" s="26"/>
      <c r="U692" s="45"/>
      <c r="V692" s="26"/>
      <c r="W692" s="26"/>
    </row>
    <row r="693" spans="1:23" x14ac:dyDescent="0.35">
      <c r="A693" s="26"/>
      <c r="B693" s="1016"/>
      <c r="C693" s="26"/>
      <c r="D693" s="26"/>
      <c r="E693" s="44"/>
      <c r="F693" s="26"/>
      <c r="G693" s="26"/>
      <c r="H693" s="147"/>
      <c r="I693" s="26"/>
      <c r="J693" s="26"/>
      <c r="K693" s="26"/>
      <c r="L693" s="26"/>
      <c r="M693" s="26"/>
      <c r="N693" s="148"/>
      <c r="O693" s="26"/>
      <c r="P693" s="26"/>
      <c r="Q693" s="26"/>
      <c r="R693" s="435"/>
      <c r="S693" s="136"/>
      <c r="T693" s="26"/>
      <c r="U693" s="45"/>
      <c r="V693" s="26"/>
      <c r="W693" s="26"/>
    </row>
    <row r="694" spans="1:23" x14ac:dyDescent="0.35">
      <c r="A694" s="26"/>
      <c r="B694" s="1016"/>
      <c r="C694" s="26"/>
      <c r="D694" s="26"/>
      <c r="E694" s="44"/>
      <c r="F694" s="26"/>
      <c r="G694" s="26"/>
      <c r="H694" s="147"/>
      <c r="I694" s="26"/>
      <c r="J694" s="26"/>
      <c r="K694" s="26"/>
      <c r="L694" s="26"/>
      <c r="M694" s="26"/>
      <c r="N694" s="148"/>
      <c r="O694" s="26"/>
      <c r="P694" s="26"/>
      <c r="Q694" s="26"/>
      <c r="R694" s="435"/>
      <c r="S694" s="136"/>
      <c r="T694" s="26"/>
      <c r="U694" s="45"/>
      <c r="V694" s="26"/>
      <c r="W694" s="26"/>
    </row>
    <row r="695" spans="1:23" x14ac:dyDescent="0.35">
      <c r="A695" s="26"/>
      <c r="B695" s="1016"/>
      <c r="C695" s="26"/>
      <c r="D695" s="26"/>
      <c r="E695" s="44"/>
      <c r="F695" s="26"/>
      <c r="G695" s="26"/>
      <c r="H695" s="147"/>
      <c r="I695" s="26"/>
      <c r="J695" s="26"/>
      <c r="K695" s="26"/>
      <c r="L695" s="26"/>
      <c r="M695" s="26"/>
      <c r="N695" s="148"/>
      <c r="O695" s="26"/>
      <c r="P695" s="26"/>
      <c r="Q695" s="26"/>
      <c r="R695" s="435"/>
      <c r="S695" s="136"/>
      <c r="T695" s="26"/>
      <c r="U695" s="45"/>
      <c r="V695" s="26"/>
      <c r="W695" s="26"/>
    </row>
    <row r="696" spans="1:23" x14ac:dyDescent="0.35">
      <c r="A696" s="26"/>
      <c r="B696" s="1016"/>
      <c r="C696" s="26"/>
      <c r="D696" s="26"/>
      <c r="E696" s="44"/>
      <c r="F696" s="26"/>
      <c r="G696" s="26"/>
      <c r="H696" s="147"/>
      <c r="I696" s="26"/>
      <c r="J696" s="26"/>
      <c r="K696" s="26"/>
      <c r="L696" s="26"/>
      <c r="M696" s="26"/>
      <c r="N696" s="148"/>
      <c r="O696" s="26"/>
      <c r="P696" s="26"/>
      <c r="Q696" s="26"/>
      <c r="R696" s="435"/>
      <c r="S696" s="136"/>
      <c r="T696" s="26"/>
      <c r="U696" s="45"/>
      <c r="V696" s="26"/>
      <c r="W696" s="26"/>
    </row>
    <row r="697" spans="1:23" x14ac:dyDescent="0.35">
      <c r="A697" s="26"/>
      <c r="B697" s="1016"/>
      <c r="C697" s="26"/>
      <c r="D697" s="26"/>
      <c r="E697" s="44"/>
      <c r="F697" s="26"/>
      <c r="G697" s="26"/>
      <c r="H697" s="147"/>
      <c r="I697" s="26"/>
      <c r="J697" s="26"/>
      <c r="K697" s="26"/>
      <c r="L697" s="26"/>
      <c r="M697" s="26"/>
      <c r="N697" s="148"/>
      <c r="O697" s="26"/>
      <c r="P697" s="26"/>
      <c r="Q697" s="26"/>
      <c r="R697" s="435"/>
      <c r="S697" s="136"/>
      <c r="T697" s="26"/>
      <c r="U697" s="45"/>
      <c r="V697" s="26"/>
      <c r="W697" s="26"/>
    </row>
    <row r="698" spans="1:23" x14ac:dyDescent="0.35">
      <c r="A698" s="26"/>
      <c r="B698" s="1016"/>
      <c r="C698" s="26"/>
      <c r="D698" s="26"/>
      <c r="E698" s="44"/>
      <c r="F698" s="26"/>
      <c r="G698" s="26"/>
      <c r="H698" s="147"/>
      <c r="I698" s="26"/>
      <c r="J698" s="26"/>
      <c r="K698" s="26"/>
      <c r="L698" s="26"/>
      <c r="M698" s="26"/>
      <c r="N698" s="148"/>
      <c r="O698" s="26"/>
      <c r="P698" s="26"/>
      <c r="Q698" s="26"/>
      <c r="R698" s="435"/>
      <c r="S698" s="136"/>
      <c r="T698" s="26"/>
      <c r="U698" s="45"/>
      <c r="V698" s="26"/>
      <c r="W698" s="26"/>
    </row>
    <row r="699" spans="1:23" x14ac:dyDescent="0.35">
      <c r="A699" s="26"/>
      <c r="B699" s="1016"/>
      <c r="C699" s="26"/>
      <c r="D699" s="26"/>
      <c r="E699" s="44"/>
      <c r="F699" s="26"/>
      <c r="G699" s="26"/>
      <c r="H699" s="147"/>
      <c r="I699" s="26"/>
      <c r="J699" s="26"/>
      <c r="K699" s="26"/>
      <c r="L699" s="26"/>
      <c r="M699" s="26"/>
      <c r="N699" s="148"/>
      <c r="O699" s="26"/>
      <c r="P699" s="26"/>
      <c r="Q699" s="26"/>
      <c r="R699" s="435"/>
      <c r="S699" s="136"/>
      <c r="T699" s="26"/>
      <c r="U699" s="45"/>
      <c r="V699" s="26"/>
      <c r="W699" s="26"/>
    </row>
    <row r="700" spans="1:23" x14ac:dyDescent="0.35">
      <c r="A700" s="26"/>
      <c r="B700" s="1016"/>
      <c r="C700" s="26"/>
      <c r="D700" s="26"/>
      <c r="E700" s="44"/>
      <c r="F700" s="26"/>
      <c r="G700" s="26"/>
      <c r="H700" s="147"/>
      <c r="I700" s="26"/>
      <c r="J700" s="26"/>
      <c r="K700" s="26"/>
      <c r="L700" s="26"/>
      <c r="M700" s="26"/>
      <c r="N700" s="148"/>
      <c r="O700" s="26"/>
      <c r="P700" s="26"/>
      <c r="Q700" s="26"/>
      <c r="R700" s="435"/>
      <c r="S700" s="136"/>
      <c r="T700" s="26"/>
      <c r="U700" s="45"/>
      <c r="V700" s="26"/>
      <c r="W700" s="26"/>
    </row>
    <row r="701" spans="1:23" x14ac:dyDescent="0.35">
      <c r="A701" s="26"/>
      <c r="B701" s="1016"/>
      <c r="C701" s="26"/>
      <c r="D701" s="26"/>
      <c r="E701" s="44"/>
      <c r="F701" s="26"/>
      <c r="G701" s="26"/>
      <c r="H701" s="147"/>
      <c r="I701" s="26"/>
      <c r="J701" s="26"/>
      <c r="K701" s="26"/>
      <c r="L701" s="26"/>
      <c r="M701" s="26"/>
      <c r="N701" s="148"/>
      <c r="O701" s="26"/>
      <c r="P701" s="26"/>
      <c r="Q701" s="26"/>
      <c r="R701" s="435"/>
      <c r="S701" s="136"/>
      <c r="T701" s="26"/>
      <c r="U701" s="45"/>
      <c r="V701" s="26"/>
      <c r="W701" s="26"/>
    </row>
    <row r="702" spans="1:23" x14ac:dyDescent="0.35">
      <c r="A702" s="26"/>
      <c r="B702" s="1016"/>
      <c r="C702" s="26"/>
      <c r="D702" s="26"/>
      <c r="E702" s="44"/>
      <c r="F702" s="26"/>
      <c r="G702" s="26"/>
      <c r="H702" s="147"/>
      <c r="I702" s="26"/>
      <c r="J702" s="26"/>
      <c r="K702" s="26"/>
      <c r="L702" s="26"/>
      <c r="M702" s="26"/>
      <c r="N702" s="148"/>
      <c r="O702" s="26"/>
      <c r="P702" s="26"/>
      <c r="Q702" s="26"/>
      <c r="R702" s="435"/>
      <c r="S702" s="136"/>
      <c r="T702" s="26"/>
      <c r="U702" s="45"/>
      <c r="V702" s="26"/>
      <c r="W702" s="26"/>
    </row>
    <row r="703" spans="1:23" x14ac:dyDescent="0.35">
      <c r="A703" s="26"/>
      <c r="B703" s="1016"/>
      <c r="C703" s="26"/>
      <c r="D703" s="26"/>
      <c r="E703" s="44"/>
      <c r="F703" s="26"/>
      <c r="G703" s="26"/>
      <c r="H703" s="147"/>
      <c r="I703" s="26"/>
      <c r="J703" s="26"/>
      <c r="K703" s="26"/>
      <c r="L703" s="26"/>
      <c r="M703" s="26"/>
      <c r="N703" s="148"/>
      <c r="O703" s="26"/>
      <c r="P703" s="26"/>
      <c r="Q703" s="26"/>
      <c r="R703" s="435"/>
      <c r="S703" s="136"/>
      <c r="T703" s="26"/>
      <c r="U703" s="45"/>
      <c r="V703" s="26"/>
      <c r="W703" s="26"/>
    </row>
    <row r="704" spans="1:23" x14ac:dyDescent="0.35">
      <c r="A704" s="26"/>
      <c r="B704" s="1016"/>
      <c r="C704" s="26"/>
      <c r="D704" s="26"/>
      <c r="E704" s="44"/>
      <c r="F704" s="26"/>
      <c r="G704" s="26"/>
      <c r="H704" s="147"/>
      <c r="I704" s="26"/>
      <c r="J704" s="26"/>
      <c r="K704" s="26"/>
      <c r="L704" s="26"/>
      <c r="M704" s="26"/>
      <c r="N704" s="148"/>
      <c r="O704" s="26"/>
      <c r="P704" s="26"/>
      <c r="Q704" s="26"/>
      <c r="R704" s="435"/>
      <c r="S704" s="136"/>
      <c r="T704" s="26"/>
      <c r="U704" s="45"/>
      <c r="V704" s="26"/>
      <c r="W704" s="26"/>
    </row>
    <row r="705" spans="1:23" x14ac:dyDescent="0.35">
      <c r="A705" s="26"/>
      <c r="B705" s="1016"/>
      <c r="C705" s="26"/>
      <c r="D705" s="26"/>
      <c r="E705" s="44"/>
      <c r="F705" s="26"/>
      <c r="G705" s="26"/>
      <c r="H705" s="147"/>
      <c r="I705" s="26"/>
      <c r="J705" s="26"/>
      <c r="K705" s="26"/>
      <c r="L705" s="26"/>
      <c r="M705" s="26"/>
      <c r="N705" s="148"/>
      <c r="O705" s="26"/>
      <c r="P705" s="26"/>
      <c r="Q705" s="26"/>
      <c r="R705" s="435"/>
      <c r="S705" s="136"/>
      <c r="T705" s="26"/>
      <c r="U705" s="45"/>
      <c r="V705" s="26"/>
      <c r="W705" s="26"/>
    </row>
    <row r="706" spans="1:23" x14ac:dyDescent="0.35">
      <c r="A706" s="26"/>
      <c r="B706" s="1016"/>
      <c r="C706" s="26"/>
      <c r="D706" s="26"/>
      <c r="E706" s="44"/>
      <c r="F706" s="26"/>
      <c r="G706" s="26"/>
      <c r="H706" s="147"/>
      <c r="I706" s="26"/>
      <c r="J706" s="26"/>
      <c r="K706" s="26"/>
      <c r="L706" s="26"/>
      <c r="M706" s="26"/>
      <c r="N706" s="148"/>
      <c r="O706" s="26"/>
      <c r="P706" s="26"/>
      <c r="Q706" s="26"/>
      <c r="R706" s="435"/>
      <c r="S706" s="136"/>
      <c r="T706" s="26"/>
      <c r="U706" s="45"/>
      <c r="V706" s="26"/>
      <c r="W706" s="26"/>
    </row>
    <row r="707" spans="1:23" x14ac:dyDescent="0.35">
      <c r="A707" s="26"/>
      <c r="B707" s="1016"/>
      <c r="C707" s="26"/>
      <c r="D707" s="26"/>
      <c r="E707" s="44"/>
      <c r="F707" s="26"/>
      <c r="G707" s="26"/>
      <c r="H707" s="147"/>
      <c r="I707" s="26"/>
      <c r="J707" s="26"/>
      <c r="K707" s="26"/>
      <c r="L707" s="26"/>
      <c r="M707" s="26"/>
      <c r="N707" s="148"/>
      <c r="O707" s="26"/>
      <c r="P707" s="26"/>
      <c r="Q707" s="26"/>
      <c r="R707" s="435"/>
      <c r="S707" s="136"/>
      <c r="T707" s="26"/>
      <c r="U707" s="45"/>
      <c r="V707" s="26"/>
      <c r="W707" s="26"/>
    </row>
    <row r="708" spans="1:23" x14ac:dyDescent="0.35">
      <c r="A708" s="26"/>
      <c r="B708" s="1016"/>
      <c r="C708" s="26"/>
      <c r="D708" s="26"/>
      <c r="E708" s="44"/>
      <c r="F708" s="26"/>
      <c r="G708" s="26"/>
      <c r="H708" s="147"/>
      <c r="I708" s="26"/>
      <c r="J708" s="26"/>
      <c r="K708" s="26"/>
      <c r="L708" s="26"/>
      <c r="M708" s="26"/>
      <c r="N708" s="148"/>
      <c r="O708" s="26"/>
      <c r="P708" s="26"/>
      <c r="Q708" s="26"/>
      <c r="R708" s="435"/>
      <c r="S708" s="136"/>
      <c r="T708" s="26"/>
      <c r="U708" s="45"/>
      <c r="V708" s="26"/>
      <c r="W708" s="26"/>
    </row>
    <row r="709" spans="1:23" x14ac:dyDescent="0.35">
      <c r="A709" s="26"/>
      <c r="B709" s="1016"/>
      <c r="C709" s="26"/>
      <c r="D709" s="26"/>
      <c r="E709" s="44"/>
      <c r="F709" s="26"/>
      <c r="G709" s="26"/>
      <c r="H709" s="147"/>
      <c r="I709" s="26"/>
      <c r="J709" s="26"/>
      <c r="K709" s="26"/>
      <c r="L709" s="26"/>
      <c r="M709" s="26"/>
      <c r="N709" s="148"/>
      <c r="O709" s="26"/>
      <c r="P709" s="26"/>
      <c r="Q709" s="26"/>
      <c r="R709" s="435"/>
      <c r="S709" s="136"/>
      <c r="T709" s="26"/>
      <c r="U709" s="45"/>
      <c r="V709" s="26"/>
      <c r="W709" s="26"/>
    </row>
    <row r="710" spans="1:23" x14ac:dyDescent="0.35">
      <c r="A710" s="26"/>
      <c r="B710" s="1016"/>
      <c r="C710" s="26"/>
      <c r="D710" s="26"/>
      <c r="E710" s="44"/>
      <c r="F710" s="26"/>
      <c r="G710" s="26"/>
      <c r="H710" s="147"/>
      <c r="I710" s="26"/>
      <c r="J710" s="26"/>
      <c r="K710" s="26"/>
      <c r="L710" s="26"/>
      <c r="M710" s="26"/>
      <c r="N710" s="148"/>
      <c r="O710" s="26"/>
      <c r="P710" s="26"/>
      <c r="Q710" s="26"/>
      <c r="R710" s="435"/>
      <c r="S710" s="136"/>
      <c r="T710" s="26"/>
      <c r="U710" s="45"/>
      <c r="V710" s="26"/>
      <c r="W710" s="26"/>
    </row>
    <row r="711" spans="1:23" x14ac:dyDescent="0.35">
      <c r="A711" s="26"/>
      <c r="B711" s="1016"/>
      <c r="C711" s="26"/>
      <c r="D711" s="26"/>
      <c r="E711" s="44"/>
      <c r="F711" s="26"/>
      <c r="G711" s="26"/>
      <c r="H711" s="147"/>
      <c r="I711" s="26"/>
      <c r="J711" s="26"/>
      <c r="K711" s="26"/>
      <c r="L711" s="26"/>
      <c r="M711" s="26"/>
      <c r="N711" s="148"/>
      <c r="O711" s="26"/>
      <c r="P711" s="26"/>
      <c r="Q711" s="26"/>
      <c r="R711" s="435"/>
      <c r="S711" s="136"/>
      <c r="T711" s="26"/>
      <c r="U711" s="45"/>
      <c r="V711" s="26"/>
      <c r="W711" s="26"/>
    </row>
    <row r="712" spans="1:23" x14ac:dyDescent="0.35">
      <c r="A712" s="26"/>
      <c r="B712" s="1016"/>
      <c r="C712" s="26"/>
      <c r="D712" s="26"/>
      <c r="E712" s="44"/>
      <c r="F712" s="26"/>
      <c r="G712" s="26"/>
      <c r="H712" s="147"/>
      <c r="I712" s="26"/>
      <c r="J712" s="26"/>
      <c r="K712" s="26"/>
      <c r="L712" s="26"/>
      <c r="M712" s="26"/>
      <c r="N712" s="148"/>
      <c r="O712" s="26"/>
      <c r="P712" s="26"/>
      <c r="Q712" s="26"/>
      <c r="R712" s="435"/>
      <c r="S712" s="136"/>
      <c r="T712" s="26"/>
      <c r="U712" s="45"/>
      <c r="V712" s="26"/>
      <c r="W712" s="26"/>
    </row>
    <row r="713" spans="1:23" x14ac:dyDescent="0.35">
      <c r="A713" s="26"/>
      <c r="B713" s="1016"/>
      <c r="C713" s="26"/>
      <c r="D713" s="26"/>
      <c r="E713" s="44"/>
      <c r="F713" s="26"/>
      <c r="G713" s="26"/>
      <c r="H713" s="147"/>
      <c r="I713" s="26"/>
      <c r="J713" s="26"/>
      <c r="K713" s="26"/>
      <c r="L713" s="26"/>
      <c r="M713" s="26"/>
      <c r="N713" s="148"/>
      <c r="O713" s="26"/>
      <c r="P713" s="26"/>
      <c r="Q713" s="26"/>
      <c r="R713" s="435"/>
      <c r="S713" s="136"/>
      <c r="T713" s="26"/>
      <c r="U713" s="45"/>
      <c r="V713" s="26"/>
      <c r="W713" s="26"/>
    </row>
    <row r="714" spans="1:23" x14ac:dyDescent="0.35">
      <c r="A714" s="26"/>
      <c r="B714" s="1016"/>
      <c r="C714" s="26"/>
      <c r="D714" s="26"/>
      <c r="E714" s="44"/>
      <c r="F714" s="26"/>
      <c r="G714" s="26"/>
      <c r="H714" s="147"/>
      <c r="I714" s="26"/>
      <c r="J714" s="26"/>
      <c r="K714" s="26"/>
      <c r="L714" s="26"/>
      <c r="M714" s="26"/>
      <c r="N714" s="148"/>
      <c r="O714" s="26"/>
      <c r="P714" s="26"/>
      <c r="Q714" s="26"/>
      <c r="R714" s="435"/>
      <c r="S714" s="136"/>
      <c r="T714" s="26"/>
      <c r="U714" s="45"/>
      <c r="V714" s="26"/>
      <c r="W714" s="26"/>
    </row>
    <row r="715" spans="1:23" x14ac:dyDescent="0.35">
      <c r="A715" s="26"/>
      <c r="B715" s="1016"/>
      <c r="C715" s="26"/>
      <c r="D715" s="26"/>
      <c r="E715" s="44"/>
      <c r="F715" s="26"/>
      <c r="G715" s="26"/>
      <c r="H715" s="147"/>
      <c r="I715" s="26"/>
      <c r="J715" s="26"/>
      <c r="K715" s="26"/>
      <c r="L715" s="26"/>
      <c r="M715" s="26"/>
      <c r="N715" s="148"/>
      <c r="O715" s="26"/>
      <c r="P715" s="26"/>
      <c r="Q715" s="26"/>
      <c r="R715" s="435"/>
      <c r="S715" s="136"/>
      <c r="T715" s="26"/>
      <c r="U715" s="45"/>
      <c r="V715" s="26"/>
      <c r="W715" s="26"/>
    </row>
    <row r="716" spans="1:23" x14ac:dyDescent="0.35">
      <c r="A716" s="26"/>
      <c r="B716" s="1016"/>
      <c r="C716" s="26"/>
      <c r="D716" s="26"/>
      <c r="E716" s="44"/>
      <c r="F716" s="26"/>
      <c r="G716" s="26"/>
      <c r="H716" s="147"/>
      <c r="I716" s="26"/>
      <c r="J716" s="26"/>
      <c r="K716" s="26"/>
      <c r="L716" s="26"/>
      <c r="M716" s="26"/>
      <c r="N716" s="148"/>
      <c r="O716" s="26"/>
      <c r="P716" s="26"/>
      <c r="Q716" s="26"/>
      <c r="R716" s="435"/>
      <c r="S716" s="136"/>
      <c r="T716" s="26"/>
      <c r="U716" s="45"/>
      <c r="V716" s="26"/>
      <c r="W716" s="26"/>
    </row>
    <row r="717" spans="1:23" x14ac:dyDescent="0.35">
      <c r="A717" s="26"/>
      <c r="B717" s="1016"/>
      <c r="C717" s="26"/>
      <c r="D717" s="26"/>
      <c r="E717" s="44"/>
      <c r="F717" s="26"/>
      <c r="G717" s="26"/>
      <c r="H717" s="147"/>
      <c r="I717" s="26"/>
      <c r="J717" s="26"/>
      <c r="K717" s="26"/>
      <c r="L717" s="26"/>
      <c r="M717" s="26"/>
      <c r="N717" s="148"/>
      <c r="O717" s="26"/>
      <c r="P717" s="26"/>
      <c r="Q717" s="26"/>
      <c r="R717" s="435"/>
      <c r="S717" s="136"/>
      <c r="T717" s="26"/>
      <c r="U717" s="45"/>
      <c r="V717" s="26"/>
      <c r="W717" s="26"/>
    </row>
    <row r="718" spans="1:23" x14ac:dyDescent="0.35">
      <c r="A718" s="26"/>
      <c r="B718" s="1016"/>
      <c r="C718" s="26"/>
      <c r="D718" s="26"/>
      <c r="E718" s="44"/>
      <c r="F718" s="26"/>
      <c r="G718" s="26"/>
      <c r="H718" s="147"/>
      <c r="I718" s="26"/>
      <c r="J718" s="26"/>
      <c r="K718" s="26"/>
      <c r="L718" s="26"/>
      <c r="M718" s="26"/>
      <c r="N718" s="148"/>
      <c r="O718" s="26"/>
      <c r="P718" s="26"/>
      <c r="Q718" s="26"/>
      <c r="R718" s="435"/>
      <c r="S718" s="136"/>
      <c r="T718" s="26"/>
      <c r="U718" s="45"/>
      <c r="V718" s="26"/>
      <c r="W718" s="26"/>
    </row>
    <row r="719" spans="1:23" x14ac:dyDescent="0.35">
      <c r="A719" s="26"/>
      <c r="B719" s="1016"/>
      <c r="C719" s="26"/>
      <c r="D719" s="26"/>
      <c r="E719" s="44"/>
      <c r="F719" s="26"/>
      <c r="G719" s="26"/>
      <c r="H719" s="147"/>
      <c r="I719" s="26"/>
      <c r="J719" s="26"/>
      <c r="K719" s="26"/>
      <c r="L719" s="26"/>
      <c r="M719" s="26"/>
      <c r="N719" s="148"/>
      <c r="O719" s="26"/>
      <c r="P719" s="26"/>
      <c r="Q719" s="26"/>
      <c r="R719" s="435"/>
      <c r="S719" s="136"/>
      <c r="T719" s="26"/>
      <c r="U719" s="45"/>
      <c r="V719" s="26"/>
      <c r="W719" s="26"/>
    </row>
    <row r="720" spans="1:23" x14ac:dyDescent="0.35">
      <c r="A720" s="26"/>
      <c r="B720" s="1016"/>
      <c r="C720" s="26"/>
      <c r="D720" s="26"/>
      <c r="E720" s="44"/>
      <c r="F720" s="26"/>
      <c r="G720" s="26"/>
      <c r="H720" s="147"/>
      <c r="I720" s="26"/>
      <c r="J720" s="26"/>
      <c r="K720" s="26"/>
      <c r="L720" s="26"/>
      <c r="M720" s="26"/>
      <c r="N720" s="148"/>
      <c r="O720" s="26"/>
      <c r="P720" s="26"/>
      <c r="Q720" s="26"/>
      <c r="R720" s="435"/>
      <c r="S720" s="136"/>
      <c r="T720" s="26"/>
      <c r="U720" s="45"/>
      <c r="V720" s="26"/>
      <c r="W720" s="26"/>
    </row>
    <row r="721" spans="1:23" x14ac:dyDescent="0.35">
      <c r="A721" s="26"/>
      <c r="B721" s="1016"/>
      <c r="C721" s="26"/>
      <c r="D721" s="26"/>
      <c r="E721" s="44"/>
      <c r="F721" s="26"/>
      <c r="G721" s="26"/>
      <c r="H721" s="147"/>
      <c r="I721" s="26"/>
      <c r="J721" s="26"/>
      <c r="K721" s="26"/>
      <c r="L721" s="26"/>
      <c r="M721" s="26"/>
      <c r="N721" s="148"/>
      <c r="O721" s="26"/>
      <c r="P721" s="26"/>
      <c r="Q721" s="26"/>
      <c r="R721" s="435"/>
      <c r="S721" s="136"/>
      <c r="T721" s="26"/>
      <c r="U721" s="45"/>
      <c r="V721" s="26"/>
      <c r="W721" s="26"/>
    </row>
    <row r="722" spans="1:23" x14ac:dyDescent="0.35">
      <c r="A722" s="26"/>
      <c r="B722" s="1016"/>
      <c r="C722" s="26"/>
      <c r="D722" s="26"/>
      <c r="E722" s="44"/>
      <c r="F722" s="26"/>
      <c r="G722" s="26"/>
      <c r="H722" s="147"/>
      <c r="I722" s="26"/>
      <c r="J722" s="26"/>
      <c r="K722" s="26"/>
      <c r="L722" s="26"/>
      <c r="M722" s="26"/>
      <c r="N722" s="148"/>
      <c r="O722" s="26"/>
      <c r="P722" s="26"/>
      <c r="Q722" s="26"/>
      <c r="R722" s="435"/>
      <c r="S722" s="136"/>
      <c r="T722" s="26"/>
      <c r="U722" s="45"/>
      <c r="V722" s="26"/>
      <c r="W722" s="26"/>
    </row>
    <row r="723" spans="1:23" x14ac:dyDescent="0.35">
      <c r="A723" s="26"/>
      <c r="B723" s="1016"/>
      <c r="C723" s="26"/>
      <c r="D723" s="26"/>
      <c r="E723" s="44"/>
      <c r="F723" s="26"/>
      <c r="G723" s="26"/>
      <c r="H723" s="147"/>
      <c r="I723" s="26"/>
      <c r="J723" s="26"/>
      <c r="K723" s="26"/>
      <c r="L723" s="26"/>
      <c r="M723" s="26"/>
      <c r="N723" s="148"/>
      <c r="O723" s="26"/>
      <c r="P723" s="26"/>
      <c r="Q723" s="26"/>
      <c r="R723" s="435"/>
      <c r="S723" s="136"/>
      <c r="T723" s="26"/>
      <c r="U723" s="45"/>
      <c r="V723" s="26"/>
      <c r="W723" s="26"/>
    </row>
    <row r="724" spans="1:23" x14ac:dyDescent="0.35">
      <c r="A724" s="26"/>
      <c r="B724" s="1016"/>
      <c r="C724" s="26"/>
      <c r="D724" s="26"/>
      <c r="E724" s="44"/>
      <c r="F724" s="26"/>
      <c r="G724" s="26"/>
      <c r="H724" s="147"/>
      <c r="I724" s="26"/>
      <c r="J724" s="26"/>
      <c r="K724" s="26"/>
      <c r="L724" s="26"/>
      <c r="M724" s="26"/>
      <c r="N724" s="148"/>
      <c r="O724" s="26"/>
      <c r="P724" s="26"/>
      <c r="Q724" s="26"/>
      <c r="R724" s="435"/>
      <c r="S724" s="136"/>
      <c r="T724" s="26"/>
      <c r="U724" s="45"/>
      <c r="V724" s="26"/>
      <c r="W724" s="26"/>
    </row>
    <row r="725" spans="1:23" x14ac:dyDescent="0.35">
      <c r="A725" s="26"/>
      <c r="B725" s="1016"/>
      <c r="C725" s="26"/>
      <c r="D725" s="26"/>
      <c r="E725" s="44"/>
      <c r="F725" s="26"/>
      <c r="G725" s="26"/>
      <c r="H725" s="147"/>
      <c r="I725" s="26"/>
      <c r="J725" s="26"/>
      <c r="K725" s="26"/>
      <c r="L725" s="26"/>
      <c r="M725" s="26"/>
      <c r="N725" s="148"/>
      <c r="O725" s="26"/>
      <c r="P725" s="26"/>
      <c r="Q725" s="26"/>
      <c r="R725" s="435"/>
      <c r="S725" s="136"/>
      <c r="T725" s="26"/>
      <c r="U725" s="45"/>
      <c r="V725" s="26"/>
      <c r="W725" s="26"/>
    </row>
    <row r="726" spans="1:23" x14ac:dyDescent="0.35">
      <c r="A726" s="26"/>
      <c r="B726" s="1016"/>
      <c r="C726" s="26"/>
      <c r="D726" s="26"/>
      <c r="E726" s="44"/>
      <c r="F726" s="26"/>
      <c r="G726" s="26"/>
      <c r="H726" s="147"/>
      <c r="I726" s="26"/>
      <c r="J726" s="26"/>
      <c r="K726" s="26"/>
      <c r="L726" s="26"/>
      <c r="M726" s="26"/>
      <c r="N726" s="148"/>
      <c r="O726" s="26"/>
      <c r="P726" s="26"/>
      <c r="Q726" s="26"/>
      <c r="R726" s="435"/>
      <c r="S726" s="136"/>
      <c r="T726" s="26"/>
      <c r="U726" s="45"/>
      <c r="V726" s="26"/>
      <c r="W726" s="26"/>
    </row>
    <row r="727" spans="1:23" x14ac:dyDescent="0.35">
      <c r="A727" s="26"/>
      <c r="B727" s="1016"/>
      <c r="C727" s="26"/>
      <c r="D727" s="26"/>
      <c r="E727" s="44"/>
      <c r="F727" s="26"/>
      <c r="G727" s="26"/>
      <c r="H727" s="147"/>
      <c r="I727" s="26"/>
      <c r="J727" s="26"/>
      <c r="K727" s="26"/>
      <c r="L727" s="26"/>
      <c r="M727" s="26"/>
      <c r="N727" s="148"/>
      <c r="O727" s="26"/>
      <c r="P727" s="26"/>
      <c r="Q727" s="26"/>
      <c r="R727" s="435"/>
      <c r="S727" s="136"/>
      <c r="T727" s="26"/>
      <c r="U727" s="45"/>
      <c r="V727" s="26"/>
      <c r="W727" s="26"/>
    </row>
    <row r="728" spans="1:23" x14ac:dyDescent="0.35">
      <c r="A728" s="26"/>
      <c r="B728" s="1016"/>
      <c r="C728" s="26"/>
      <c r="D728" s="26"/>
      <c r="E728" s="44"/>
      <c r="F728" s="26"/>
      <c r="G728" s="26"/>
      <c r="H728" s="147"/>
      <c r="I728" s="26"/>
      <c r="J728" s="26"/>
      <c r="K728" s="26"/>
      <c r="L728" s="26"/>
      <c r="M728" s="26"/>
      <c r="N728" s="148"/>
      <c r="O728" s="26"/>
      <c r="P728" s="26"/>
      <c r="Q728" s="26"/>
      <c r="R728" s="435"/>
      <c r="S728" s="136"/>
      <c r="T728" s="26"/>
      <c r="U728" s="45"/>
      <c r="V728" s="26"/>
      <c r="W728" s="26"/>
    </row>
    <row r="729" spans="1:23" x14ac:dyDescent="0.35">
      <c r="A729" s="26"/>
      <c r="B729" s="1016"/>
      <c r="C729" s="26"/>
      <c r="D729" s="26"/>
      <c r="E729" s="44"/>
      <c r="F729" s="26"/>
      <c r="G729" s="26"/>
      <c r="H729" s="147"/>
      <c r="I729" s="26"/>
      <c r="J729" s="26"/>
      <c r="K729" s="26"/>
      <c r="L729" s="26"/>
      <c r="M729" s="26"/>
      <c r="N729" s="148"/>
      <c r="O729" s="26"/>
      <c r="P729" s="26"/>
      <c r="Q729" s="26"/>
      <c r="R729" s="435"/>
      <c r="S729" s="136"/>
      <c r="T729" s="26"/>
      <c r="U729" s="45"/>
      <c r="V729" s="26"/>
      <c r="W729" s="26"/>
    </row>
    <row r="730" spans="1:23" x14ac:dyDescent="0.35">
      <c r="A730" s="26"/>
      <c r="B730" s="1016"/>
      <c r="C730" s="26"/>
      <c r="D730" s="26"/>
      <c r="E730" s="44"/>
      <c r="F730" s="26"/>
      <c r="G730" s="26"/>
      <c r="H730" s="147"/>
      <c r="I730" s="26"/>
      <c r="J730" s="26"/>
      <c r="K730" s="26"/>
      <c r="L730" s="26"/>
      <c r="M730" s="26"/>
      <c r="N730" s="148"/>
      <c r="O730" s="26"/>
      <c r="P730" s="26"/>
      <c r="Q730" s="26"/>
      <c r="R730" s="435"/>
      <c r="S730" s="136"/>
      <c r="T730" s="26"/>
      <c r="U730" s="45"/>
      <c r="V730" s="26"/>
      <c r="W730" s="26"/>
    </row>
    <row r="731" spans="1:23" x14ac:dyDescent="0.35">
      <c r="A731" s="26"/>
      <c r="B731" s="1016"/>
      <c r="C731" s="26"/>
      <c r="D731" s="26"/>
      <c r="E731" s="44"/>
      <c r="F731" s="26"/>
      <c r="G731" s="26"/>
      <c r="H731" s="147"/>
      <c r="I731" s="26"/>
      <c r="J731" s="26"/>
      <c r="K731" s="26"/>
      <c r="L731" s="26"/>
      <c r="M731" s="26"/>
      <c r="N731" s="148"/>
      <c r="O731" s="26"/>
      <c r="P731" s="26"/>
      <c r="Q731" s="26"/>
      <c r="R731" s="435"/>
      <c r="S731" s="136"/>
      <c r="T731" s="26"/>
      <c r="U731" s="45"/>
      <c r="V731" s="26"/>
      <c r="W731" s="26"/>
    </row>
    <row r="732" spans="1:23" x14ac:dyDescent="0.35">
      <c r="A732" s="26"/>
      <c r="B732" s="1016"/>
      <c r="C732" s="26"/>
      <c r="D732" s="26"/>
      <c r="E732" s="44"/>
      <c r="F732" s="26"/>
      <c r="G732" s="26"/>
      <c r="H732" s="147"/>
      <c r="I732" s="26"/>
      <c r="J732" s="26"/>
      <c r="K732" s="26"/>
      <c r="L732" s="26"/>
      <c r="M732" s="26"/>
      <c r="N732" s="148"/>
      <c r="O732" s="26"/>
      <c r="P732" s="26"/>
      <c r="Q732" s="26"/>
      <c r="R732" s="435"/>
      <c r="S732" s="136"/>
      <c r="T732" s="26"/>
      <c r="U732" s="45"/>
      <c r="V732" s="26"/>
      <c r="W732" s="26"/>
    </row>
    <row r="733" spans="1:23" x14ac:dyDescent="0.35">
      <c r="A733" s="26"/>
      <c r="B733" s="1016"/>
      <c r="C733" s="26"/>
      <c r="D733" s="26"/>
      <c r="E733" s="44"/>
      <c r="F733" s="26"/>
      <c r="G733" s="26"/>
      <c r="H733" s="147"/>
      <c r="I733" s="26"/>
      <c r="J733" s="26"/>
      <c r="K733" s="26"/>
      <c r="L733" s="26"/>
      <c r="M733" s="26"/>
      <c r="N733" s="148"/>
      <c r="O733" s="26"/>
      <c r="P733" s="26"/>
      <c r="Q733" s="26"/>
      <c r="R733" s="435"/>
      <c r="S733" s="136"/>
      <c r="T733" s="26"/>
      <c r="U733" s="45"/>
      <c r="V733" s="26"/>
      <c r="W733" s="26"/>
    </row>
    <row r="734" spans="1:23" x14ac:dyDescent="0.35">
      <c r="A734" s="26"/>
      <c r="B734" s="1016"/>
      <c r="C734" s="26"/>
      <c r="D734" s="26"/>
      <c r="E734" s="44"/>
      <c r="F734" s="26"/>
      <c r="G734" s="26"/>
      <c r="H734" s="147"/>
      <c r="I734" s="26"/>
      <c r="J734" s="26"/>
      <c r="K734" s="26"/>
      <c r="L734" s="26"/>
      <c r="M734" s="26"/>
      <c r="N734" s="148"/>
      <c r="O734" s="26"/>
      <c r="P734" s="26"/>
      <c r="Q734" s="26"/>
      <c r="R734" s="435"/>
      <c r="S734" s="136"/>
      <c r="T734" s="26"/>
      <c r="U734" s="45"/>
      <c r="V734" s="26"/>
      <c r="W734" s="26"/>
    </row>
    <row r="735" spans="1:23" x14ac:dyDescent="0.35">
      <c r="A735" s="26"/>
      <c r="B735" s="1016"/>
      <c r="C735" s="26"/>
      <c r="D735" s="26"/>
      <c r="E735" s="44"/>
      <c r="F735" s="26"/>
      <c r="G735" s="26"/>
      <c r="H735" s="147"/>
      <c r="I735" s="26"/>
      <c r="J735" s="26"/>
      <c r="K735" s="26"/>
      <c r="L735" s="26"/>
      <c r="M735" s="26"/>
      <c r="N735" s="148"/>
      <c r="O735" s="26"/>
      <c r="P735" s="26"/>
      <c r="Q735" s="26"/>
      <c r="R735" s="435"/>
      <c r="S735" s="136"/>
      <c r="T735" s="26"/>
      <c r="U735" s="45"/>
      <c r="V735" s="26"/>
      <c r="W735" s="26"/>
    </row>
    <row r="736" spans="1:23" x14ac:dyDescent="0.35">
      <c r="A736" s="26"/>
      <c r="B736" s="1016"/>
      <c r="C736" s="26"/>
      <c r="D736" s="26"/>
      <c r="E736" s="44"/>
      <c r="F736" s="26"/>
      <c r="G736" s="26"/>
      <c r="H736" s="147"/>
      <c r="I736" s="26"/>
      <c r="J736" s="26"/>
      <c r="K736" s="26"/>
      <c r="L736" s="26"/>
      <c r="M736" s="26"/>
      <c r="N736" s="148"/>
      <c r="O736" s="26"/>
      <c r="P736" s="26"/>
      <c r="Q736" s="26"/>
      <c r="R736" s="435"/>
      <c r="S736" s="136"/>
      <c r="T736" s="26"/>
      <c r="U736" s="45"/>
      <c r="V736" s="26"/>
      <c r="W736" s="26"/>
    </row>
    <row r="737" spans="1:23" x14ac:dyDescent="0.35">
      <c r="A737" s="26"/>
      <c r="B737" s="1016"/>
      <c r="C737" s="26"/>
      <c r="D737" s="26"/>
      <c r="E737" s="44"/>
      <c r="F737" s="26"/>
      <c r="G737" s="26"/>
      <c r="H737" s="147"/>
      <c r="I737" s="26"/>
      <c r="J737" s="26"/>
      <c r="K737" s="26"/>
      <c r="L737" s="26"/>
      <c r="M737" s="26"/>
      <c r="N737" s="148"/>
      <c r="O737" s="26"/>
      <c r="P737" s="26"/>
      <c r="Q737" s="26"/>
      <c r="R737" s="435"/>
      <c r="S737" s="136"/>
      <c r="T737" s="26"/>
      <c r="U737" s="45"/>
      <c r="V737" s="26"/>
      <c r="W737" s="26"/>
    </row>
    <row r="738" spans="1:23" x14ac:dyDescent="0.35">
      <c r="A738" s="26"/>
      <c r="B738" s="1016"/>
      <c r="C738" s="26"/>
      <c r="D738" s="26"/>
      <c r="E738" s="44"/>
      <c r="F738" s="26"/>
      <c r="G738" s="26"/>
      <c r="H738" s="147"/>
      <c r="I738" s="26"/>
      <c r="J738" s="26"/>
      <c r="K738" s="26"/>
      <c r="L738" s="26"/>
      <c r="M738" s="26"/>
      <c r="N738" s="148"/>
      <c r="O738" s="26"/>
      <c r="P738" s="26"/>
      <c r="Q738" s="26"/>
      <c r="R738" s="435"/>
      <c r="S738" s="136"/>
      <c r="T738" s="26"/>
      <c r="U738" s="45"/>
      <c r="V738" s="26"/>
      <c r="W738" s="26"/>
    </row>
    <row r="739" spans="1:23" x14ac:dyDescent="0.35">
      <c r="A739" s="26"/>
      <c r="B739" s="1016"/>
      <c r="C739" s="26"/>
      <c r="D739" s="26"/>
      <c r="E739" s="44"/>
      <c r="F739" s="26"/>
      <c r="G739" s="26"/>
      <c r="H739" s="147"/>
      <c r="I739" s="26"/>
      <c r="J739" s="26"/>
      <c r="K739" s="26"/>
      <c r="L739" s="26"/>
      <c r="M739" s="26"/>
      <c r="N739" s="148"/>
      <c r="O739" s="26"/>
      <c r="P739" s="26"/>
      <c r="Q739" s="26"/>
      <c r="R739" s="435"/>
      <c r="S739" s="136"/>
      <c r="T739" s="26"/>
      <c r="U739" s="45"/>
      <c r="V739" s="26"/>
      <c r="W739" s="26"/>
    </row>
    <row r="740" spans="1:23" x14ac:dyDescent="0.35">
      <c r="A740" s="26"/>
      <c r="B740" s="1016"/>
      <c r="C740" s="26"/>
      <c r="D740" s="26"/>
      <c r="E740" s="44"/>
      <c r="F740" s="26"/>
      <c r="G740" s="26"/>
      <c r="H740" s="147"/>
      <c r="I740" s="26"/>
      <c r="J740" s="26"/>
      <c r="K740" s="26"/>
      <c r="L740" s="26"/>
      <c r="M740" s="26"/>
      <c r="N740" s="148"/>
      <c r="O740" s="26"/>
      <c r="P740" s="26"/>
      <c r="Q740" s="26"/>
      <c r="R740" s="435"/>
      <c r="S740" s="136"/>
      <c r="T740" s="26"/>
      <c r="U740" s="45"/>
      <c r="V740" s="26"/>
      <c r="W740" s="26"/>
    </row>
    <row r="741" spans="1:23" x14ac:dyDescent="0.35">
      <c r="A741" s="26"/>
      <c r="B741" s="1016"/>
      <c r="C741" s="26"/>
      <c r="D741" s="26"/>
      <c r="E741" s="44"/>
      <c r="F741" s="26"/>
      <c r="G741" s="26"/>
      <c r="H741" s="147"/>
      <c r="I741" s="26"/>
      <c r="J741" s="26"/>
      <c r="K741" s="26"/>
      <c r="L741" s="26"/>
      <c r="M741" s="26"/>
      <c r="N741" s="148"/>
      <c r="O741" s="26"/>
      <c r="P741" s="26"/>
      <c r="Q741" s="26"/>
      <c r="R741" s="435"/>
      <c r="S741" s="136"/>
      <c r="T741" s="26"/>
      <c r="U741" s="45"/>
      <c r="V741" s="26"/>
      <c r="W741" s="26"/>
    </row>
    <row r="742" spans="1:23" x14ac:dyDescent="0.35">
      <c r="A742" s="26"/>
      <c r="B742" s="1016"/>
      <c r="C742" s="26"/>
      <c r="D742" s="26"/>
      <c r="E742" s="44"/>
      <c r="F742" s="26"/>
      <c r="G742" s="26"/>
      <c r="H742" s="147"/>
      <c r="I742" s="26"/>
      <c r="J742" s="26"/>
      <c r="K742" s="26"/>
      <c r="L742" s="26"/>
      <c r="M742" s="26"/>
      <c r="N742" s="148"/>
      <c r="O742" s="26"/>
      <c r="P742" s="26"/>
      <c r="Q742" s="26"/>
      <c r="R742" s="435"/>
      <c r="S742" s="136"/>
      <c r="T742" s="26"/>
      <c r="U742" s="45"/>
      <c r="V742" s="26"/>
      <c r="W742" s="26"/>
    </row>
    <row r="743" spans="1:23" x14ac:dyDescent="0.35">
      <c r="A743" s="26"/>
      <c r="B743" s="1016"/>
      <c r="C743" s="26"/>
      <c r="D743" s="26"/>
      <c r="E743" s="44"/>
      <c r="F743" s="26"/>
      <c r="G743" s="26"/>
      <c r="H743" s="147"/>
      <c r="I743" s="26"/>
      <c r="J743" s="26"/>
      <c r="K743" s="26"/>
      <c r="L743" s="26"/>
      <c r="M743" s="26"/>
      <c r="N743" s="148"/>
      <c r="O743" s="26"/>
      <c r="P743" s="26"/>
      <c r="Q743" s="26"/>
      <c r="R743" s="435"/>
      <c r="S743" s="136"/>
      <c r="T743" s="26"/>
      <c r="U743" s="45"/>
      <c r="V743" s="26"/>
      <c r="W743" s="26"/>
    </row>
    <row r="744" spans="1:23" x14ac:dyDescent="0.35">
      <c r="A744" s="26"/>
      <c r="B744" s="1016"/>
      <c r="C744" s="26"/>
      <c r="D744" s="26"/>
      <c r="E744" s="44"/>
      <c r="F744" s="26"/>
      <c r="G744" s="26"/>
      <c r="H744" s="147"/>
      <c r="I744" s="26"/>
      <c r="J744" s="26"/>
      <c r="K744" s="26"/>
      <c r="L744" s="26"/>
      <c r="M744" s="26"/>
      <c r="N744" s="148"/>
      <c r="O744" s="26"/>
      <c r="P744" s="26"/>
      <c r="Q744" s="26"/>
      <c r="R744" s="435"/>
      <c r="S744" s="136"/>
      <c r="T744" s="26"/>
      <c r="U744" s="45"/>
      <c r="V744" s="26"/>
      <c r="W744" s="26"/>
    </row>
    <row r="745" spans="1:23" x14ac:dyDescent="0.35">
      <c r="A745" s="26"/>
      <c r="B745" s="1016"/>
      <c r="C745" s="26"/>
      <c r="D745" s="26"/>
      <c r="E745" s="44"/>
      <c r="F745" s="26"/>
      <c r="G745" s="26"/>
      <c r="H745" s="147"/>
      <c r="I745" s="26"/>
      <c r="J745" s="26"/>
      <c r="K745" s="26"/>
      <c r="L745" s="26"/>
      <c r="M745" s="26"/>
      <c r="N745" s="148"/>
      <c r="O745" s="26"/>
      <c r="P745" s="26"/>
      <c r="Q745" s="26"/>
      <c r="R745" s="435"/>
      <c r="S745" s="136"/>
      <c r="T745" s="26"/>
      <c r="U745" s="45"/>
      <c r="V745" s="26"/>
      <c r="W745" s="26"/>
    </row>
    <row r="746" spans="1:23" x14ac:dyDescent="0.35">
      <c r="A746" s="26"/>
      <c r="B746" s="1016"/>
      <c r="C746" s="26"/>
      <c r="D746" s="26"/>
      <c r="E746" s="44"/>
      <c r="F746" s="26"/>
      <c r="G746" s="26"/>
      <c r="H746" s="147"/>
      <c r="I746" s="26"/>
      <c r="J746" s="26"/>
      <c r="K746" s="26"/>
      <c r="L746" s="26"/>
      <c r="M746" s="26"/>
      <c r="N746" s="148"/>
      <c r="O746" s="26"/>
      <c r="P746" s="26"/>
      <c r="Q746" s="26"/>
      <c r="R746" s="435"/>
      <c r="S746" s="136"/>
      <c r="T746" s="26"/>
      <c r="U746" s="45"/>
      <c r="V746" s="26"/>
      <c r="W746" s="26"/>
    </row>
    <row r="747" spans="1:23" x14ac:dyDescent="0.35">
      <c r="A747" s="26"/>
      <c r="B747" s="1016"/>
      <c r="C747" s="26"/>
      <c r="D747" s="26"/>
      <c r="E747" s="44"/>
      <c r="F747" s="26"/>
      <c r="G747" s="26"/>
      <c r="H747" s="147"/>
      <c r="I747" s="26"/>
      <c r="J747" s="26"/>
      <c r="K747" s="26"/>
      <c r="L747" s="26"/>
      <c r="M747" s="26"/>
      <c r="N747" s="148"/>
      <c r="O747" s="26"/>
      <c r="P747" s="26"/>
      <c r="Q747" s="26"/>
      <c r="R747" s="435"/>
      <c r="S747" s="136"/>
      <c r="T747" s="26"/>
      <c r="U747" s="45"/>
      <c r="V747" s="26"/>
      <c r="W747" s="26"/>
    </row>
    <row r="748" spans="1:23" x14ac:dyDescent="0.35">
      <c r="A748" s="26"/>
      <c r="B748" s="1016"/>
      <c r="C748" s="26"/>
      <c r="D748" s="26"/>
      <c r="E748" s="44"/>
      <c r="F748" s="26"/>
      <c r="G748" s="26"/>
      <c r="H748" s="147"/>
      <c r="I748" s="26"/>
      <c r="J748" s="26"/>
      <c r="K748" s="26"/>
      <c r="L748" s="26"/>
      <c r="M748" s="26"/>
      <c r="N748" s="148"/>
      <c r="O748" s="26"/>
      <c r="P748" s="26"/>
      <c r="Q748" s="26"/>
      <c r="R748" s="435"/>
      <c r="S748" s="136"/>
      <c r="T748" s="26"/>
      <c r="U748" s="45"/>
      <c r="V748" s="26"/>
      <c r="W748" s="26"/>
    </row>
    <row r="749" spans="1:23" x14ac:dyDescent="0.35">
      <c r="A749" s="26"/>
      <c r="B749" s="1016"/>
      <c r="C749" s="26"/>
      <c r="D749" s="26"/>
      <c r="E749" s="44"/>
      <c r="F749" s="26"/>
      <c r="G749" s="26"/>
      <c r="H749" s="147"/>
      <c r="I749" s="26"/>
      <c r="J749" s="26"/>
      <c r="K749" s="26"/>
      <c r="L749" s="26"/>
      <c r="M749" s="26"/>
      <c r="N749" s="148"/>
      <c r="O749" s="26"/>
      <c r="P749" s="26"/>
      <c r="Q749" s="26"/>
      <c r="R749" s="435"/>
      <c r="S749" s="136"/>
      <c r="T749" s="26"/>
      <c r="U749" s="45"/>
      <c r="V749" s="26"/>
      <c r="W749" s="26"/>
    </row>
    <row r="750" spans="1:23" x14ac:dyDescent="0.35">
      <c r="A750" s="26"/>
      <c r="B750" s="1016"/>
      <c r="C750" s="26"/>
      <c r="D750" s="26"/>
      <c r="E750" s="44"/>
      <c r="F750" s="26"/>
      <c r="G750" s="26"/>
      <c r="H750" s="147"/>
      <c r="I750" s="26"/>
      <c r="J750" s="26"/>
      <c r="K750" s="26"/>
      <c r="L750" s="26"/>
      <c r="M750" s="26"/>
      <c r="N750" s="148"/>
      <c r="O750" s="26"/>
      <c r="P750" s="26"/>
      <c r="Q750" s="26"/>
      <c r="R750" s="435"/>
      <c r="S750" s="136"/>
      <c r="T750" s="26"/>
      <c r="U750" s="45"/>
      <c r="V750" s="26"/>
      <c r="W750" s="26"/>
    </row>
    <row r="751" spans="1:23" x14ac:dyDescent="0.35">
      <c r="A751" s="26"/>
      <c r="B751" s="1016"/>
      <c r="C751" s="26"/>
      <c r="D751" s="26"/>
      <c r="E751" s="44"/>
      <c r="F751" s="26"/>
      <c r="G751" s="26"/>
      <c r="H751" s="147"/>
      <c r="I751" s="26"/>
      <c r="J751" s="26"/>
      <c r="K751" s="26"/>
      <c r="L751" s="26"/>
      <c r="M751" s="26"/>
      <c r="N751" s="148"/>
      <c r="O751" s="26"/>
      <c r="P751" s="26"/>
      <c r="Q751" s="26"/>
      <c r="R751" s="435"/>
      <c r="S751" s="136"/>
      <c r="T751" s="26"/>
      <c r="U751" s="45"/>
      <c r="V751" s="26"/>
      <c r="W751" s="26"/>
    </row>
    <row r="752" spans="1:23" x14ac:dyDescent="0.35">
      <c r="A752" s="26"/>
      <c r="B752" s="1016"/>
      <c r="C752" s="26"/>
      <c r="D752" s="26"/>
      <c r="E752" s="44"/>
      <c r="F752" s="26"/>
      <c r="G752" s="26"/>
      <c r="H752" s="147"/>
      <c r="I752" s="26"/>
      <c r="J752" s="26"/>
      <c r="K752" s="26"/>
      <c r="L752" s="26"/>
      <c r="M752" s="26"/>
      <c r="N752" s="148"/>
      <c r="O752" s="26"/>
      <c r="P752" s="26"/>
      <c r="Q752" s="26"/>
      <c r="R752" s="435"/>
      <c r="S752" s="136"/>
      <c r="T752" s="26"/>
      <c r="U752" s="45"/>
      <c r="V752" s="26"/>
      <c r="W752" s="26"/>
    </row>
    <row r="753" spans="1:23" x14ac:dyDescent="0.35">
      <c r="A753" s="26"/>
      <c r="B753" s="1016"/>
      <c r="C753" s="26"/>
      <c r="D753" s="26"/>
      <c r="E753" s="44"/>
      <c r="F753" s="26"/>
      <c r="G753" s="26"/>
      <c r="H753" s="147"/>
      <c r="I753" s="26"/>
      <c r="J753" s="26"/>
      <c r="K753" s="26"/>
      <c r="L753" s="26"/>
      <c r="M753" s="26"/>
      <c r="N753" s="148"/>
      <c r="O753" s="26"/>
      <c r="P753" s="26"/>
      <c r="Q753" s="26"/>
      <c r="R753" s="435"/>
      <c r="S753" s="136"/>
      <c r="T753" s="26"/>
      <c r="U753" s="45"/>
      <c r="V753" s="26"/>
      <c r="W753" s="26"/>
    </row>
    <row r="754" spans="1:23" x14ac:dyDescent="0.35">
      <c r="A754" s="26"/>
      <c r="B754" s="1016"/>
      <c r="C754" s="26"/>
      <c r="D754" s="26"/>
      <c r="E754" s="44"/>
      <c r="F754" s="26"/>
      <c r="G754" s="26"/>
      <c r="H754" s="147"/>
      <c r="I754" s="26"/>
      <c r="J754" s="26"/>
      <c r="K754" s="26"/>
      <c r="L754" s="26"/>
      <c r="M754" s="26"/>
      <c r="N754" s="148"/>
      <c r="O754" s="26"/>
      <c r="P754" s="26"/>
      <c r="Q754" s="26"/>
      <c r="R754" s="435"/>
      <c r="S754" s="136"/>
      <c r="T754" s="26"/>
      <c r="U754" s="45"/>
      <c r="V754" s="26"/>
      <c r="W754" s="26"/>
    </row>
    <row r="755" spans="1:23" x14ac:dyDescent="0.35">
      <c r="A755" s="26"/>
      <c r="B755" s="1016"/>
      <c r="C755" s="26"/>
      <c r="D755" s="26"/>
      <c r="E755" s="44"/>
      <c r="F755" s="26"/>
      <c r="G755" s="26"/>
      <c r="H755" s="147"/>
      <c r="I755" s="26"/>
      <c r="J755" s="26"/>
      <c r="K755" s="26"/>
      <c r="L755" s="26"/>
      <c r="M755" s="26"/>
      <c r="N755" s="148"/>
      <c r="O755" s="26"/>
      <c r="P755" s="26"/>
      <c r="Q755" s="26"/>
      <c r="R755" s="435"/>
      <c r="S755" s="136"/>
      <c r="T755" s="26"/>
      <c r="U755" s="45"/>
      <c r="V755" s="26"/>
      <c r="W755" s="26"/>
    </row>
    <row r="756" spans="1:23" x14ac:dyDescent="0.35">
      <c r="A756" s="26"/>
      <c r="B756" s="1016"/>
      <c r="C756" s="26"/>
      <c r="D756" s="26"/>
      <c r="E756" s="44"/>
      <c r="F756" s="26"/>
      <c r="G756" s="26"/>
      <c r="H756" s="147"/>
      <c r="I756" s="26"/>
      <c r="J756" s="26"/>
      <c r="K756" s="26"/>
      <c r="L756" s="26"/>
      <c r="M756" s="26"/>
      <c r="N756" s="148"/>
      <c r="O756" s="26"/>
      <c r="P756" s="26"/>
      <c r="Q756" s="26"/>
      <c r="R756" s="435"/>
      <c r="S756" s="136"/>
      <c r="T756" s="26"/>
      <c r="U756" s="45"/>
      <c r="V756" s="26"/>
      <c r="W756" s="26"/>
    </row>
    <row r="757" spans="1:23" x14ac:dyDescent="0.35">
      <c r="A757" s="26"/>
      <c r="B757" s="1016"/>
      <c r="C757" s="26"/>
      <c r="D757" s="26"/>
      <c r="E757" s="44"/>
      <c r="F757" s="26"/>
      <c r="G757" s="26"/>
      <c r="H757" s="147"/>
      <c r="I757" s="26"/>
      <c r="J757" s="26"/>
      <c r="K757" s="26"/>
      <c r="L757" s="26"/>
      <c r="M757" s="26"/>
      <c r="N757" s="148"/>
      <c r="O757" s="26"/>
      <c r="P757" s="26"/>
      <c r="Q757" s="26"/>
      <c r="R757" s="435"/>
      <c r="S757" s="136"/>
      <c r="T757" s="26"/>
      <c r="U757" s="45"/>
      <c r="V757" s="26"/>
      <c r="W757" s="26"/>
    </row>
    <row r="758" spans="1:23" x14ac:dyDescent="0.35">
      <c r="A758" s="26"/>
      <c r="B758" s="1016"/>
      <c r="C758" s="26"/>
      <c r="D758" s="26"/>
      <c r="E758" s="44"/>
      <c r="F758" s="26"/>
      <c r="G758" s="26"/>
      <c r="H758" s="147"/>
      <c r="I758" s="26"/>
      <c r="J758" s="26"/>
      <c r="K758" s="26"/>
      <c r="L758" s="26"/>
      <c r="M758" s="26"/>
      <c r="N758" s="148"/>
      <c r="O758" s="26"/>
      <c r="P758" s="26"/>
      <c r="Q758" s="26"/>
      <c r="R758" s="435"/>
      <c r="S758" s="136"/>
      <c r="T758" s="26"/>
      <c r="U758" s="45"/>
      <c r="V758" s="26"/>
      <c r="W758" s="26"/>
    </row>
    <row r="759" spans="1:23" x14ac:dyDescent="0.35">
      <c r="A759" s="26"/>
      <c r="B759" s="1016"/>
      <c r="C759" s="26"/>
      <c r="D759" s="26"/>
      <c r="E759" s="44"/>
      <c r="F759" s="26"/>
      <c r="G759" s="26"/>
      <c r="H759" s="147"/>
      <c r="I759" s="26"/>
      <c r="J759" s="26"/>
      <c r="K759" s="26"/>
      <c r="L759" s="26"/>
      <c r="M759" s="26"/>
      <c r="N759" s="148"/>
      <c r="O759" s="26"/>
      <c r="P759" s="26"/>
      <c r="Q759" s="26"/>
      <c r="R759" s="435"/>
      <c r="S759" s="136"/>
      <c r="T759" s="26"/>
      <c r="U759" s="45"/>
      <c r="V759" s="26"/>
      <c r="W759" s="26"/>
    </row>
    <row r="760" spans="1:23" x14ac:dyDescent="0.35">
      <c r="A760" s="26"/>
      <c r="B760" s="1016"/>
      <c r="C760" s="26"/>
      <c r="D760" s="26"/>
      <c r="E760" s="44"/>
      <c r="F760" s="26"/>
      <c r="G760" s="26"/>
      <c r="H760" s="147"/>
      <c r="I760" s="26"/>
      <c r="J760" s="26"/>
      <c r="K760" s="26"/>
      <c r="L760" s="26"/>
      <c r="M760" s="26"/>
      <c r="N760" s="148"/>
      <c r="O760" s="26"/>
      <c r="P760" s="26"/>
      <c r="Q760" s="26"/>
      <c r="R760" s="435"/>
      <c r="S760" s="136"/>
      <c r="T760" s="26"/>
      <c r="U760" s="45"/>
      <c r="V760" s="26"/>
      <c r="W760" s="26"/>
    </row>
    <row r="761" spans="1:23" x14ac:dyDescent="0.35">
      <c r="A761" s="26"/>
      <c r="B761" s="1016"/>
      <c r="C761" s="26"/>
      <c r="D761" s="26"/>
      <c r="E761" s="44"/>
      <c r="F761" s="26"/>
      <c r="G761" s="26"/>
      <c r="H761" s="147"/>
      <c r="I761" s="26"/>
      <c r="J761" s="26"/>
      <c r="K761" s="26"/>
      <c r="L761" s="26"/>
      <c r="M761" s="26"/>
      <c r="N761" s="148"/>
      <c r="O761" s="26"/>
      <c r="P761" s="26"/>
      <c r="Q761" s="26"/>
      <c r="R761" s="435"/>
      <c r="S761" s="136"/>
      <c r="T761" s="26"/>
      <c r="U761" s="45"/>
      <c r="V761" s="26"/>
      <c r="W761" s="26"/>
    </row>
    <row r="762" spans="1:23" x14ac:dyDescent="0.35">
      <c r="A762" s="26"/>
      <c r="B762" s="1016"/>
      <c r="C762" s="26"/>
      <c r="D762" s="26"/>
      <c r="E762" s="44"/>
      <c r="F762" s="26"/>
      <c r="G762" s="26"/>
      <c r="H762" s="147"/>
      <c r="I762" s="26"/>
      <c r="J762" s="26"/>
      <c r="K762" s="26"/>
      <c r="L762" s="26"/>
      <c r="M762" s="26"/>
      <c r="N762" s="148"/>
      <c r="O762" s="26"/>
      <c r="P762" s="26"/>
      <c r="Q762" s="26"/>
      <c r="R762" s="435"/>
      <c r="S762" s="136"/>
      <c r="T762" s="26"/>
      <c r="U762" s="45"/>
      <c r="V762" s="26"/>
      <c r="W762" s="26"/>
    </row>
    <row r="763" spans="1:23" x14ac:dyDescent="0.35">
      <c r="A763" s="26"/>
      <c r="B763" s="1016"/>
      <c r="C763" s="26"/>
      <c r="D763" s="26"/>
      <c r="E763" s="44"/>
      <c r="F763" s="26"/>
      <c r="G763" s="26"/>
      <c r="H763" s="147"/>
      <c r="I763" s="26"/>
      <c r="J763" s="26"/>
      <c r="K763" s="26"/>
      <c r="L763" s="26"/>
      <c r="M763" s="26"/>
      <c r="N763" s="148"/>
      <c r="O763" s="26"/>
      <c r="P763" s="26"/>
      <c r="Q763" s="26"/>
      <c r="R763" s="435"/>
      <c r="S763" s="136"/>
      <c r="T763" s="26"/>
      <c r="U763" s="45"/>
      <c r="V763" s="26"/>
      <c r="W763" s="26"/>
    </row>
    <row r="764" spans="1:23" x14ac:dyDescent="0.35">
      <c r="A764" s="26"/>
      <c r="B764" s="1016"/>
      <c r="C764" s="26"/>
      <c r="D764" s="26"/>
      <c r="E764" s="44"/>
      <c r="F764" s="26"/>
      <c r="G764" s="26"/>
      <c r="H764" s="147"/>
      <c r="I764" s="26"/>
      <c r="J764" s="26"/>
      <c r="K764" s="26"/>
      <c r="L764" s="26"/>
      <c r="M764" s="26"/>
      <c r="N764" s="148"/>
      <c r="O764" s="26"/>
      <c r="P764" s="26"/>
      <c r="Q764" s="26"/>
      <c r="R764" s="435"/>
      <c r="S764" s="136"/>
      <c r="T764" s="26"/>
      <c r="U764" s="45"/>
      <c r="V764" s="26"/>
      <c r="W764" s="26"/>
    </row>
    <row r="765" spans="1:23" x14ac:dyDescent="0.35">
      <c r="A765" s="26"/>
      <c r="B765" s="1016"/>
      <c r="C765" s="26"/>
      <c r="D765" s="26"/>
      <c r="E765" s="44"/>
      <c r="F765" s="26"/>
      <c r="G765" s="26"/>
      <c r="H765" s="147"/>
      <c r="I765" s="26"/>
      <c r="J765" s="26"/>
      <c r="K765" s="26"/>
      <c r="L765" s="26"/>
      <c r="M765" s="26"/>
      <c r="N765" s="148"/>
      <c r="O765" s="26"/>
      <c r="P765" s="26"/>
      <c r="Q765" s="26"/>
      <c r="R765" s="435"/>
      <c r="S765" s="136"/>
      <c r="T765" s="26"/>
      <c r="U765" s="45"/>
      <c r="V765" s="26"/>
      <c r="W765" s="26"/>
    </row>
    <row r="766" spans="1:23" x14ac:dyDescent="0.35">
      <c r="A766" s="26"/>
      <c r="B766" s="1016"/>
      <c r="C766" s="26"/>
      <c r="D766" s="26"/>
      <c r="E766" s="44"/>
      <c r="F766" s="26"/>
      <c r="G766" s="26"/>
      <c r="H766" s="147"/>
      <c r="I766" s="26"/>
      <c r="J766" s="26"/>
      <c r="K766" s="26"/>
      <c r="L766" s="26"/>
      <c r="M766" s="26"/>
      <c r="N766" s="148"/>
      <c r="O766" s="26"/>
      <c r="P766" s="26"/>
      <c r="Q766" s="26"/>
      <c r="R766" s="435"/>
      <c r="S766" s="136"/>
      <c r="T766" s="26"/>
      <c r="U766" s="45"/>
      <c r="V766" s="26"/>
      <c r="W766" s="26"/>
    </row>
    <row r="767" spans="1:23" x14ac:dyDescent="0.35">
      <c r="A767" s="26"/>
      <c r="B767" s="1016"/>
      <c r="C767" s="26"/>
      <c r="D767" s="26"/>
      <c r="E767" s="44"/>
      <c r="F767" s="26"/>
      <c r="G767" s="26"/>
      <c r="H767" s="147"/>
      <c r="I767" s="26"/>
      <c r="J767" s="26"/>
      <c r="K767" s="26"/>
      <c r="L767" s="26"/>
      <c r="M767" s="26"/>
      <c r="N767" s="148"/>
      <c r="O767" s="26"/>
      <c r="P767" s="26"/>
      <c r="Q767" s="26"/>
      <c r="R767" s="435"/>
      <c r="S767" s="136"/>
      <c r="T767" s="26"/>
      <c r="U767" s="45"/>
      <c r="V767" s="26"/>
      <c r="W767" s="26"/>
    </row>
    <row r="768" spans="1:23" x14ac:dyDescent="0.35">
      <c r="A768" s="26"/>
      <c r="B768" s="1016"/>
      <c r="C768" s="26"/>
      <c r="D768" s="26"/>
      <c r="E768" s="44"/>
      <c r="F768" s="26"/>
      <c r="G768" s="26"/>
      <c r="H768" s="147"/>
      <c r="I768" s="26"/>
      <c r="J768" s="26"/>
      <c r="K768" s="26"/>
      <c r="L768" s="26"/>
      <c r="M768" s="26"/>
      <c r="N768" s="148"/>
      <c r="O768" s="26"/>
      <c r="P768" s="26"/>
      <c r="Q768" s="26"/>
      <c r="R768" s="435"/>
      <c r="S768" s="136"/>
      <c r="T768" s="26"/>
      <c r="U768" s="45"/>
      <c r="V768" s="26"/>
      <c r="W768" s="26"/>
    </row>
    <row r="769" spans="1:23" x14ac:dyDescent="0.35">
      <c r="A769" s="26"/>
      <c r="B769" s="1016"/>
      <c r="C769" s="26"/>
      <c r="D769" s="26"/>
      <c r="E769" s="44"/>
      <c r="F769" s="26"/>
      <c r="G769" s="26"/>
      <c r="H769" s="147"/>
      <c r="I769" s="26"/>
      <c r="J769" s="26"/>
      <c r="K769" s="26"/>
      <c r="L769" s="26"/>
      <c r="M769" s="26"/>
      <c r="N769" s="148"/>
      <c r="O769" s="26"/>
      <c r="P769" s="26"/>
      <c r="Q769" s="26"/>
      <c r="R769" s="435"/>
      <c r="S769" s="136"/>
      <c r="T769" s="26"/>
      <c r="U769" s="45"/>
      <c r="V769" s="26"/>
      <c r="W769" s="26"/>
    </row>
    <row r="770" spans="1:23" x14ac:dyDescent="0.35">
      <c r="A770" s="26"/>
      <c r="B770" s="1016"/>
      <c r="C770" s="26"/>
      <c r="D770" s="26"/>
      <c r="E770" s="44"/>
      <c r="F770" s="26"/>
      <c r="G770" s="26"/>
      <c r="H770" s="147"/>
      <c r="I770" s="26"/>
      <c r="J770" s="26"/>
      <c r="K770" s="26"/>
      <c r="L770" s="26"/>
      <c r="M770" s="26"/>
      <c r="N770" s="148"/>
      <c r="O770" s="26"/>
      <c r="P770" s="26"/>
      <c r="Q770" s="26"/>
      <c r="R770" s="435"/>
      <c r="S770" s="136"/>
      <c r="T770" s="26"/>
      <c r="U770" s="45"/>
      <c r="V770" s="26"/>
      <c r="W770" s="26"/>
    </row>
    <row r="771" spans="1:23" x14ac:dyDescent="0.35">
      <c r="A771" s="26"/>
      <c r="B771" s="1016"/>
      <c r="C771" s="26"/>
      <c r="D771" s="26"/>
      <c r="E771" s="44"/>
      <c r="F771" s="26"/>
      <c r="G771" s="26"/>
      <c r="H771" s="147"/>
      <c r="I771" s="26"/>
      <c r="J771" s="26"/>
      <c r="K771" s="26"/>
      <c r="L771" s="26"/>
      <c r="M771" s="26"/>
      <c r="N771" s="148"/>
      <c r="O771" s="26"/>
      <c r="P771" s="26"/>
      <c r="Q771" s="26"/>
      <c r="R771" s="435"/>
      <c r="S771" s="136"/>
      <c r="T771" s="26"/>
      <c r="U771" s="45"/>
      <c r="V771" s="26"/>
      <c r="W771" s="26"/>
    </row>
    <row r="772" spans="1:23" x14ac:dyDescent="0.35">
      <c r="A772" s="26"/>
      <c r="B772" s="1016"/>
      <c r="C772" s="26"/>
      <c r="D772" s="26"/>
      <c r="E772" s="44"/>
      <c r="F772" s="26"/>
      <c r="G772" s="26"/>
      <c r="H772" s="147"/>
      <c r="I772" s="26"/>
      <c r="J772" s="26"/>
      <c r="K772" s="26"/>
      <c r="L772" s="26"/>
      <c r="M772" s="26"/>
      <c r="N772" s="148"/>
      <c r="O772" s="26"/>
      <c r="P772" s="26"/>
      <c r="Q772" s="26"/>
      <c r="R772" s="435"/>
      <c r="S772" s="136"/>
      <c r="T772" s="26"/>
      <c r="U772" s="45"/>
      <c r="V772" s="26"/>
      <c r="W772" s="26"/>
    </row>
    <row r="773" spans="1:23" x14ac:dyDescent="0.35">
      <c r="A773" s="26"/>
      <c r="B773" s="1016"/>
      <c r="C773" s="26"/>
      <c r="D773" s="26"/>
      <c r="E773" s="44"/>
      <c r="F773" s="26"/>
      <c r="G773" s="26"/>
      <c r="H773" s="147"/>
      <c r="I773" s="26"/>
      <c r="J773" s="26"/>
      <c r="K773" s="26"/>
      <c r="L773" s="26"/>
      <c r="M773" s="26"/>
      <c r="N773" s="148"/>
      <c r="O773" s="26"/>
      <c r="P773" s="26"/>
      <c r="Q773" s="26"/>
      <c r="R773" s="435"/>
      <c r="S773" s="136"/>
      <c r="T773" s="26"/>
      <c r="U773" s="45"/>
      <c r="V773" s="26"/>
      <c r="W773" s="26"/>
    </row>
    <row r="774" spans="1:23" x14ac:dyDescent="0.35">
      <c r="A774" s="26"/>
      <c r="B774" s="1016"/>
      <c r="C774" s="26"/>
      <c r="D774" s="26"/>
      <c r="E774" s="44"/>
      <c r="F774" s="26"/>
      <c r="G774" s="26"/>
      <c r="H774" s="147"/>
      <c r="I774" s="26"/>
      <c r="J774" s="26"/>
      <c r="K774" s="26"/>
      <c r="L774" s="26"/>
      <c r="M774" s="26"/>
      <c r="N774" s="148"/>
      <c r="O774" s="26"/>
      <c r="P774" s="26"/>
      <c r="Q774" s="26"/>
      <c r="R774" s="435"/>
      <c r="S774" s="136"/>
      <c r="T774" s="26"/>
      <c r="U774" s="45"/>
      <c r="V774" s="26"/>
      <c r="W774" s="26"/>
    </row>
    <row r="775" spans="1:23" x14ac:dyDescent="0.35">
      <c r="A775" s="26"/>
      <c r="B775" s="1016"/>
      <c r="C775" s="26"/>
      <c r="D775" s="26"/>
      <c r="E775" s="44"/>
      <c r="F775" s="26"/>
      <c r="G775" s="26"/>
      <c r="H775" s="147"/>
      <c r="I775" s="26"/>
      <c r="J775" s="26"/>
      <c r="K775" s="26"/>
      <c r="L775" s="26"/>
      <c r="M775" s="26"/>
      <c r="N775" s="148"/>
      <c r="O775" s="26"/>
      <c r="P775" s="26"/>
      <c r="Q775" s="26"/>
      <c r="R775" s="435"/>
      <c r="S775" s="136"/>
      <c r="T775" s="26"/>
      <c r="U775" s="45"/>
      <c r="V775" s="26"/>
      <c r="W775" s="26"/>
    </row>
    <row r="776" spans="1:23" x14ac:dyDescent="0.35">
      <c r="A776" s="26"/>
      <c r="B776" s="1016"/>
      <c r="C776" s="26"/>
      <c r="D776" s="26"/>
      <c r="E776" s="44"/>
      <c r="F776" s="26"/>
      <c r="G776" s="26"/>
      <c r="H776" s="147"/>
      <c r="I776" s="26"/>
      <c r="J776" s="26"/>
      <c r="K776" s="26"/>
      <c r="L776" s="26"/>
      <c r="M776" s="26"/>
      <c r="N776" s="148"/>
      <c r="O776" s="26"/>
      <c r="P776" s="26"/>
      <c r="Q776" s="26"/>
      <c r="R776" s="435"/>
      <c r="S776" s="136"/>
      <c r="T776" s="26"/>
      <c r="U776" s="45"/>
      <c r="V776" s="26"/>
      <c r="W776" s="26"/>
    </row>
    <row r="777" spans="1:23" x14ac:dyDescent="0.35">
      <c r="A777" s="26"/>
      <c r="B777" s="1016"/>
      <c r="C777" s="26"/>
      <c r="D777" s="26"/>
      <c r="E777" s="44"/>
      <c r="F777" s="26"/>
      <c r="G777" s="26"/>
      <c r="H777" s="147"/>
      <c r="I777" s="26"/>
      <c r="J777" s="26"/>
      <c r="K777" s="26"/>
      <c r="L777" s="26"/>
      <c r="M777" s="26"/>
      <c r="N777" s="148"/>
      <c r="O777" s="26"/>
      <c r="P777" s="26"/>
      <c r="Q777" s="26"/>
      <c r="R777" s="435"/>
      <c r="S777" s="136"/>
      <c r="T777" s="26"/>
      <c r="U777" s="45"/>
      <c r="V777" s="26"/>
      <c r="W777" s="26"/>
    </row>
    <row r="778" spans="1:23" x14ac:dyDescent="0.35">
      <c r="A778" s="26"/>
      <c r="B778" s="1016"/>
      <c r="C778" s="26"/>
      <c r="D778" s="26"/>
      <c r="E778" s="44"/>
      <c r="F778" s="26"/>
      <c r="G778" s="26"/>
      <c r="H778" s="147"/>
      <c r="I778" s="26"/>
      <c r="J778" s="26"/>
      <c r="K778" s="26"/>
      <c r="L778" s="26"/>
      <c r="M778" s="26"/>
      <c r="N778" s="148"/>
      <c r="O778" s="26"/>
      <c r="P778" s="26"/>
      <c r="Q778" s="26"/>
      <c r="R778" s="435"/>
      <c r="S778" s="136"/>
      <c r="T778" s="26"/>
      <c r="U778" s="45"/>
      <c r="V778" s="26"/>
      <c r="W778" s="26"/>
    </row>
    <row r="779" spans="1:23" x14ac:dyDescent="0.35">
      <c r="A779" s="26"/>
      <c r="B779" s="1016"/>
      <c r="C779" s="26"/>
      <c r="D779" s="26"/>
      <c r="E779" s="44"/>
      <c r="F779" s="26"/>
      <c r="G779" s="26"/>
      <c r="H779" s="147"/>
      <c r="I779" s="26"/>
      <c r="J779" s="26"/>
      <c r="K779" s="26"/>
      <c r="L779" s="26"/>
      <c r="M779" s="26"/>
      <c r="N779" s="148"/>
      <c r="O779" s="26"/>
      <c r="P779" s="26"/>
      <c r="Q779" s="26"/>
      <c r="R779" s="435"/>
      <c r="S779" s="136"/>
      <c r="T779" s="26"/>
      <c r="U779" s="45"/>
      <c r="V779" s="26"/>
      <c r="W779" s="26"/>
    </row>
    <row r="780" spans="1:23" x14ac:dyDescent="0.35">
      <c r="A780" s="26"/>
      <c r="B780" s="1016"/>
      <c r="C780" s="26"/>
      <c r="D780" s="26"/>
      <c r="E780" s="44"/>
      <c r="F780" s="26"/>
      <c r="G780" s="26"/>
      <c r="H780" s="147"/>
      <c r="I780" s="26"/>
      <c r="J780" s="26"/>
      <c r="K780" s="26"/>
      <c r="L780" s="26"/>
      <c r="M780" s="26"/>
      <c r="N780" s="148"/>
      <c r="O780" s="26"/>
      <c r="P780" s="26"/>
      <c r="Q780" s="26"/>
      <c r="R780" s="435"/>
      <c r="S780" s="136"/>
      <c r="T780" s="26"/>
      <c r="U780" s="45"/>
      <c r="V780" s="26"/>
      <c r="W780" s="26"/>
    </row>
    <row r="781" spans="1:23" x14ac:dyDescent="0.35">
      <c r="A781" s="26"/>
      <c r="B781" s="1016"/>
      <c r="C781" s="26"/>
      <c r="D781" s="26"/>
      <c r="E781" s="44"/>
      <c r="F781" s="26"/>
      <c r="G781" s="26"/>
      <c r="H781" s="147"/>
      <c r="I781" s="26"/>
      <c r="J781" s="26"/>
      <c r="K781" s="26"/>
      <c r="L781" s="26"/>
      <c r="M781" s="26"/>
      <c r="N781" s="148"/>
      <c r="O781" s="26"/>
      <c r="P781" s="26"/>
      <c r="Q781" s="26"/>
      <c r="R781" s="435"/>
      <c r="S781" s="136"/>
      <c r="T781" s="26"/>
      <c r="U781" s="45"/>
      <c r="V781" s="26"/>
      <c r="W781" s="26"/>
    </row>
    <row r="782" spans="1:23" x14ac:dyDescent="0.35">
      <c r="A782" s="26"/>
      <c r="B782" s="1016"/>
      <c r="C782" s="26"/>
      <c r="D782" s="26"/>
      <c r="E782" s="44"/>
      <c r="F782" s="26"/>
      <c r="G782" s="26"/>
      <c r="H782" s="147"/>
      <c r="I782" s="26"/>
      <c r="J782" s="26"/>
      <c r="K782" s="26"/>
      <c r="L782" s="26"/>
      <c r="M782" s="26"/>
      <c r="N782" s="148"/>
      <c r="O782" s="26"/>
      <c r="P782" s="26"/>
      <c r="Q782" s="26"/>
      <c r="R782" s="435"/>
      <c r="S782" s="136"/>
      <c r="T782" s="26"/>
      <c r="U782" s="45"/>
      <c r="V782" s="26"/>
      <c r="W782" s="26"/>
    </row>
    <row r="783" spans="1:23" x14ac:dyDescent="0.35">
      <c r="A783" s="26"/>
      <c r="B783" s="1016"/>
      <c r="C783" s="26"/>
      <c r="D783" s="26"/>
      <c r="E783" s="44"/>
      <c r="F783" s="26"/>
      <c r="G783" s="26"/>
      <c r="H783" s="147"/>
      <c r="I783" s="26"/>
      <c r="J783" s="26"/>
      <c r="K783" s="26"/>
      <c r="L783" s="26"/>
      <c r="M783" s="26"/>
      <c r="N783" s="148"/>
      <c r="O783" s="26"/>
      <c r="P783" s="26"/>
      <c r="Q783" s="26"/>
      <c r="R783" s="435"/>
      <c r="S783" s="136"/>
      <c r="T783" s="26"/>
      <c r="U783" s="45"/>
      <c r="V783" s="26"/>
      <c r="W783" s="26"/>
    </row>
    <row r="784" spans="1:23" x14ac:dyDescent="0.35">
      <c r="A784" s="26"/>
      <c r="B784" s="1016"/>
      <c r="C784" s="26"/>
      <c r="D784" s="26"/>
      <c r="E784" s="44"/>
      <c r="F784" s="26"/>
      <c r="G784" s="26"/>
      <c r="H784" s="147"/>
      <c r="I784" s="26"/>
      <c r="J784" s="26"/>
      <c r="K784" s="26"/>
      <c r="L784" s="26"/>
      <c r="M784" s="26"/>
      <c r="N784" s="148"/>
      <c r="O784" s="26"/>
      <c r="P784" s="26"/>
      <c r="Q784" s="26"/>
      <c r="R784" s="435"/>
      <c r="S784" s="136"/>
      <c r="T784" s="26"/>
      <c r="U784" s="45"/>
      <c r="V784" s="26"/>
      <c r="W784" s="26"/>
    </row>
    <row r="785" spans="1:23" x14ac:dyDescent="0.35">
      <c r="A785" s="26"/>
      <c r="B785" s="1016"/>
      <c r="C785" s="26"/>
      <c r="D785" s="26"/>
      <c r="E785" s="44"/>
      <c r="F785" s="26"/>
      <c r="G785" s="26"/>
      <c r="H785" s="147"/>
      <c r="I785" s="26"/>
      <c r="J785" s="26"/>
      <c r="K785" s="26"/>
      <c r="L785" s="26"/>
      <c r="M785" s="26"/>
      <c r="N785" s="148"/>
      <c r="O785" s="26"/>
      <c r="P785" s="26"/>
      <c r="Q785" s="26"/>
      <c r="R785" s="435"/>
      <c r="S785" s="136"/>
      <c r="T785" s="26"/>
      <c r="U785" s="45"/>
      <c r="V785" s="26"/>
      <c r="W785" s="26"/>
    </row>
    <row r="786" spans="1:23" x14ac:dyDescent="0.35">
      <c r="A786" s="26"/>
      <c r="B786" s="1016"/>
      <c r="C786" s="26"/>
      <c r="D786" s="26"/>
      <c r="E786" s="44"/>
      <c r="F786" s="26"/>
      <c r="G786" s="26"/>
      <c r="H786" s="147"/>
      <c r="I786" s="26"/>
      <c r="J786" s="26"/>
      <c r="K786" s="26"/>
      <c r="L786" s="26"/>
      <c r="M786" s="26"/>
      <c r="N786" s="148"/>
      <c r="O786" s="26"/>
      <c r="P786" s="26"/>
      <c r="Q786" s="26"/>
      <c r="R786" s="435"/>
      <c r="S786" s="136"/>
      <c r="T786" s="26"/>
      <c r="U786" s="45"/>
      <c r="V786" s="26"/>
      <c r="W786" s="26"/>
    </row>
    <row r="787" spans="1:23" x14ac:dyDescent="0.35">
      <c r="A787" s="26"/>
      <c r="B787" s="1016"/>
      <c r="C787" s="26"/>
      <c r="D787" s="26"/>
      <c r="E787" s="44"/>
      <c r="F787" s="26"/>
      <c r="G787" s="26"/>
      <c r="H787" s="147"/>
      <c r="I787" s="26"/>
      <c r="J787" s="26"/>
      <c r="K787" s="26"/>
      <c r="L787" s="26"/>
      <c r="M787" s="26"/>
      <c r="N787" s="148"/>
      <c r="O787" s="26"/>
      <c r="P787" s="26"/>
      <c r="Q787" s="26"/>
      <c r="R787" s="435"/>
      <c r="S787" s="136"/>
      <c r="T787" s="26"/>
      <c r="U787" s="45"/>
      <c r="V787" s="26"/>
      <c r="W787" s="26"/>
    </row>
    <row r="788" spans="1:23" x14ac:dyDescent="0.35">
      <c r="A788" s="26"/>
      <c r="B788" s="1016"/>
      <c r="C788" s="26"/>
      <c r="D788" s="26"/>
      <c r="E788" s="44"/>
      <c r="F788" s="26"/>
      <c r="G788" s="26"/>
      <c r="H788" s="147"/>
      <c r="I788" s="26"/>
      <c r="J788" s="26"/>
      <c r="K788" s="26"/>
      <c r="L788" s="26"/>
      <c r="M788" s="26"/>
      <c r="N788" s="148"/>
      <c r="O788" s="26"/>
      <c r="P788" s="26"/>
      <c r="Q788" s="26"/>
      <c r="R788" s="435"/>
      <c r="S788" s="136"/>
      <c r="T788" s="26"/>
      <c r="U788" s="45"/>
      <c r="V788" s="26"/>
      <c r="W788" s="26"/>
    </row>
    <row r="789" spans="1:23" x14ac:dyDescent="0.35">
      <c r="A789" s="26"/>
      <c r="B789" s="1016"/>
      <c r="C789" s="26"/>
      <c r="D789" s="26"/>
      <c r="E789" s="44"/>
      <c r="F789" s="26"/>
      <c r="G789" s="26"/>
      <c r="H789" s="147"/>
      <c r="I789" s="26"/>
      <c r="J789" s="26"/>
      <c r="K789" s="26"/>
      <c r="L789" s="26"/>
      <c r="M789" s="26"/>
      <c r="N789" s="148"/>
      <c r="O789" s="26"/>
      <c r="P789" s="26"/>
      <c r="Q789" s="26"/>
      <c r="R789" s="435"/>
      <c r="S789" s="136"/>
      <c r="T789" s="26"/>
      <c r="U789" s="45"/>
      <c r="V789" s="26"/>
      <c r="W789" s="26"/>
    </row>
    <row r="790" spans="1:23" x14ac:dyDescent="0.35">
      <c r="B790" s="1016"/>
    </row>
  </sheetData>
  <mergeCells count="1">
    <mergeCell ref="S4:W6"/>
  </mergeCells>
  <pageMargins left="0.7" right="0.7" top="0.75" bottom="0.75" header="0.3" footer="0.3"/>
  <pageSetup paperSize="9" scale="46" fitToHeight="0" orientation="landscape" r:id="rId1"/>
  <rowBreaks count="1" manualBreakCount="1">
    <brk id="127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821"/>
  <sheetViews>
    <sheetView topLeftCell="A104" zoomScale="85" zoomScaleNormal="85" workbookViewId="0">
      <selection activeCell="K139" sqref="K139"/>
    </sheetView>
  </sheetViews>
  <sheetFormatPr defaultColWidth="9.1796875" defaultRowHeight="15.5" x14ac:dyDescent="0.35"/>
  <cols>
    <col min="1" max="1" width="68.453125" style="13" customWidth="1"/>
    <col min="2" max="2" width="14.54296875" style="18" customWidth="1"/>
    <col min="3" max="3" width="8.453125" style="13" customWidth="1"/>
    <col min="4" max="4" width="5.7265625" style="13" customWidth="1"/>
    <col min="5" max="5" width="11.81640625" style="63" customWidth="1"/>
    <col min="6" max="6" width="10.1796875" style="13" customWidth="1"/>
    <col min="7" max="7" width="5.453125" style="13" customWidth="1"/>
    <col min="8" max="8" width="13.1796875" style="39" customWidth="1"/>
    <col min="9" max="9" width="8.54296875" style="13" customWidth="1"/>
    <col min="10" max="10" width="11.1796875" style="13" customWidth="1"/>
    <col min="11" max="11" width="12.26953125" style="13" customWidth="1"/>
    <col min="12" max="12" width="11.7265625" style="13" customWidth="1"/>
    <col min="13" max="13" width="13.81640625" style="13" customWidth="1"/>
    <col min="14" max="14" width="14.54296875" style="41" customWidth="1"/>
    <col min="15" max="15" width="13.26953125" style="13" customWidth="1"/>
    <col min="16" max="16" width="53.26953125" style="13" customWidth="1"/>
    <col min="17" max="17" width="11.26953125" style="13" customWidth="1"/>
    <col min="18" max="120" width="8.7265625" style="467" customWidth="1"/>
    <col min="121" max="16384" width="9.1796875" style="13"/>
  </cols>
  <sheetData>
    <row r="1" spans="1:120" x14ac:dyDescent="0.35">
      <c r="A1" s="306" t="s">
        <v>248</v>
      </c>
      <c r="R1" s="322" t="s">
        <v>97</v>
      </c>
      <c r="S1" s="13"/>
    </row>
    <row r="2" spans="1:120" x14ac:dyDescent="0.35">
      <c r="A2" s="12" t="s">
        <v>11</v>
      </c>
      <c r="B2" s="379" t="s">
        <v>169</v>
      </c>
      <c r="F2" s="12" t="s">
        <v>11</v>
      </c>
      <c r="G2" s="325" t="s">
        <v>246</v>
      </c>
      <c r="P2" s="254" t="s">
        <v>100</v>
      </c>
      <c r="Q2" s="14"/>
      <c r="R2" s="34"/>
      <c r="S2" s="13"/>
    </row>
    <row r="3" spans="1:120" ht="18.75" customHeight="1" x14ac:dyDescent="0.35">
      <c r="A3" s="12" t="s">
        <v>11</v>
      </c>
      <c r="B3" s="379" t="s">
        <v>274</v>
      </c>
      <c r="E3" s="698" t="s">
        <v>335</v>
      </c>
      <c r="F3" s="12" t="s">
        <v>11</v>
      </c>
      <c r="G3" s="14" t="s">
        <v>170</v>
      </c>
      <c r="I3" s="436"/>
      <c r="O3" s="94"/>
      <c r="P3" s="468"/>
      <c r="Q3" s="14"/>
      <c r="R3" s="193"/>
      <c r="S3" s="13" t="s">
        <v>92</v>
      </c>
    </row>
    <row r="4" spans="1:120" x14ac:dyDescent="0.35">
      <c r="A4" s="12"/>
      <c r="B4" s="379"/>
      <c r="D4" s="15"/>
      <c r="E4" s="105"/>
      <c r="F4" s="436"/>
      <c r="G4" s="379"/>
      <c r="I4" s="436"/>
      <c r="K4" s="447"/>
      <c r="P4" s="328"/>
      <c r="Q4" s="14"/>
      <c r="R4" s="194"/>
      <c r="S4" s="13" t="s">
        <v>93</v>
      </c>
    </row>
    <row r="5" spans="1:120" ht="15.75" customHeight="1" x14ac:dyDescent="0.35">
      <c r="A5" s="11" t="s">
        <v>30</v>
      </c>
      <c r="B5" s="109">
        <f>('баланс тритий'!B4+'баланс дейтерий'!B4)*'параметры для расчета'!C22%</f>
        <v>3.9163048082686362E+19</v>
      </c>
      <c r="C5" s="13" t="s">
        <v>29</v>
      </c>
      <c r="D5" s="18" t="s">
        <v>37</v>
      </c>
      <c r="E5" s="666">
        <f>B5*(1/2*1.38E-23*136800)</f>
        <v>36.966784346209316</v>
      </c>
      <c r="F5" s="13" t="s">
        <v>28</v>
      </c>
      <c r="G5" s="18" t="s">
        <v>37</v>
      </c>
      <c r="H5" s="109">
        <f>B5*1/(6.02*10^23)</f>
        <v>6.5054897147319546E-5</v>
      </c>
      <c r="I5" s="132" t="s">
        <v>2</v>
      </c>
      <c r="J5" s="35" t="s">
        <v>8</v>
      </c>
      <c r="K5" s="448">
        <f>H5</f>
        <v>6.5054897147319546E-5</v>
      </c>
      <c r="L5" s="13" t="s">
        <v>2</v>
      </c>
      <c r="M5" s="446" t="s">
        <v>275</v>
      </c>
      <c r="N5" s="79"/>
      <c r="O5" s="285"/>
      <c r="P5" s="328"/>
      <c r="Q5" s="46"/>
      <c r="R5" s="195"/>
      <c r="S5" s="13" t="s">
        <v>94</v>
      </c>
    </row>
    <row r="6" spans="1:120" x14ac:dyDescent="0.35">
      <c r="A6" s="315" t="s">
        <v>171</v>
      </c>
      <c r="B6" s="105"/>
      <c r="E6" s="105"/>
      <c r="K6" s="18"/>
      <c r="M6" s="59"/>
      <c r="Q6" s="35"/>
      <c r="R6" s="196"/>
      <c r="S6" s="13" t="s">
        <v>95</v>
      </c>
    </row>
    <row r="7" spans="1:120" ht="16.5" customHeight="1" x14ac:dyDescent="0.35">
      <c r="A7" s="151" t="s">
        <v>247</v>
      </c>
      <c r="B7" s="327"/>
      <c r="C7" s="26"/>
      <c r="D7" s="26"/>
      <c r="E7" s="362"/>
      <c r="F7" s="26"/>
      <c r="G7" s="26"/>
      <c r="H7" s="147"/>
      <c r="I7" s="26"/>
      <c r="J7" s="26"/>
      <c r="K7" s="35"/>
      <c r="L7" s="26"/>
      <c r="M7" s="117"/>
      <c r="Q7" s="14"/>
      <c r="R7" s="197"/>
      <c r="S7" s="13" t="s">
        <v>96</v>
      </c>
    </row>
    <row r="8" spans="1:120" ht="16.5" customHeight="1" x14ac:dyDescent="0.35">
      <c r="A8" s="11" t="s">
        <v>249</v>
      </c>
      <c r="B8" s="109">
        <f>'[6]динамика протия в ТЦ'!F6+'[6]динамика протия в ТЦ'!F5+'[6]динамика протия в ТЦ'!F7+'[6]динамика протия в ТЦ'!F8+'[6]динамика протия в ТЦ'!F9+'[6]динамика протия в ТЦ'!F10</f>
        <v>1.0802864377331992E+17</v>
      </c>
      <c r="C8" s="13" t="s">
        <v>29</v>
      </c>
      <c r="D8" s="18" t="s">
        <v>37</v>
      </c>
      <c r="E8" s="666">
        <f>B8*(1/2*1.38E-23*136800)</f>
        <v>0.10197039743051214</v>
      </c>
      <c r="F8" s="13" t="s">
        <v>28</v>
      </c>
      <c r="G8" s="18" t="s">
        <v>37</v>
      </c>
      <c r="H8" s="109">
        <f>B8*1/(6.02*10^23)</f>
        <v>1.7944957437428559E-7</v>
      </c>
      <c r="I8" s="132" t="s">
        <v>2</v>
      </c>
      <c r="J8" s="35" t="s">
        <v>8</v>
      </c>
      <c r="K8" s="469">
        <f>H8</f>
        <v>1.7944957437428559E-7</v>
      </c>
      <c r="L8" s="13" t="s">
        <v>2</v>
      </c>
      <c r="M8" s="200"/>
      <c r="Q8" s="14"/>
    </row>
    <row r="9" spans="1:120" x14ac:dyDescent="0.35">
      <c r="A9" s="95"/>
      <c r="B9" s="36"/>
      <c r="C9" s="26"/>
      <c r="D9" s="28"/>
      <c r="E9" s="69"/>
      <c r="F9" s="26"/>
      <c r="G9" s="26"/>
      <c r="H9" s="147"/>
      <c r="I9" s="26"/>
      <c r="J9" s="26"/>
      <c r="K9" s="35"/>
      <c r="L9" s="26"/>
      <c r="M9" s="19"/>
      <c r="R9" s="675"/>
      <c r="S9" s="436" t="s">
        <v>316</v>
      </c>
    </row>
    <row r="10" spans="1:120" x14ac:dyDescent="0.35">
      <c r="A10" s="189" t="s">
        <v>186</v>
      </c>
      <c r="B10" s="285"/>
      <c r="C10" s="26"/>
      <c r="D10" s="35"/>
      <c r="E10" s="285"/>
      <c r="F10" s="26"/>
      <c r="G10" s="35"/>
      <c r="H10" s="285"/>
      <c r="I10" s="136"/>
      <c r="J10" s="35"/>
      <c r="K10" s="453"/>
      <c r="L10" s="136"/>
      <c r="R10" s="676"/>
      <c r="S10" s="436" t="s">
        <v>317</v>
      </c>
    </row>
    <row r="11" spans="1:120" x14ac:dyDescent="0.35">
      <c r="B11" s="105"/>
      <c r="E11" s="105"/>
      <c r="K11" s="18"/>
      <c r="Q11" s="14"/>
    </row>
    <row r="12" spans="1:120" x14ac:dyDescent="0.35">
      <c r="A12" s="48" t="s">
        <v>223</v>
      </c>
      <c r="B12" s="73">
        <f>B5+B8</f>
        <v>3.9271076726459679E+19</v>
      </c>
      <c r="C12" s="13" t="s">
        <v>14</v>
      </c>
      <c r="D12" s="18" t="s">
        <v>37</v>
      </c>
      <c r="E12" s="669">
        <f>B12*(1/2*1.38E-23*136800)</f>
        <v>37.068754743639822</v>
      </c>
      <c r="F12" s="13" t="s">
        <v>9</v>
      </c>
      <c r="G12" s="18" t="s">
        <v>37</v>
      </c>
      <c r="H12" s="449">
        <f>B12*1/(6.02*10^23)</f>
        <v>6.5234346721693829E-5</v>
      </c>
      <c r="I12" s="436" t="s">
        <v>7</v>
      </c>
      <c r="J12" s="35" t="s">
        <v>8</v>
      </c>
      <c r="K12" s="445">
        <f>H12</f>
        <v>6.5234346721693829E-5</v>
      </c>
      <c r="L12" s="436" t="s">
        <v>7</v>
      </c>
    </row>
    <row r="13" spans="1:120" x14ac:dyDescent="0.35">
      <c r="A13" s="26"/>
      <c r="B13" s="69"/>
      <c r="C13" s="26"/>
      <c r="D13" s="35"/>
      <c r="E13" s="44"/>
      <c r="F13" s="26"/>
      <c r="G13" s="35"/>
      <c r="H13" s="147"/>
      <c r="I13" s="136"/>
      <c r="J13" s="26"/>
      <c r="K13" s="26"/>
      <c r="L13" s="96"/>
      <c r="Q13" s="379"/>
    </row>
    <row r="14" spans="1:120" x14ac:dyDescent="0.35">
      <c r="A14" s="26"/>
      <c r="B14" s="69"/>
      <c r="C14" s="26"/>
      <c r="D14" s="35"/>
      <c r="E14" s="159"/>
      <c r="F14" s="26"/>
      <c r="G14" s="35"/>
      <c r="H14" s="147"/>
      <c r="I14" s="136"/>
      <c r="J14" s="26"/>
      <c r="K14" s="26"/>
      <c r="L14" s="96"/>
      <c r="Q14" s="379"/>
      <c r="R14" s="14"/>
      <c r="S14" s="410"/>
      <c r="T14" s="13"/>
      <c r="U14" s="34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</row>
    <row r="15" spans="1:120" x14ac:dyDescent="0.35">
      <c r="A15" s="26"/>
      <c r="B15" s="69"/>
      <c r="C15" s="26"/>
      <c r="D15" s="35"/>
      <c r="E15" s="159"/>
      <c r="F15" s="26"/>
      <c r="G15" s="35"/>
      <c r="H15" s="147"/>
      <c r="I15" s="136"/>
      <c r="J15" s="26"/>
      <c r="K15" s="26"/>
      <c r="L15" s="96"/>
      <c r="Q15" s="379"/>
      <c r="R15" s="14"/>
      <c r="S15" s="410"/>
      <c r="T15" s="13"/>
      <c r="U15" s="34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</row>
    <row r="16" spans="1:120" x14ac:dyDescent="0.35">
      <c r="A16" s="514" t="s">
        <v>301</v>
      </c>
      <c r="B16" s="415" t="s">
        <v>72</v>
      </c>
      <c r="D16" s="570"/>
      <c r="E16" s="190" t="s">
        <v>300</v>
      </c>
      <c r="H16" s="576" t="s">
        <v>302</v>
      </c>
      <c r="J16" s="26"/>
      <c r="K16" s="26"/>
      <c r="L16" s="96"/>
      <c r="Q16" s="379"/>
      <c r="R16" s="14"/>
      <c r="S16" s="410"/>
      <c r="T16" s="13"/>
      <c r="U16" s="34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</row>
    <row r="17" spans="1:17" ht="18" customHeight="1" x14ac:dyDescent="0.35">
      <c r="A17" s="96"/>
      <c r="B17" s="35"/>
      <c r="C17" s="26"/>
      <c r="D17" s="26"/>
      <c r="E17" s="44"/>
      <c r="F17" s="26"/>
      <c r="G17" s="26"/>
      <c r="H17" s="147"/>
      <c r="I17" s="26"/>
      <c r="J17" s="160"/>
      <c r="K17" s="156"/>
      <c r="L17" s="26"/>
      <c r="M17" s="95"/>
      <c r="N17" s="571"/>
      <c r="O17" s="26"/>
      <c r="P17" s="85"/>
      <c r="Q17" s="103"/>
    </row>
    <row r="18" spans="1:17" ht="18" customHeight="1" x14ac:dyDescent="0.35">
      <c r="A18" s="116" t="s">
        <v>185</v>
      </c>
      <c r="B18" s="35"/>
      <c r="C18" s="46"/>
      <c r="D18" s="26"/>
      <c r="F18" s="26"/>
      <c r="G18" s="26"/>
      <c r="H18" s="147"/>
      <c r="I18" s="26"/>
      <c r="J18" s="160"/>
      <c r="K18" s="156"/>
      <c r="L18" s="26"/>
      <c r="M18" s="95"/>
      <c r="N18" s="571"/>
      <c r="O18" s="26"/>
      <c r="P18" s="85"/>
      <c r="Q18" s="103"/>
    </row>
    <row r="19" spans="1:17" ht="18" customHeight="1" x14ac:dyDescent="0.35">
      <c r="A19" s="91" t="s">
        <v>173</v>
      </c>
      <c r="B19" s="147"/>
      <c r="C19" s="136"/>
      <c r="D19" s="26"/>
      <c r="F19" s="26"/>
      <c r="G19" s="26"/>
      <c r="H19" s="147"/>
      <c r="I19" s="26"/>
      <c r="J19" s="160"/>
      <c r="K19" s="156"/>
      <c r="L19" s="26"/>
      <c r="M19" s="95"/>
      <c r="N19" s="571"/>
      <c r="O19" s="26"/>
      <c r="P19" s="85"/>
      <c r="Q19" s="103"/>
    </row>
    <row r="20" spans="1:17" ht="18" customHeight="1" x14ac:dyDescent="0.35">
      <c r="A20" s="355" t="s">
        <v>174</v>
      </c>
      <c r="B20" s="147"/>
      <c r="C20" s="26"/>
      <c r="D20" s="26"/>
      <c r="F20" s="26"/>
      <c r="G20" s="26"/>
      <c r="H20" s="451"/>
      <c r="I20" s="26"/>
      <c r="P20" s="85"/>
      <c r="Q20" s="103"/>
    </row>
    <row r="21" spans="1:17" ht="18" customHeight="1" x14ac:dyDescent="0.35">
      <c r="J21" s="26"/>
      <c r="K21" s="26"/>
      <c r="L21" s="26"/>
      <c r="M21" s="26"/>
      <c r="N21" s="148"/>
      <c r="P21" s="85"/>
      <c r="Q21" s="103"/>
    </row>
    <row r="22" spans="1:17" ht="18" customHeight="1" x14ac:dyDescent="0.35">
      <c r="J22" s="26"/>
      <c r="K22" s="26"/>
      <c r="L22" s="26"/>
      <c r="M22" s="26"/>
      <c r="N22" s="148"/>
      <c r="P22" s="85"/>
      <c r="Q22" s="103"/>
    </row>
    <row r="23" spans="1:17" ht="18" customHeight="1" x14ac:dyDescent="0.35">
      <c r="J23" s="26"/>
      <c r="K23" s="26"/>
      <c r="L23" s="26"/>
      <c r="M23" s="26"/>
      <c r="N23" s="26"/>
      <c r="P23" s="85"/>
      <c r="Q23" s="103"/>
    </row>
    <row r="24" spans="1:17" ht="18" customHeight="1" x14ac:dyDescent="0.35">
      <c r="J24" s="26"/>
      <c r="K24" s="26"/>
      <c r="L24" s="452"/>
      <c r="M24" s="26"/>
      <c r="N24" s="148"/>
      <c r="P24" s="85"/>
      <c r="Q24" s="103"/>
    </row>
    <row r="25" spans="1:17" ht="18" customHeight="1" x14ac:dyDescent="0.35">
      <c r="A25" s="79"/>
      <c r="B25" s="69"/>
      <c r="C25" s="26"/>
      <c r="D25" s="35"/>
      <c r="E25" s="69"/>
      <c r="F25" s="28"/>
      <c r="G25" s="35"/>
      <c r="H25" s="285"/>
      <c r="I25" s="136"/>
      <c r="J25" s="160"/>
      <c r="K25" s="156"/>
      <c r="L25" s="26"/>
      <c r="M25" s="95"/>
      <c r="N25" s="571"/>
      <c r="O25" s="26"/>
      <c r="P25" s="85"/>
      <c r="Q25" s="103"/>
    </row>
    <row r="26" spans="1:17" ht="18" customHeight="1" x14ac:dyDescent="0.35">
      <c r="A26" s="79"/>
      <c r="B26" s="69"/>
      <c r="C26" s="26"/>
      <c r="D26" s="35"/>
      <c r="E26" s="69"/>
      <c r="F26" s="28"/>
      <c r="G26" s="35"/>
      <c r="H26" s="285"/>
      <c r="I26" s="136"/>
      <c r="J26" s="160"/>
      <c r="K26" s="156"/>
      <c r="L26" s="26"/>
      <c r="M26" s="95"/>
      <c r="N26" s="571"/>
      <c r="O26" s="26"/>
      <c r="P26" s="85"/>
      <c r="Q26" s="103"/>
    </row>
    <row r="27" spans="1:17" ht="18" customHeight="1" x14ac:dyDescent="0.35">
      <c r="A27" s="79"/>
      <c r="B27" s="69"/>
      <c r="C27" s="26"/>
      <c r="D27" s="35"/>
      <c r="E27" s="69"/>
      <c r="F27" s="28"/>
      <c r="G27" s="35"/>
      <c r="H27" s="285"/>
      <c r="I27" s="136"/>
      <c r="J27" s="160"/>
      <c r="K27" s="156"/>
      <c r="L27" s="26"/>
      <c r="M27" s="95"/>
      <c r="N27" s="571"/>
      <c r="O27" s="26"/>
      <c r="P27" s="85"/>
      <c r="Q27" s="103"/>
    </row>
    <row r="28" spans="1:17" ht="18" customHeight="1" x14ac:dyDescent="0.35">
      <c r="A28" s="79"/>
      <c r="B28" s="69"/>
      <c r="C28" s="26"/>
      <c r="D28" s="35"/>
      <c r="E28" s="69"/>
      <c r="F28" s="28"/>
      <c r="G28" s="35"/>
      <c r="H28" s="285"/>
      <c r="I28" s="136"/>
      <c r="J28" s="160"/>
      <c r="K28" s="156"/>
      <c r="L28" s="26"/>
      <c r="M28" s="95"/>
      <c r="N28" s="571"/>
      <c r="O28" s="26"/>
      <c r="P28" s="85"/>
      <c r="Q28" s="103"/>
    </row>
    <row r="29" spans="1:17" ht="18" customHeight="1" x14ac:dyDescent="0.35">
      <c r="A29" s="79"/>
      <c r="B29" s="69"/>
      <c r="C29" s="26"/>
      <c r="D29" s="35"/>
      <c r="E29" s="69"/>
      <c r="F29" s="28"/>
      <c r="G29" s="35"/>
      <c r="H29" s="285"/>
      <c r="I29" s="136"/>
      <c r="J29" s="160"/>
      <c r="K29" s="156"/>
      <c r="L29" s="26"/>
      <c r="M29" s="95"/>
      <c r="N29" s="571"/>
      <c r="O29" s="26"/>
      <c r="P29" s="85"/>
      <c r="Q29" s="103"/>
    </row>
    <row r="30" spans="1:17" ht="18" customHeight="1" x14ac:dyDescent="0.35">
      <c r="A30" s="79"/>
      <c r="B30" s="69"/>
      <c r="C30" s="26"/>
      <c r="D30" s="35"/>
      <c r="E30" s="69"/>
      <c r="F30" s="28"/>
      <c r="G30" s="35"/>
      <c r="H30" s="285"/>
      <c r="I30" s="136"/>
      <c r="J30" s="160"/>
      <c r="K30" s="156"/>
      <c r="L30" s="26"/>
      <c r="M30" s="95"/>
      <c r="N30" s="571"/>
      <c r="O30" s="26"/>
      <c r="P30" s="85"/>
      <c r="Q30" s="103"/>
    </row>
    <row r="31" spans="1:17" ht="18" customHeight="1" x14ac:dyDescent="0.35">
      <c r="A31" s="79"/>
      <c r="B31" s="69"/>
      <c r="C31" s="26"/>
      <c r="D31" s="35"/>
      <c r="E31" s="69"/>
      <c r="F31" s="28"/>
      <c r="G31" s="35"/>
      <c r="H31" s="285"/>
      <c r="I31" s="136"/>
      <c r="J31" s="160"/>
      <c r="K31" s="156"/>
      <c r="L31" s="26"/>
      <c r="M31" s="95"/>
      <c r="N31" s="571"/>
      <c r="O31" s="26"/>
      <c r="P31" s="85"/>
      <c r="Q31" s="103"/>
    </row>
    <row r="32" spans="1:17" ht="18" customHeight="1" x14ac:dyDescent="0.35">
      <c r="A32" s="79"/>
      <c r="B32" s="69"/>
      <c r="C32" s="26"/>
      <c r="D32" s="35"/>
      <c r="E32" s="69"/>
      <c r="F32" s="28"/>
      <c r="G32" s="35"/>
      <c r="H32" s="285"/>
      <c r="I32" s="136"/>
      <c r="J32" s="160"/>
      <c r="K32" s="156"/>
      <c r="L32" s="26"/>
      <c r="M32" s="95"/>
      <c r="N32" s="571"/>
      <c r="O32" s="26"/>
      <c r="P32" s="85"/>
      <c r="Q32" s="103"/>
    </row>
    <row r="33" spans="1:17" ht="18" customHeight="1" x14ac:dyDescent="0.35">
      <c r="A33" s="79"/>
      <c r="B33" s="69"/>
      <c r="C33" s="26"/>
      <c r="D33" s="35"/>
      <c r="E33" s="69"/>
      <c r="F33" s="28"/>
      <c r="G33" s="35"/>
      <c r="H33" s="285"/>
      <c r="I33" s="136"/>
      <c r="J33" s="160"/>
      <c r="K33" s="156"/>
      <c r="L33" s="26"/>
      <c r="M33" s="95"/>
      <c r="N33" s="571"/>
      <c r="O33" s="26"/>
      <c r="P33" s="85"/>
      <c r="Q33" s="103"/>
    </row>
    <row r="34" spans="1:17" ht="18" customHeight="1" x14ac:dyDescent="0.35">
      <c r="A34" s="79"/>
      <c r="B34" s="69"/>
      <c r="C34" s="26"/>
      <c r="D34" s="35"/>
      <c r="E34" s="69"/>
      <c r="F34" s="28"/>
      <c r="G34" s="35"/>
      <c r="H34" s="285"/>
      <c r="I34" s="136"/>
      <c r="J34" s="160"/>
      <c r="K34" s="156"/>
      <c r="L34" s="26"/>
      <c r="M34" s="95"/>
      <c r="N34" s="571"/>
      <c r="O34" s="26"/>
      <c r="P34" s="85"/>
      <c r="Q34" s="103"/>
    </row>
    <row r="35" spans="1:17" ht="18" customHeight="1" x14ac:dyDescent="0.35">
      <c r="A35" s="79"/>
      <c r="B35" s="69"/>
      <c r="C35" s="26"/>
      <c r="D35" s="35"/>
      <c r="E35" s="69"/>
      <c r="F35" s="28"/>
      <c r="G35" s="35"/>
      <c r="H35" s="285"/>
      <c r="I35" s="136"/>
      <c r="J35" s="160"/>
      <c r="K35" s="156"/>
      <c r="L35" s="26"/>
      <c r="M35" s="95"/>
      <c r="N35" s="571"/>
      <c r="O35" s="26"/>
      <c r="P35" s="85"/>
      <c r="Q35" s="103"/>
    </row>
    <row r="36" spans="1:17" ht="18" customHeight="1" x14ac:dyDescent="0.35">
      <c r="A36" s="79"/>
      <c r="B36" s="69"/>
      <c r="C36" s="26"/>
      <c r="D36" s="35"/>
      <c r="E36" s="69"/>
      <c r="F36" s="28"/>
      <c r="G36" s="35"/>
      <c r="H36" s="285"/>
      <c r="I36" s="136"/>
      <c r="J36" s="160"/>
      <c r="K36" s="156"/>
      <c r="L36" s="26"/>
      <c r="M36" s="95"/>
      <c r="N36" s="571"/>
      <c r="O36" s="26"/>
      <c r="P36" s="85"/>
      <c r="Q36" s="103"/>
    </row>
    <row r="37" spans="1:17" ht="18" customHeight="1" x14ac:dyDescent="0.35">
      <c r="A37" s="79"/>
      <c r="B37" s="69"/>
      <c r="C37" s="26"/>
      <c r="D37" s="35"/>
      <c r="E37" s="69"/>
      <c r="F37" s="28"/>
      <c r="G37" s="35"/>
      <c r="H37" s="285"/>
      <c r="I37" s="136"/>
      <c r="J37" s="160"/>
      <c r="K37" s="156"/>
      <c r="L37" s="26"/>
      <c r="M37" s="95"/>
      <c r="N37" s="571"/>
      <c r="O37" s="26"/>
      <c r="P37" s="85"/>
      <c r="Q37" s="103"/>
    </row>
    <row r="38" spans="1:17" ht="18" customHeight="1" x14ac:dyDescent="0.35">
      <c r="A38" s="79"/>
      <c r="B38" s="69"/>
      <c r="C38" s="26"/>
      <c r="D38" s="35"/>
      <c r="E38" s="69"/>
      <c r="F38" s="28"/>
      <c r="G38" s="35"/>
      <c r="H38" s="285"/>
      <c r="I38" s="136"/>
      <c r="J38" s="160"/>
      <c r="K38" s="156"/>
      <c r="L38" s="26"/>
      <c r="M38" s="95"/>
      <c r="N38" s="571"/>
      <c r="O38" s="26"/>
      <c r="P38" s="85"/>
      <c r="Q38" s="103"/>
    </row>
    <row r="39" spans="1:17" ht="18" customHeight="1" x14ac:dyDescent="0.35">
      <c r="A39" s="79"/>
      <c r="B39" s="69"/>
      <c r="C39" s="26"/>
      <c r="D39" s="35"/>
      <c r="E39" s="69"/>
      <c r="F39" s="28"/>
      <c r="G39" s="35"/>
      <c r="H39" s="285"/>
      <c r="I39" s="136"/>
      <c r="J39" s="160"/>
      <c r="K39" s="156"/>
      <c r="L39" s="26"/>
      <c r="M39" s="95"/>
      <c r="N39" s="571"/>
      <c r="O39" s="26"/>
      <c r="P39" s="85"/>
      <c r="Q39" s="103"/>
    </row>
    <row r="40" spans="1:17" ht="18" customHeight="1" x14ac:dyDescent="0.35">
      <c r="A40" s="79"/>
      <c r="B40" s="69"/>
      <c r="C40" s="26"/>
      <c r="D40" s="35"/>
      <c r="E40" s="69"/>
      <c r="F40" s="28"/>
      <c r="G40" s="35"/>
      <c r="H40" s="285"/>
      <c r="I40" s="136"/>
      <c r="J40" s="160"/>
      <c r="K40" s="156"/>
      <c r="L40" s="26"/>
      <c r="M40" s="95"/>
      <c r="N40" s="571"/>
      <c r="O40" s="26"/>
      <c r="P40" s="85"/>
      <c r="Q40" s="103"/>
    </row>
    <row r="41" spans="1:17" ht="18" customHeight="1" x14ac:dyDescent="0.35">
      <c r="A41" s="79"/>
      <c r="B41" s="69"/>
      <c r="C41" s="26"/>
      <c r="D41" s="35"/>
      <c r="E41" s="69"/>
      <c r="F41" s="28"/>
      <c r="G41" s="35"/>
      <c r="H41" s="285"/>
      <c r="I41" s="136"/>
      <c r="J41" s="160"/>
      <c r="K41" s="156"/>
      <c r="L41" s="26"/>
      <c r="M41" s="95"/>
      <c r="N41" s="571"/>
      <c r="O41" s="26"/>
      <c r="P41" s="85"/>
      <c r="Q41" s="103"/>
    </row>
    <row r="42" spans="1:17" ht="18" customHeight="1" x14ac:dyDescent="0.35">
      <c r="A42" s="79"/>
      <c r="B42" s="69"/>
      <c r="C42" s="26"/>
      <c r="D42" s="35"/>
      <c r="E42" s="69"/>
      <c r="F42" s="28"/>
      <c r="G42" s="35"/>
      <c r="H42" s="285"/>
      <c r="I42" s="136"/>
      <c r="J42" s="160"/>
      <c r="K42" s="156"/>
      <c r="L42" s="26"/>
      <c r="M42" s="95"/>
      <c r="N42" s="571"/>
      <c r="O42" s="26"/>
      <c r="P42" s="85"/>
      <c r="Q42" s="103"/>
    </row>
    <row r="43" spans="1:17" x14ac:dyDescent="0.35">
      <c r="A43" s="432"/>
      <c r="B43" s="19"/>
      <c r="C43" s="35"/>
      <c r="D43" s="69"/>
      <c r="E43" s="26"/>
      <c r="F43" s="35"/>
      <c r="G43" s="285"/>
      <c r="I43" s="136"/>
      <c r="J43" s="26"/>
      <c r="K43" s="26"/>
      <c r="L43" s="26"/>
      <c r="M43" s="26"/>
      <c r="N43" s="140"/>
      <c r="O43" s="26"/>
    </row>
    <row r="44" spans="1:17" x14ac:dyDescent="0.35">
      <c r="A44" s="87"/>
      <c r="B44" s="19"/>
      <c r="C44" s="26"/>
      <c r="D44" s="44"/>
      <c r="E44" s="26"/>
      <c r="F44" s="26"/>
      <c r="G44" s="147"/>
      <c r="I44" s="26"/>
      <c r="J44" s="26"/>
      <c r="K44" s="26"/>
      <c r="L44" s="26"/>
      <c r="M44" s="26"/>
      <c r="N44" s="148"/>
      <c r="O44" s="26"/>
      <c r="P44" s="252"/>
    </row>
    <row r="45" spans="1:17" x14ac:dyDescent="0.35">
      <c r="A45" s="87"/>
      <c r="B45" s="19"/>
      <c r="C45" s="26"/>
      <c r="D45" s="44"/>
      <c r="E45" s="26"/>
      <c r="F45" s="26"/>
      <c r="G45" s="147"/>
      <c r="I45" s="26"/>
      <c r="J45" s="26"/>
      <c r="K45" s="26"/>
      <c r="L45" s="26"/>
      <c r="M45" s="26"/>
      <c r="N45" s="148"/>
      <c r="O45" s="26"/>
      <c r="P45" s="252"/>
    </row>
    <row r="46" spans="1:17" x14ac:dyDescent="0.35">
      <c r="A46" s="87"/>
      <c r="B46" s="19"/>
      <c r="C46" s="26"/>
      <c r="D46" s="44"/>
      <c r="E46" s="26"/>
      <c r="F46" s="26"/>
      <c r="G46" s="147"/>
      <c r="I46" s="26"/>
      <c r="J46" s="26"/>
      <c r="K46" s="26"/>
      <c r="L46" s="26"/>
      <c r="M46" s="26"/>
      <c r="N46" s="148"/>
      <c r="O46" s="26"/>
      <c r="P46" s="252"/>
    </row>
    <row r="47" spans="1:17" x14ac:dyDescent="0.35">
      <c r="A47" s="87"/>
      <c r="B47" s="19"/>
      <c r="C47" s="26"/>
      <c r="D47" s="44"/>
      <c r="E47" s="26"/>
      <c r="F47" s="26"/>
      <c r="G47" s="147"/>
      <c r="I47" s="26"/>
      <c r="J47" s="26"/>
      <c r="K47" s="26"/>
      <c r="L47" s="26"/>
      <c r="M47" s="26"/>
      <c r="N47" s="148"/>
      <c r="O47" s="26"/>
      <c r="P47" s="252"/>
    </row>
    <row r="48" spans="1:17" x14ac:dyDescent="0.35">
      <c r="A48" s="87"/>
      <c r="B48" s="19"/>
      <c r="C48" s="26"/>
      <c r="D48" s="44"/>
      <c r="E48" s="26"/>
      <c r="F48" s="26"/>
      <c r="G48" s="147"/>
      <c r="I48" s="26"/>
      <c r="J48" s="26"/>
      <c r="K48" s="26"/>
      <c r="L48" s="26"/>
      <c r="M48" s="26"/>
      <c r="N48" s="148"/>
      <c r="O48" s="26"/>
      <c r="P48" s="252"/>
    </row>
    <row r="49" spans="1:16" x14ac:dyDescent="0.35">
      <c r="A49" s="87"/>
      <c r="B49" s="19"/>
      <c r="C49" s="26"/>
      <c r="D49" s="44"/>
      <c r="E49" s="26"/>
      <c r="F49" s="26"/>
      <c r="G49" s="147"/>
      <c r="I49" s="26"/>
      <c r="J49" s="26"/>
      <c r="K49" s="26"/>
      <c r="L49" s="26"/>
      <c r="M49" s="26"/>
      <c r="N49" s="148"/>
      <c r="O49" s="26"/>
      <c r="P49" s="252"/>
    </row>
    <row r="50" spans="1:16" x14ac:dyDescent="0.35">
      <c r="A50" s="87"/>
      <c r="B50" s="19"/>
      <c r="C50" s="26"/>
      <c r="D50" s="44"/>
      <c r="E50" s="26"/>
      <c r="F50" s="26"/>
      <c r="G50" s="147"/>
      <c r="I50" s="26"/>
      <c r="J50" s="26"/>
      <c r="K50" s="26"/>
      <c r="L50" s="26"/>
      <c r="M50" s="26"/>
      <c r="N50" s="148"/>
      <c r="O50" s="26"/>
      <c r="P50" s="252"/>
    </row>
    <row r="51" spans="1:16" x14ac:dyDescent="0.35">
      <c r="A51" s="87"/>
      <c r="B51" s="19"/>
      <c r="C51" s="26"/>
      <c r="D51" s="44"/>
      <c r="E51" s="26"/>
      <c r="F51" s="26"/>
      <c r="G51" s="147"/>
      <c r="I51" s="26"/>
      <c r="J51" s="26"/>
      <c r="K51" s="26"/>
      <c r="L51" s="26"/>
      <c r="M51" s="26"/>
      <c r="N51" s="148"/>
      <c r="O51" s="26"/>
      <c r="P51" s="252"/>
    </row>
    <row r="52" spans="1:16" x14ac:dyDescent="0.35">
      <c r="A52" s="87"/>
      <c r="B52" s="19"/>
      <c r="C52" s="26"/>
      <c r="D52" s="44"/>
      <c r="E52" s="26"/>
      <c r="F52" s="26"/>
      <c r="G52" s="147"/>
      <c r="I52" s="26"/>
      <c r="J52" s="26"/>
      <c r="K52" s="26"/>
      <c r="L52" s="26"/>
      <c r="M52" s="26"/>
      <c r="N52" s="148"/>
      <c r="O52" s="26"/>
      <c r="P52" s="252"/>
    </row>
    <row r="53" spans="1:16" x14ac:dyDescent="0.35">
      <c r="A53" s="87"/>
      <c r="B53" s="19"/>
      <c r="C53" s="26"/>
      <c r="D53" s="44"/>
      <c r="E53" s="26"/>
      <c r="F53" s="26"/>
      <c r="G53" s="147"/>
      <c r="I53" s="26"/>
      <c r="J53" s="26"/>
      <c r="K53" s="26"/>
      <c r="L53" s="26"/>
      <c r="M53" s="26"/>
      <c r="N53" s="148"/>
      <c r="O53" s="26"/>
      <c r="P53" s="252"/>
    </row>
    <row r="54" spans="1:16" x14ac:dyDescent="0.35">
      <c r="A54" s="87"/>
      <c r="B54" s="19"/>
      <c r="C54" s="26"/>
      <c r="D54" s="44"/>
      <c r="E54" s="26"/>
      <c r="F54" s="26"/>
      <c r="G54" s="147"/>
      <c r="I54" s="26"/>
      <c r="J54" s="26"/>
      <c r="K54" s="26"/>
      <c r="L54" s="26"/>
      <c r="M54" s="26"/>
      <c r="N54" s="148"/>
      <c r="O54" s="26"/>
      <c r="P54" s="252"/>
    </row>
    <row r="55" spans="1:16" x14ac:dyDescent="0.35">
      <c r="A55" s="87"/>
      <c r="B55" s="19"/>
      <c r="C55" s="26"/>
      <c r="D55" s="44"/>
      <c r="E55" s="26"/>
      <c r="F55" s="26"/>
      <c r="G55" s="147"/>
      <c r="I55" s="26"/>
      <c r="J55" s="26"/>
      <c r="K55" s="26"/>
      <c r="L55" s="26"/>
      <c r="M55" s="26"/>
      <c r="N55" s="148"/>
      <c r="O55" s="26"/>
      <c r="P55" s="252"/>
    </row>
    <row r="56" spans="1:16" x14ac:dyDescent="0.35">
      <c r="A56" s="87"/>
      <c r="B56" s="19"/>
      <c r="C56" s="26"/>
      <c r="D56" s="44"/>
      <c r="E56" s="26"/>
      <c r="F56" s="26"/>
      <c r="G56" s="147"/>
      <c r="I56" s="26"/>
      <c r="J56" s="26"/>
      <c r="K56" s="26"/>
      <c r="L56" s="26"/>
      <c r="M56" s="26"/>
      <c r="N56" s="148"/>
      <c r="O56" s="26"/>
      <c r="P56" s="252"/>
    </row>
    <row r="57" spans="1:16" x14ac:dyDescent="0.35">
      <c r="A57" s="87"/>
      <c r="B57" s="19"/>
      <c r="C57" s="26"/>
      <c r="D57" s="44"/>
      <c r="E57" s="26"/>
      <c r="F57" s="26"/>
      <c r="G57" s="147"/>
      <c r="I57" s="26"/>
      <c r="J57" s="26"/>
      <c r="K57" s="26"/>
      <c r="L57" s="26"/>
      <c r="M57" s="26"/>
      <c r="N57" s="148"/>
      <c r="O57" s="26"/>
      <c r="P57" s="252"/>
    </row>
    <row r="58" spans="1:16" x14ac:dyDescent="0.35">
      <c r="A58" s="87"/>
      <c r="B58" s="19"/>
      <c r="C58" s="26"/>
      <c r="D58" s="44"/>
      <c r="E58" s="26"/>
      <c r="F58" s="26"/>
      <c r="G58" s="147"/>
      <c r="I58" s="26"/>
      <c r="J58" s="26"/>
      <c r="K58" s="26"/>
      <c r="L58" s="26"/>
      <c r="M58" s="26"/>
      <c r="N58" s="148"/>
      <c r="O58" s="26"/>
      <c r="P58" s="252"/>
    </row>
    <row r="59" spans="1:16" x14ac:dyDescent="0.35">
      <c r="A59" s="87"/>
      <c r="B59" s="19"/>
      <c r="C59" s="26"/>
      <c r="D59" s="44"/>
      <c r="E59" s="26"/>
      <c r="F59" s="26"/>
      <c r="G59" s="147"/>
      <c r="I59" s="26"/>
      <c r="J59" s="26"/>
      <c r="K59" s="26"/>
      <c r="L59" s="26"/>
      <c r="M59" s="26"/>
      <c r="N59" s="148"/>
      <c r="O59" s="26"/>
      <c r="P59" s="252"/>
    </row>
    <row r="60" spans="1:16" x14ac:dyDescent="0.35">
      <c r="A60" s="87"/>
      <c r="B60" s="19"/>
      <c r="C60" s="26"/>
      <c r="D60" s="44"/>
      <c r="E60" s="26"/>
      <c r="F60" s="26"/>
      <c r="G60" s="147"/>
      <c r="I60" s="26"/>
      <c r="J60" s="26"/>
      <c r="K60" s="26"/>
      <c r="L60" s="26"/>
      <c r="M60" s="26"/>
      <c r="N60" s="148"/>
      <c r="O60" s="26"/>
      <c r="P60" s="252"/>
    </row>
    <row r="61" spans="1:16" x14ac:dyDescent="0.35">
      <c r="A61" s="87"/>
      <c r="B61" s="19"/>
      <c r="C61" s="26"/>
      <c r="D61" s="44"/>
      <c r="E61" s="26"/>
      <c r="F61" s="26"/>
      <c r="G61" s="147"/>
      <c r="I61" s="26"/>
      <c r="J61" s="26"/>
      <c r="K61" s="26"/>
      <c r="L61" s="26"/>
      <c r="M61" s="26"/>
      <c r="N61" s="148"/>
      <c r="O61" s="26"/>
      <c r="P61" s="252"/>
    </row>
    <row r="62" spans="1:16" x14ac:dyDescent="0.35">
      <c r="A62" s="87"/>
      <c r="B62" s="19"/>
      <c r="C62" s="26"/>
      <c r="D62" s="44"/>
      <c r="E62" s="26"/>
      <c r="F62" s="26"/>
      <c r="G62" s="147"/>
      <c r="I62" s="26"/>
      <c r="J62" s="26"/>
      <c r="K62" s="26"/>
      <c r="L62" s="26"/>
      <c r="M62" s="26"/>
      <c r="N62" s="148"/>
      <c r="O62" s="26"/>
      <c r="P62" s="252"/>
    </row>
    <row r="63" spans="1:16" x14ac:dyDescent="0.35">
      <c r="A63" s="87"/>
      <c r="B63" s="19"/>
      <c r="C63" s="26"/>
      <c r="D63" s="44"/>
      <c r="E63" s="26"/>
      <c r="F63" s="26"/>
      <c r="G63" s="147"/>
      <c r="I63" s="26"/>
      <c r="J63" s="26"/>
      <c r="K63" s="26"/>
      <c r="L63" s="26"/>
      <c r="M63" s="26"/>
      <c r="N63" s="148"/>
      <c r="O63" s="26"/>
      <c r="P63" s="252"/>
    </row>
    <row r="64" spans="1:16" x14ac:dyDescent="0.35">
      <c r="A64" s="87"/>
      <c r="B64" s="19"/>
      <c r="C64" s="26"/>
      <c r="D64" s="44"/>
      <c r="E64" s="26"/>
      <c r="F64" s="26"/>
      <c r="G64" s="147"/>
      <c r="I64" s="26"/>
      <c r="J64" s="26"/>
      <c r="K64" s="26"/>
      <c r="L64" s="26"/>
      <c r="M64" s="26"/>
      <c r="N64" s="148"/>
      <c r="O64" s="26"/>
      <c r="P64" s="252"/>
    </row>
    <row r="65" spans="1:16" x14ac:dyDescent="0.35">
      <c r="A65" s="87"/>
      <c r="B65" s="19"/>
      <c r="C65" s="26"/>
      <c r="D65" s="44"/>
      <c r="E65" s="26"/>
      <c r="F65" s="26"/>
      <c r="G65" s="147"/>
      <c r="I65" s="26"/>
      <c r="J65" s="26"/>
      <c r="K65" s="26"/>
      <c r="L65" s="26"/>
      <c r="M65" s="26"/>
      <c r="N65" s="148"/>
      <c r="O65" s="26"/>
      <c r="P65" s="252"/>
    </row>
    <row r="66" spans="1:16" x14ac:dyDescent="0.35">
      <c r="A66" s="87"/>
      <c r="B66" s="19"/>
      <c r="C66" s="46"/>
      <c r="D66" s="44"/>
      <c r="E66" s="28"/>
      <c r="F66" s="26"/>
      <c r="G66" s="147"/>
      <c r="I66" s="26"/>
      <c r="J66" s="26"/>
      <c r="K66" s="26"/>
      <c r="L66" s="26"/>
      <c r="M66" s="26"/>
      <c r="N66" s="148"/>
      <c r="O66" s="26"/>
    </row>
    <row r="67" spans="1:16" x14ac:dyDescent="0.35">
      <c r="A67" s="87"/>
      <c r="B67" s="19"/>
      <c r="C67" s="46"/>
      <c r="D67" s="44"/>
      <c r="E67" s="28"/>
      <c r="F67" s="26"/>
      <c r="G67" s="147"/>
      <c r="I67" s="26"/>
      <c r="J67" s="26"/>
      <c r="K67" s="26"/>
      <c r="L67" s="26"/>
      <c r="M67" s="26"/>
      <c r="N67" s="148"/>
      <c r="O67" s="26"/>
    </row>
    <row r="68" spans="1:16" x14ac:dyDescent="0.35">
      <c r="A68" s="87"/>
      <c r="B68" s="19"/>
      <c r="C68" s="26"/>
      <c r="D68" s="44"/>
      <c r="E68" s="26"/>
      <c r="F68" s="26"/>
      <c r="G68" s="147"/>
      <c r="I68" s="26"/>
      <c r="J68" s="26"/>
      <c r="K68" s="44"/>
      <c r="L68" s="26"/>
      <c r="M68" s="26"/>
      <c r="N68" s="148"/>
      <c r="O68" s="26"/>
    </row>
    <row r="69" spans="1:16" x14ac:dyDescent="0.35">
      <c r="A69" s="87"/>
      <c r="B69" s="19"/>
      <c r="C69" s="35"/>
      <c r="D69" s="113"/>
      <c r="E69" s="28"/>
      <c r="F69" s="35"/>
      <c r="G69" s="285"/>
      <c r="I69" s="331"/>
      <c r="J69" s="295"/>
      <c r="K69" s="308"/>
      <c r="L69" s="26"/>
      <c r="M69" s="338"/>
      <c r="N69" s="151"/>
      <c r="O69" s="26"/>
    </row>
    <row r="70" spans="1:16" x14ac:dyDescent="0.35">
      <c r="A70" s="87"/>
      <c r="B70" s="19"/>
      <c r="C70" s="35"/>
      <c r="D70" s="113"/>
      <c r="E70" s="28"/>
      <c r="F70" s="35"/>
      <c r="G70" s="285"/>
      <c r="I70" s="331"/>
      <c r="J70" s="295"/>
      <c r="K70" s="308"/>
      <c r="L70" s="26"/>
      <c r="M70" s="338"/>
      <c r="N70" s="151"/>
      <c r="O70" s="26"/>
    </row>
    <row r="71" spans="1:16" x14ac:dyDescent="0.35">
      <c r="A71" s="87"/>
      <c r="B71" s="19"/>
      <c r="C71" s="35"/>
      <c r="D71" s="113"/>
      <c r="E71" s="28"/>
      <c r="F71" s="35"/>
      <c r="G71" s="285"/>
      <c r="I71" s="331"/>
      <c r="J71" s="295"/>
      <c r="K71" s="308"/>
      <c r="L71" s="26"/>
      <c r="M71" s="338"/>
      <c r="N71" s="151"/>
      <c r="O71" s="26"/>
    </row>
    <row r="72" spans="1:16" x14ac:dyDescent="0.35">
      <c r="A72" s="87"/>
      <c r="B72" s="19"/>
      <c r="C72" s="35"/>
      <c r="D72" s="113"/>
      <c r="E72" s="28"/>
      <c r="F72" s="35"/>
      <c r="G72" s="285"/>
      <c r="I72" s="331"/>
      <c r="J72" s="295"/>
      <c r="K72" s="308"/>
      <c r="L72" s="26"/>
      <c r="M72" s="338"/>
      <c r="N72" s="151"/>
      <c r="O72" s="26"/>
    </row>
    <row r="73" spans="1:16" x14ac:dyDescent="0.35">
      <c r="A73" s="87"/>
      <c r="B73" s="19"/>
      <c r="C73" s="35"/>
      <c r="D73" s="113"/>
      <c r="E73" s="28"/>
      <c r="F73" s="35"/>
      <c r="G73" s="285"/>
      <c r="I73" s="331"/>
      <c r="J73" s="295"/>
      <c r="K73" s="308"/>
      <c r="L73" s="26"/>
      <c r="M73" s="338"/>
      <c r="N73" s="151"/>
      <c r="O73" s="26"/>
    </row>
    <row r="74" spans="1:16" x14ac:dyDescent="0.35">
      <c r="A74" s="87"/>
      <c r="B74" s="19"/>
      <c r="C74" s="35"/>
      <c r="D74" s="113"/>
      <c r="E74" s="28"/>
      <c r="F74" s="35"/>
      <c r="G74" s="285"/>
      <c r="I74" s="331"/>
      <c r="J74" s="295"/>
      <c r="K74" s="308"/>
      <c r="L74" s="26"/>
      <c r="M74" s="338"/>
      <c r="N74" s="151"/>
      <c r="O74" s="26"/>
    </row>
    <row r="75" spans="1:16" x14ac:dyDescent="0.35">
      <c r="A75" s="136"/>
      <c r="B75" s="285"/>
      <c r="C75" s="26"/>
      <c r="D75" s="35"/>
      <c r="E75" s="113"/>
      <c r="F75" s="28"/>
      <c r="G75" s="35"/>
      <c r="H75" s="285"/>
      <c r="I75" s="331"/>
      <c r="J75" s="26"/>
      <c r="K75" s="308"/>
      <c r="L75" s="26"/>
      <c r="M75" s="338"/>
      <c r="N75" s="151"/>
      <c r="O75" s="26"/>
    </row>
    <row r="76" spans="1:16" x14ac:dyDescent="0.35">
      <c r="A76" s="79"/>
      <c r="B76" s="35"/>
      <c r="C76" s="26"/>
      <c r="D76" s="26"/>
      <c r="E76" s="69"/>
      <c r="F76" s="28"/>
      <c r="G76" s="35"/>
      <c r="H76" s="285"/>
      <c r="I76" s="331"/>
      <c r="J76" s="26"/>
      <c r="K76" s="308"/>
      <c r="L76" s="26"/>
      <c r="M76" s="338"/>
      <c r="N76" s="151"/>
      <c r="O76" s="26"/>
    </row>
    <row r="77" spans="1:16" x14ac:dyDescent="0.35">
      <c r="A77" s="95"/>
      <c r="B77" s="339"/>
      <c r="C77" s="116"/>
      <c r="D77" s="46"/>
      <c r="E77" s="326"/>
      <c r="F77" s="28"/>
      <c r="G77" s="26"/>
      <c r="H77" s="147"/>
      <c r="I77" s="26"/>
      <c r="J77" s="26"/>
      <c r="K77" s="26"/>
      <c r="L77" s="26"/>
      <c r="M77" s="26"/>
      <c r="N77" s="189"/>
      <c r="O77" s="26"/>
    </row>
    <row r="78" spans="1:16" x14ac:dyDescent="0.35">
      <c r="A78" s="28"/>
      <c r="B78" s="435"/>
      <c r="C78" s="27"/>
      <c r="D78" s="46"/>
      <c r="E78" s="44"/>
      <c r="F78" s="28"/>
      <c r="G78" s="26"/>
      <c r="H78" s="147"/>
      <c r="I78" s="26"/>
      <c r="J78" s="26"/>
      <c r="K78" s="26"/>
      <c r="L78" s="26"/>
      <c r="M78" s="26"/>
      <c r="N78" s="148"/>
      <c r="O78" s="26"/>
    </row>
    <row r="79" spans="1:16" x14ac:dyDescent="0.35">
      <c r="A79" s="95"/>
      <c r="B79" s="435"/>
      <c r="C79" s="136"/>
      <c r="D79" s="46"/>
      <c r="E79" s="44"/>
      <c r="F79" s="28"/>
      <c r="G79" s="26"/>
      <c r="H79" s="147"/>
      <c r="I79" s="26"/>
      <c r="J79" s="26"/>
      <c r="K79" s="26"/>
      <c r="L79" s="26"/>
      <c r="M79" s="26"/>
      <c r="N79" s="148"/>
      <c r="O79" s="26"/>
      <c r="P79" s="252"/>
    </row>
    <row r="80" spans="1:16" x14ac:dyDescent="0.35">
      <c r="A80" s="95"/>
      <c r="B80" s="339"/>
      <c r="C80" s="116"/>
      <c r="D80" s="46"/>
      <c r="E80" s="44"/>
      <c r="F80" s="28"/>
      <c r="G80" s="26"/>
      <c r="H80" s="147"/>
      <c r="I80" s="26"/>
      <c r="J80" s="26"/>
      <c r="K80" s="26"/>
      <c r="L80" s="26"/>
      <c r="M80" s="26"/>
      <c r="N80" s="140"/>
      <c r="O80" s="28"/>
    </row>
    <row r="81" spans="1:17" x14ac:dyDescent="0.35">
      <c r="A81" s="95"/>
      <c r="B81" s="69"/>
      <c r="C81" s="26"/>
      <c r="D81" s="35"/>
      <c r="E81" s="69"/>
      <c r="F81" s="28"/>
      <c r="G81" s="35"/>
      <c r="H81" s="285"/>
      <c r="I81" s="136"/>
      <c r="J81" s="26"/>
      <c r="K81" s="295"/>
      <c r="L81" s="248"/>
      <c r="M81" s="26"/>
      <c r="N81" s="140"/>
      <c r="O81" s="28"/>
    </row>
    <row r="82" spans="1:17" x14ac:dyDescent="0.35">
      <c r="A82" s="26"/>
      <c r="B82" s="360"/>
      <c r="C82" s="26"/>
      <c r="D82" s="26"/>
      <c r="E82" s="44"/>
      <c r="F82" s="26"/>
      <c r="G82" s="26"/>
      <c r="H82" s="147"/>
      <c r="I82" s="26"/>
      <c r="J82" s="361"/>
      <c r="K82" s="26"/>
      <c r="L82" s="26"/>
      <c r="M82" s="26"/>
      <c r="N82" s="148"/>
      <c r="O82" s="26"/>
      <c r="P82" s="26"/>
    </row>
    <row r="83" spans="1:17" ht="15.75" customHeight="1" x14ac:dyDescent="0.35">
      <c r="A83" s="13" t="s">
        <v>102</v>
      </c>
      <c r="B83" s="35"/>
      <c r="C83" s="26"/>
      <c r="D83" s="26"/>
      <c r="E83" s="44"/>
      <c r="F83" s="26"/>
      <c r="G83" s="26"/>
      <c r="H83" s="147"/>
      <c r="I83" s="26"/>
      <c r="J83" s="26"/>
      <c r="K83" s="26"/>
      <c r="L83" s="26"/>
      <c r="M83" s="26"/>
      <c r="N83" s="148"/>
      <c r="O83" s="26"/>
      <c r="P83" s="26"/>
    </row>
    <row r="84" spans="1:17" x14ac:dyDescent="0.35">
      <c r="A84" s="15" t="s">
        <v>356</v>
      </c>
    </row>
    <row r="85" spans="1:17" x14ac:dyDescent="0.35">
      <c r="A85" s="15" t="s">
        <v>15</v>
      </c>
      <c r="B85" s="68">
        <f>('баланс тритий'!B131+'баланс дейтерий'!B131)*'параметры для расчета'!C22%</f>
        <v>2.0833333333333335E+18</v>
      </c>
      <c r="C85" s="13" t="s">
        <v>14</v>
      </c>
      <c r="D85" s="18" t="s">
        <v>37</v>
      </c>
      <c r="E85" s="668">
        <f t="shared" ref="E85:E93" si="0">B85*(1/2*1.38E-23*1000)</f>
        <v>1.4375000000000002E-2</v>
      </c>
      <c r="F85" s="13" t="s">
        <v>9</v>
      </c>
      <c r="G85" s="18" t="s">
        <v>37</v>
      </c>
      <c r="H85" s="109">
        <f t="shared" ref="H85:H93" si="1">B85*1/(6.02*10^23)</f>
        <v>3.4606866002214846E-6</v>
      </c>
      <c r="I85" s="436" t="s">
        <v>7</v>
      </c>
      <c r="K85" s="14" t="s">
        <v>313</v>
      </c>
      <c r="N85" s="140"/>
      <c r="O85" s="26"/>
      <c r="P85" s="85"/>
    </row>
    <row r="86" spans="1:17" x14ac:dyDescent="0.35">
      <c r="A86" s="15"/>
      <c r="B86" s="489">
        <f>('баланс тритий'!B132+'баланс дейтерий'!B132)*'параметры для расчета'!C22%</f>
        <v>2.0833333333333335E+18</v>
      </c>
      <c r="D86" s="570"/>
      <c r="E86" s="489">
        <f t="shared" si="0"/>
        <v>1.4375000000000002E-2</v>
      </c>
      <c r="G86" s="570"/>
      <c r="H86" s="606">
        <f>B86*1/(6.02*10^23)</f>
        <v>3.4606866002214846E-6</v>
      </c>
      <c r="I86" s="436"/>
      <c r="N86" s="571"/>
      <c r="O86" s="26"/>
      <c r="P86" s="85"/>
    </row>
    <row r="87" spans="1:17" ht="15.75" customHeight="1" x14ac:dyDescent="0.35">
      <c r="B87" s="209">
        <f>('баланс тритий'!B133+'баланс дейтерий'!B133)*'параметры для расчета'!C22%</f>
        <v>2.0833333333333335E+18</v>
      </c>
      <c r="C87" s="643"/>
      <c r="D87" s="644"/>
      <c r="E87" s="209">
        <f t="shared" si="0"/>
        <v>1.4375000000000002E-2</v>
      </c>
      <c r="F87" s="643"/>
      <c r="G87" s="644"/>
      <c r="H87" s="209">
        <f t="shared" si="1"/>
        <v>3.4606866002214846E-6</v>
      </c>
      <c r="I87" s="436"/>
      <c r="K87" s="74"/>
      <c r="N87" s="336"/>
      <c r="O87" s="26"/>
      <c r="P87" s="85"/>
    </row>
    <row r="88" spans="1:17" ht="15.75" customHeight="1" x14ac:dyDescent="0.35">
      <c r="A88" s="15" t="s">
        <v>16</v>
      </c>
      <c r="B88" s="68">
        <f>('баланс тритий'!B134+'баланс дейтерий'!B131)*'параметры для расчета'!C22%</f>
        <v>3.976367851494015E+19</v>
      </c>
      <c r="C88" s="13" t="s">
        <v>14</v>
      </c>
      <c r="D88" s="18" t="s">
        <v>37</v>
      </c>
      <c r="E88" s="668">
        <f t="shared" si="0"/>
        <v>0.27436938175308706</v>
      </c>
      <c r="F88" s="13" t="s">
        <v>9</v>
      </c>
      <c r="G88" s="18" t="s">
        <v>37</v>
      </c>
      <c r="H88" s="109">
        <f t="shared" si="1"/>
        <v>6.6052622117840788E-5</v>
      </c>
      <c r="I88" s="436" t="s">
        <v>7</v>
      </c>
      <c r="J88" s="25"/>
      <c r="K88" s="14" t="s">
        <v>313</v>
      </c>
      <c r="M88" s="15"/>
      <c r="N88" s="140"/>
      <c r="O88" s="26"/>
      <c r="P88" s="85"/>
    </row>
    <row r="89" spans="1:17" ht="15.75" customHeight="1" x14ac:dyDescent="0.35">
      <c r="A89" s="15"/>
      <c r="B89" s="489">
        <f>('баланс тритий'!B135+'баланс дейтерий'!B135)*'параметры для расчета'!C22%</f>
        <v>7.7444023696546955E+19</v>
      </c>
      <c r="D89" s="570"/>
      <c r="E89" s="489">
        <f t="shared" si="0"/>
        <v>0.53436376350617398</v>
      </c>
      <c r="G89" s="570"/>
      <c r="H89" s="606">
        <f>B89*1/(6.02*10^23)</f>
        <v>1.2864455763546008E-4</v>
      </c>
      <c r="I89" s="436"/>
      <c r="J89" s="25"/>
      <c r="K89" s="74"/>
      <c r="M89" s="15"/>
      <c r="N89" s="571"/>
      <c r="O89" s="26"/>
      <c r="P89" s="85"/>
    </row>
    <row r="90" spans="1:17" x14ac:dyDescent="0.35">
      <c r="B90" s="182">
        <f>('баланс тритий'!B136+'баланс дейтерий'!B136)*'параметры для расчета'!C22%</f>
        <v>7.7444023696546955E+19</v>
      </c>
      <c r="C90" s="216"/>
      <c r="D90" s="217"/>
      <c r="E90" s="182">
        <f t="shared" si="0"/>
        <v>0.53436376350617398</v>
      </c>
      <c r="F90" s="216"/>
      <c r="G90" s="217"/>
      <c r="H90" s="209">
        <f t="shared" si="1"/>
        <v>1.2864455763546008E-4</v>
      </c>
      <c r="I90" s="436"/>
      <c r="N90" s="140"/>
      <c r="O90" s="26"/>
      <c r="P90" s="85"/>
    </row>
    <row r="91" spans="1:17" x14ac:dyDescent="0.35">
      <c r="A91" s="15" t="s">
        <v>17</v>
      </c>
      <c r="B91" s="68">
        <f>('баланс тритий'!B137+'баланс дейтерий'!B137)*'параметры для расчета'!C22%</f>
        <v>6.5518028411816755E+19</v>
      </c>
      <c r="C91" s="13" t="s">
        <v>14</v>
      </c>
      <c r="D91" s="18" t="s">
        <v>37</v>
      </c>
      <c r="E91" s="667">
        <f t="shared" si="0"/>
        <v>0.45207439604153565</v>
      </c>
      <c r="F91" s="13" t="s">
        <v>9</v>
      </c>
      <c r="G91" s="18" t="s">
        <v>37</v>
      </c>
      <c r="H91" s="109">
        <f t="shared" si="1"/>
        <v>1.0883393423889827E-4</v>
      </c>
      <c r="I91" s="436" t="s">
        <v>7</v>
      </c>
      <c r="K91" s="14" t="s">
        <v>313</v>
      </c>
      <c r="M91" s="15"/>
      <c r="N91" s="140"/>
      <c r="O91" s="26"/>
      <c r="P91" s="85"/>
    </row>
    <row r="92" spans="1:17" x14ac:dyDescent="0.35">
      <c r="A92" s="15"/>
      <c r="B92" s="489">
        <f>('баланс тритий'!B138+'баланс дейтерий'!B138)*'параметры для расчета'!C22%</f>
        <v>6.5518028411816755E+19</v>
      </c>
      <c r="D92" s="570"/>
      <c r="E92" s="133">
        <f t="shared" si="0"/>
        <v>0.45207439604153565</v>
      </c>
      <c r="G92" s="570"/>
      <c r="H92" s="606">
        <f>B92*1/(6.02*10^23)</f>
        <v>1.0883393423889827E-4</v>
      </c>
      <c r="I92" s="436"/>
      <c r="K92" s="74"/>
      <c r="M92" s="15"/>
      <c r="N92" s="571"/>
      <c r="O92" s="26"/>
      <c r="P92" s="85"/>
    </row>
    <row r="93" spans="1:17" x14ac:dyDescent="0.35">
      <c r="B93" s="182">
        <f>('баланс тритий'!B139+'баланс дейтерий'!B139)*'параметры для расчета'!C22%</f>
        <v>6.5518028411816772E+19</v>
      </c>
      <c r="C93" s="19"/>
      <c r="D93" s="406"/>
      <c r="E93" s="211">
        <f t="shared" si="0"/>
        <v>0.45207439604153576</v>
      </c>
      <c r="F93" s="19"/>
      <c r="G93" s="406"/>
      <c r="H93" s="209">
        <f t="shared" si="1"/>
        <v>1.088339342388983E-4</v>
      </c>
      <c r="I93" s="436"/>
      <c r="N93" s="336"/>
      <c r="O93" s="26"/>
      <c r="P93" s="85"/>
    </row>
    <row r="94" spans="1:17" x14ac:dyDescent="0.35">
      <c r="A94" s="436" t="s">
        <v>108</v>
      </c>
      <c r="B94" s="110"/>
      <c r="C94" s="19"/>
      <c r="D94" s="406"/>
      <c r="E94" s="572"/>
      <c r="F94" s="19"/>
      <c r="G94" s="406"/>
      <c r="H94" s="107"/>
      <c r="I94" s="436"/>
      <c r="K94" s="74"/>
      <c r="M94" s="230"/>
      <c r="N94" s="359"/>
      <c r="O94" s="19"/>
      <c r="Q94" s="144"/>
    </row>
    <row r="95" spans="1:17" x14ac:dyDescent="0.35">
      <c r="A95" s="94" t="s">
        <v>109</v>
      </c>
      <c r="B95" s="68">
        <f>B88*'параметры для расчета'!C67%+B85*'параметры для расчета'!C66%</f>
        <v>3.7662310663446135E+19</v>
      </c>
      <c r="C95" s="13" t="s">
        <v>14</v>
      </c>
      <c r="D95" s="570" t="s">
        <v>37</v>
      </c>
      <c r="E95" s="666">
        <f>E85+E88+E91</f>
        <v>0.74081877779462268</v>
      </c>
      <c r="F95" s="13" t="s">
        <v>9</v>
      </c>
      <c r="G95" s="570" t="s">
        <v>37</v>
      </c>
      <c r="H95" s="77">
        <f>B95*3/(6.02*10^23)</f>
        <v>1.8768593353876814E-4</v>
      </c>
      <c r="I95" s="436" t="s">
        <v>7</v>
      </c>
      <c r="J95" s="26"/>
      <c r="K95" s="14" t="s">
        <v>313</v>
      </c>
      <c r="L95" s="26"/>
      <c r="M95" s="26"/>
      <c r="N95" s="336"/>
      <c r="O95" s="19"/>
      <c r="P95" s="25"/>
      <c r="Q95" s="144"/>
    </row>
    <row r="96" spans="1:17" x14ac:dyDescent="0.35">
      <c r="A96" s="94"/>
      <c r="B96" s="489">
        <f>B89*'параметры для расчета'!C67%+B86*'параметры для расчета'!C66%</f>
        <v>7.1574621326892261E+19</v>
      </c>
      <c r="D96" s="570"/>
      <c r="E96" s="580">
        <f>E86+E89+E92</f>
        <v>1.0008131595477097</v>
      </c>
      <c r="G96" s="570"/>
      <c r="H96" s="582">
        <f>B96*3/(6.02*10^23)</f>
        <v>3.5668415943634018E-4</v>
      </c>
      <c r="I96" s="436"/>
      <c r="J96" s="295"/>
      <c r="K96" s="308"/>
      <c r="L96" s="26"/>
      <c r="M96" s="26"/>
      <c r="N96" s="148"/>
      <c r="Q96" s="144"/>
    </row>
    <row r="97" spans="1:17" x14ac:dyDescent="0.35">
      <c r="B97" s="182">
        <f>B90*'параметры для расчета'!C67%+B87*'параметры для расчета'!C66%</f>
        <v>7.1574621326892261E+19</v>
      </c>
      <c r="C97" s="19"/>
      <c r="D97" s="406"/>
      <c r="E97" s="211">
        <f>E87+E90+E93</f>
        <v>1.0008131595477097</v>
      </c>
      <c r="F97" s="19"/>
      <c r="G97" s="406"/>
      <c r="H97" s="184">
        <f>B97*3/(6.02*10^23)</f>
        <v>3.5668415943634018E-4</v>
      </c>
      <c r="I97" s="436"/>
      <c r="J97" s="280"/>
      <c r="K97" s="308"/>
      <c r="L97" s="248"/>
      <c r="M97" s="295"/>
      <c r="N97" s="352"/>
      <c r="O97" s="52"/>
      <c r="Q97" s="144"/>
    </row>
    <row r="98" spans="1:17" x14ac:dyDescent="0.35">
      <c r="B98" s="69"/>
      <c r="C98" s="19"/>
      <c r="D98" s="406"/>
      <c r="E98" s="571"/>
      <c r="F98" s="19"/>
      <c r="G98" s="406"/>
      <c r="H98" s="107"/>
      <c r="I98" s="436"/>
      <c r="J98" s="280"/>
      <c r="K98" s="308"/>
      <c r="L98" s="248"/>
      <c r="M98" s="295"/>
      <c r="N98" s="352"/>
      <c r="O98" s="52"/>
      <c r="Q98" s="144"/>
    </row>
    <row r="99" spans="1:17" x14ac:dyDescent="0.35">
      <c r="B99" s="69"/>
      <c r="C99" s="19"/>
      <c r="D99" s="406"/>
      <c r="E99" s="571"/>
      <c r="F99" s="19"/>
      <c r="G99" s="406"/>
      <c r="H99" s="107"/>
      <c r="I99" s="436"/>
      <c r="J99" s="280"/>
      <c r="K99" s="308"/>
      <c r="L99" s="248"/>
      <c r="M99" s="295"/>
      <c r="N99" s="352"/>
      <c r="O99" s="52"/>
      <c r="Q99" s="144"/>
    </row>
    <row r="100" spans="1:17" ht="15.75" customHeight="1" x14ac:dyDescent="0.35">
      <c r="B100" s="35"/>
      <c r="C100" s="26"/>
      <c r="D100" s="26"/>
      <c r="E100" s="44"/>
      <c r="F100" s="26"/>
      <c r="G100" s="26"/>
      <c r="H100" s="147"/>
      <c r="I100" s="26"/>
      <c r="J100" s="26"/>
      <c r="K100" s="26"/>
      <c r="L100" s="26"/>
      <c r="M100" s="26"/>
      <c r="N100" s="352"/>
      <c r="P100" s="25"/>
      <c r="Q100" s="144"/>
    </row>
    <row r="101" spans="1:17" x14ac:dyDescent="0.35">
      <c r="Q101" s="144"/>
    </row>
    <row r="102" spans="1:17" x14ac:dyDescent="0.35">
      <c r="A102" s="26"/>
      <c r="B102" s="35"/>
      <c r="C102" s="26"/>
      <c r="D102" s="26"/>
      <c r="E102" s="44"/>
      <c r="F102" s="26"/>
      <c r="G102" s="26"/>
      <c r="H102" s="147"/>
      <c r="I102" s="26"/>
      <c r="J102" s="26"/>
      <c r="K102" s="26"/>
      <c r="L102" s="26"/>
      <c r="M102" s="26"/>
      <c r="N102" s="148"/>
      <c r="O102" s="26"/>
      <c r="P102" s="26"/>
      <c r="Q102" s="144"/>
    </row>
    <row r="103" spans="1:17" ht="15.75" customHeight="1" x14ac:dyDescent="0.35">
      <c r="A103" s="28"/>
      <c r="B103" s="35"/>
      <c r="C103" s="26"/>
      <c r="D103" s="26"/>
      <c r="E103" s="44"/>
      <c r="F103" s="26"/>
      <c r="G103" s="26"/>
      <c r="H103" s="147"/>
      <c r="I103" s="26"/>
      <c r="J103" s="26"/>
      <c r="K103" s="26"/>
      <c r="L103" s="26"/>
      <c r="M103" s="26"/>
      <c r="N103" s="148"/>
      <c r="O103" s="26"/>
      <c r="P103" s="365"/>
    </row>
    <row r="104" spans="1:17" ht="15.75" customHeight="1" x14ac:dyDescent="0.35">
      <c r="B104" s="13"/>
      <c r="E104" s="13"/>
      <c r="N104" s="148"/>
      <c r="O104" s="26"/>
      <c r="P104" s="26"/>
    </row>
    <row r="105" spans="1:17" x14ac:dyDescent="0.35">
      <c r="B105" s="13"/>
      <c r="E105" s="13"/>
      <c r="N105" s="148"/>
      <c r="O105" s="26"/>
      <c r="P105" s="26"/>
    </row>
    <row r="106" spans="1:17" x14ac:dyDescent="0.35">
      <c r="B106" s="13"/>
      <c r="E106" s="13"/>
      <c r="N106" s="148"/>
      <c r="O106" s="26"/>
      <c r="P106" s="26"/>
    </row>
    <row r="107" spans="1:17" x14ac:dyDescent="0.35">
      <c r="B107" s="13"/>
      <c r="E107" s="13"/>
      <c r="N107" s="148"/>
      <c r="O107" s="26"/>
      <c r="P107" s="26"/>
    </row>
    <row r="108" spans="1:17" x14ac:dyDescent="0.35">
      <c r="B108" s="13"/>
      <c r="E108" s="13"/>
      <c r="N108" s="148"/>
      <c r="O108" s="26"/>
      <c r="P108" s="26"/>
    </row>
    <row r="109" spans="1:17" x14ac:dyDescent="0.35">
      <c r="B109" s="13"/>
      <c r="E109" s="13"/>
      <c r="H109" s="13"/>
    </row>
    <row r="110" spans="1:17" x14ac:dyDescent="0.35">
      <c r="B110" s="13"/>
      <c r="E110" s="13"/>
      <c r="H110" s="13"/>
      <c r="N110" s="148"/>
      <c r="O110" s="26"/>
      <c r="P110" s="26"/>
      <c r="Q110" s="167"/>
    </row>
    <row r="111" spans="1:17" x14ac:dyDescent="0.35">
      <c r="B111" s="13"/>
      <c r="E111" s="13"/>
      <c r="N111" s="148"/>
      <c r="O111" s="26"/>
      <c r="P111" s="340"/>
      <c r="Q111" s="167"/>
    </row>
    <row r="112" spans="1:17" x14ac:dyDescent="0.35">
      <c r="B112" s="13"/>
      <c r="E112" s="13"/>
      <c r="N112" s="26"/>
      <c r="O112" s="26"/>
      <c r="P112" s="26"/>
      <c r="Q112" s="19"/>
    </row>
    <row r="113" spans="1:17" x14ac:dyDescent="0.35">
      <c r="B113" s="13"/>
      <c r="E113" s="13"/>
      <c r="N113" s="26"/>
      <c r="O113" s="26"/>
      <c r="P113" s="26"/>
      <c r="Q113" s="19"/>
    </row>
    <row r="114" spans="1:17" ht="15.75" customHeight="1" x14ac:dyDescent="0.35">
      <c r="B114" s="13"/>
      <c r="E114" s="13"/>
      <c r="N114" s="26"/>
      <c r="O114" s="26"/>
      <c r="P114" s="26"/>
      <c r="Q114" s="19"/>
    </row>
    <row r="115" spans="1:17" x14ac:dyDescent="0.35">
      <c r="B115" s="13"/>
      <c r="E115" s="13"/>
      <c r="N115" s="26"/>
      <c r="O115" s="26"/>
      <c r="P115" s="26"/>
      <c r="Q115" s="19"/>
    </row>
    <row r="116" spans="1:17" x14ac:dyDescent="0.35">
      <c r="B116" s="13"/>
      <c r="E116" s="13"/>
      <c r="N116" s="148"/>
      <c r="O116" s="26"/>
      <c r="P116" s="346"/>
      <c r="Q116" s="19"/>
    </row>
    <row r="117" spans="1:17" x14ac:dyDescent="0.35">
      <c r="B117" s="13"/>
      <c r="E117" s="13"/>
      <c r="N117" s="148"/>
      <c r="O117" s="26"/>
      <c r="P117" s="346"/>
      <c r="Q117" s="19"/>
    </row>
    <row r="118" spans="1:17" x14ac:dyDescent="0.35">
      <c r="B118" s="13"/>
      <c r="E118" s="13"/>
      <c r="N118" s="148"/>
      <c r="O118" s="26"/>
      <c r="P118" s="346"/>
      <c r="Q118" s="19"/>
    </row>
    <row r="119" spans="1:17" x14ac:dyDescent="0.35">
      <c r="B119" s="13"/>
      <c r="E119" s="13"/>
      <c r="N119" s="148"/>
      <c r="O119" s="26"/>
      <c r="P119" s="346"/>
      <c r="Q119" s="19"/>
    </row>
    <row r="120" spans="1:17" x14ac:dyDescent="0.35">
      <c r="B120" s="13"/>
      <c r="E120" s="13"/>
      <c r="N120" s="148"/>
      <c r="O120" s="26"/>
      <c r="P120" s="346"/>
      <c r="Q120" s="19"/>
    </row>
    <row r="121" spans="1:17" x14ac:dyDescent="0.35">
      <c r="A121" s="26"/>
      <c r="B121" s="13"/>
      <c r="E121" s="13"/>
      <c r="N121" s="332"/>
      <c r="O121" s="26"/>
      <c r="P121" s="308"/>
      <c r="Q121" s="19"/>
    </row>
    <row r="122" spans="1:17" x14ac:dyDescent="0.35">
      <c r="A122" s="29"/>
      <c r="B122" s="69"/>
      <c r="C122" s="26"/>
      <c r="D122" s="35"/>
      <c r="E122" s="140"/>
      <c r="F122" s="46"/>
      <c r="G122" s="26"/>
      <c r="H122" s="26"/>
      <c r="I122" s="26"/>
      <c r="J122" s="46"/>
      <c r="K122" s="26"/>
      <c r="L122" s="140"/>
      <c r="M122" s="28"/>
      <c r="N122" s="343"/>
      <c r="O122" s="26"/>
      <c r="P122" s="26"/>
      <c r="Q122" s="19"/>
    </row>
    <row r="123" spans="1:17" x14ac:dyDescent="0.35">
      <c r="A123" s="26"/>
      <c r="B123" s="347"/>
      <c r="C123" s="26"/>
      <c r="D123" s="35"/>
      <c r="E123" s="334"/>
      <c r="F123" s="26"/>
      <c r="G123" s="26"/>
      <c r="H123" s="147"/>
      <c r="I123" s="26"/>
      <c r="J123" s="26"/>
      <c r="K123" s="26"/>
      <c r="L123" s="26"/>
      <c r="M123" s="26"/>
      <c r="N123" s="148"/>
      <c r="O123" s="26"/>
      <c r="P123" s="308"/>
    </row>
    <row r="124" spans="1:17" x14ac:dyDescent="0.35">
      <c r="A124" s="246" t="s">
        <v>221</v>
      </c>
      <c r="B124" s="68" t="s">
        <v>11</v>
      </c>
      <c r="C124" s="26"/>
      <c r="D124" s="35"/>
      <c r="E124" s="68" t="s">
        <v>11</v>
      </c>
      <c r="F124" s="136"/>
      <c r="G124" s="35"/>
      <c r="H124" s="114" t="s">
        <v>11</v>
      </c>
      <c r="I124" s="26"/>
      <c r="J124" s="26"/>
      <c r="K124" s="26"/>
      <c r="L124" s="26"/>
      <c r="M124" s="26"/>
      <c r="N124" s="26"/>
      <c r="O124" s="26"/>
      <c r="P124" s="26"/>
    </row>
    <row r="125" spans="1:17" x14ac:dyDescent="0.35">
      <c r="B125" s="606">
        <f>'баланс дейтерий'!B55</f>
        <v>5.797101449275362E+21</v>
      </c>
      <c r="C125" s="28"/>
      <c r="D125" s="27"/>
      <c r="E125" s="606">
        <f>B125*(1/2*1.38E-23*300)</f>
        <v>12</v>
      </c>
      <c r="F125" s="28"/>
      <c r="G125" s="27"/>
      <c r="H125" s="580">
        <f>B125*2/(6.02*10^23)</f>
        <v>1.9259473253406521E-2</v>
      </c>
      <c r="I125" s="136"/>
      <c r="J125" s="46"/>
      <c r="K125" s="355" t="s">
        <v>206</v>
      </c>
      <c r="L125" s="140"/>
      <c r="M125" s="95"/>
      <c r="N125" s="140"/>
      <c r="O125" s="26"/>
      <c r="P125" s="248"/>
    </row>
    <row r="126" spans="1:17" x14ac:dyDescent="0.35">
      <c r="B126" s="209">
        <f>'баланс дейтерий'!B56</f>
        <v>1.1594202898550724E+22</v>
      </c>
      <c r="C126" s="28" t="s">
        <v>14</v>
      </c>
      <c r="D126" s="27" t="s">
        <v>37</v>
      </c>
      <c r="E126" s="209">
        <f>B126*(1/2*1.38E-23*300)</f>
        <v>24</v>
      </c>
      <c r="F126" s="28" t="s">
        <v>9</v>
      </c>
      <c r="G126" s="27" t="s">
        <v>37</v>
      </c>
      <c r="H126" s="431">
        <f>B126*2/(6.02*10^23)</f>
        <v>3.8518946506813041E-2</v>
      </c>
      <c r="I126" s="436" t="s">
        <v>7</v>
      </c>
      <c r="J126" s="46"/>
      <c r="K126" s="355" t="s">
        <v>207</v>
      </c>
      <c r="L126" s="140"/>
      <c r="M126" s="329"/>
      <c r="N126" s="140"/>
      <c r="O126" s="26"/>
      <c r="P126" s="248"/>
    </row>
    <row r="127" spans="1:17" x14ac:dyDescent="0.35">
      <c r="A127" s="26"/>
      <c r="B127" s="69"/>
      <c r="C127" s="26"/>
      <c r="D127" s="26"/>
      <c r="E127" s="44"/>
      <c r="F127" s="26"/>
      <c r="G127" s="26"/>
      <c r="H127" s="147"/>
      <c r="I127" s="26"/>
      <c r="J127" s="26"/>
      <c r="L127" s="26"/>
      <c r="M127" s="26"/>
      <c r="N127" s="148"/>
      <c r="O127" s="26"/>
      <c r="P127" s="26"/>
    </row>
    <row r="128" spans="1:17" x14ac:dyDescent="0.35">
      <c r="A128" s="120" t="s">
        <v>220</v>
      </c>
      <c r="B128" s="68">
        <f>('баланс тритий'!B58+'баланс дейтерий'!B58)*'параметры для расчета'!C22%</f>
        <v>3.5555555555555565E+17</v>
      </c>
      <c r="C128" s="19" t="s">
        <v>14</v>
      </c>
      <c r="D128" s="406" t="s">
        <v>37</v>
      </c>
      <c r="E128" s="68">
        <f>B128*(1/2*1.38E-23*300)</f>
        <v>7.3600000000000022E-4</v>
      </c>
      <c r="F128" s="19" t="s">
        <v>9</v>
      </c>
      <c r="G128" s="406" t="s">
        <v>37</v>
      </c>
      <c r="H128" s="109">
        <f>B128*1/(6.02*10^23)</f>
        <v>5.906238464378001E-7</v>
      </c>
      <c r="I128" s="22" t="s">
        <v>7</v>
      </c>
      <c r="J128" s="26"/>
      <c r="K128" s="26"/>
      <c r="L128" s="26"/>
      <c r="M128" s="26"/>
      <c r="N128" s="333"/>
      <c r="O128" s="26"/>
      <c r="P128" s="344"/>
    </row>
    <row r="129" spans="1:16" x14ac:dyDescent="0.35">
      <c r="A129" s="19"/>
      <c r="B129" s="13"/>
      <c r="E129" s="13"/>
      <c r="H129" s="13"/>
      <c r="J129" s="26"/>
      <c r="L129" s="26"/>
      <c r="M129" s="26"/>
      <c r="N129" s="343"/>
      <c r="O129" s="26"/>
      <c r="P129" s="345"/>
    </row>
    <row r="130" spans="1:16" x14ac:dyDescent="0.35">
      <c r="A130" s="13" t="s">
        <v>222</v>
      </c>
      <c r="B130" s="105"/>
      <c r="J130" s="26"/>
      <c r="L130" s="26"/>
      <c r="M130" s="26"/>
      <c r="N130" s="148"/>
      <c r="O130" s="26"/>
      <c r="P130" s="26"/>
    </row>
    <row r="131" spans="1:16" ht="17.5" x14ac:dyDescent="0.35">
      <c r="A131" s="7" t="s">
        <v>34</v>
      </c>
      <c r="B131" s="68">
        <f>('баланс тритий'!B61+'баланс дейтерий'!B61)*'параметры для расчета'!C22%+B128</f>
        <v>5.8161292270531396E+19</v>
      </c>
      <c r="C131" s="13" t="s">
        <v>14</v>
      </c>
      <c r="D131" s="18" t="s">
        <v>37</v>
      </c>
      <c r="E131" s="68">
        <f>B131*(1/2*1.38E-23*300)</f>
        <v>0.120393875</v>
      </c>
      <c r="F131" s="13" t="s">
        <v>9</v>
      </c>
      <c r="G131" s="18" t="s">
        <v>37</v>
      </c>
      <c r="H131" s="109">
        <f>B131*1/(6.02*10^23)</f>
        <v>9.6613442309852825E-5</v>
      </c>
      <c r="I131" s="436" t="s">
        <v>7</v>
      </c>
      <c r="J131" s="295"/>
      <c r="K131" s="355" t="s">
        <v>189</v>
      </c>
      <c r="L131" s="96"/>
      <c r="M131" s="26"/>
      <c r="N131" s="348"/>
      <c r="O131" s="26"/>
      <c r="P131" s="26"/>
    </row>
    <row r="132" spans="1:16" x14ac:dyDescent="0.35">
      <c r="A132" s="7"/>
      <c r="B132" s="489">
        <f>('баланс тритий'!B62+'баланс дейтерий'!B62)*'параметры для расчета'!C22%+B128</f>
        <v>5.8161292270531396E+19</v>
      </c>
      <c r="D132" s="570"/>
      <c r="E132" s="489">
        <f>B132*(1/2*1.38E-23*300)</f>
        <v>0.120393875</v>
      </c>
      <c r="G132" s="570"/>
      <c r="H132" s="606">
        <f>B132*1/(6.02*10^23)</f>
        <v>9.6613442309852825E-5</v>
      </c>
      <c r="I132" s="436"/>
      <c r="J132" s="295"/>
      <c r="K132" s="132" t="s">
        <v>191</v>
      </c>
      <c r="L132" s="96"/>
      <c r="M132" s="26"/>
      <c r="N132" s="348"/>
      <c r="O132" s="26"/>
      <c r="P132" s="26"/>
    </row>
    <row r="133" spans="1:16" x14ac:dyDescent="0.35">
      <c r="A133" s="482">
        <f>B147+B128</f>
        <v>3.5555555555555565E+17</v>
      </c>
      <c r="B133" s="182">
        <f>('баланс тритий'!B63+'баланс дейтерий'!B63)*'параметры для расчета'!C22%+B128+B147</f>
        <v>5.8161292270531387E+19</v>
      </c>
      <c r="C133" s="19"/>
      <c r="D133" s="406"/>
      <c r="E133" s="209">
        <f>B133*(1/2*1.38E-23*300)</f>
        <v>0.12039387499999998</v>
      </c>
      <c r="F133" s="112"/>
      <c r="G133" s="124"/>
      <c r="H133" s="209">
        <f>B133*1/(6.02*10^23)</f>
        <v>9.6613442309852811E-5</v>
      </c>
      <c r="I133" s="436"/>
      <c r="J133" s="26"/>
      <c r="K133" s="355" t="s">
        <v>197</v>
      </c>
      <c r="L133" s="96"/>
      <c r="M133" s="26"/>
      <c r="N133" s="348"/>
      <c r="O133" s="44"/>
      <c r="P133" s="26"/>
    </row>
    <row r="134" spans="1:16" x14ac:dyDescent="0.35">
      <c r="B134" s="406"/>
      <c r="C134" s="19"/>
      <c r="D134" s="35"/>
      <c r="E134" s="140"/>
      <c r="F134" s="26"/>
      <c r="G134" s="406"/>
      <c r="H134" s="456"/>
      <c r="I134" s="436"/>
      <c r="J134" s="26"/>
      <c r="K134" s="366" t="s">
        <v>190</v>
      </c>
      <c r="L134" s="330"/>
      <c r="M134" s="26"/>
      <c r="N134" s="348"/>
      <c r="O134" s="26"/>
      <c r="P134" s="26"/>
    </row>
    <row r="135" spans="1:16" x14ac:dyDescent="0.35">
      <c r="A135" s="317" t="s">
        <v>209</v>
      </c>
      <c r="B135" s="364">
        <f>B128/(B131)</f>
        <v>6.113267805359702E-3</v>
      </c>
      <c r="C135" s="19" t="s">
        <v>18</v>
      </c>
      <c r="D135" s="18"/>
      <c r="E135" s="175"/>
      <c r="F135" s="19"/>
      <c r="G135" s="406"/>
      <c r="H135" s="456"/>
      <c r="I135" s="436"/>
      <c r="J135" s="26"/>
    </row>
    <row r="136" spans="1:16" x14ac:dyDescent="0.35">
      <c r="A136" s="317"/>
      <c r="B136" s="607">
        <f>B128/(B132)</f>
        <v>6.113267805359702E-3</v>
      </c>
      <c r="C136" s="19"/>
      <c r="D136" s="570"/>
      <c r="E136" s="175"/>
      <c r="F136" s="19"/>
      <c r="G136" s="406"/>
      <c r="H136" s="456"/>
      <c r="I136" s="436"/>
      <c r="J136" s="26"/>
    </row>
    <row r="137" spans="1:16" x14ac:dyDescent="0.35">
      <c r="A137" s="329" t="s">
        <v>287</v>
      </c>
      <c r="B137" s="695">
        <f>B128/(B133)</f>
        <v>6.1132678053597029E-3</v>
      </c>
      <c r="C137" s="26"/>
      <c r="D137" s="26"/>
      <c r="E137" s="44"/>
      <c r="F137" s="26"/>
      <c r="G137" s="26"/>
      <c r="H137" s="147"/>
      <c r="I137" s="26"/>
      <c r="J137" s="26"/>
      <c r="K137" s="149" t="s">
        <v>286</v>
      </c>
      <c r="L137" s="26"/>
      <c r="M137" s="26"/>
      <c r="N137" s="148"/>
      <c r="O137" s="26"/>
      <c r="P137" s="26"/>
    </row>
    <row r="138" spans="1:16" x14ac:dyDescent="0.35">
      <c r="A138" s="116"/>
      <c r="B138" s="35"/>
      <c r="C138" s="46"/>
      <c r="D138" s="26"/>
      <c r="E138" s="44"/>
      <c r="F138" s="26"/>
      <c r="G138" s="26"/>
      <c r="H138" s="147"/>
      <c r="I138" s="26"/>
      <c r="J138" s="120"/>
      <c r="M138" s="63"/>
    </row>
    <row r="139" spans="1:16" x14ac:dyDescent="0.35">
      <c r="A139" s="329" t="s">
        <v>261</v>
      </c>
      <c r="B139" s="182">
        <f>B128*'баланс тритий'!B41</f>
        <v>1.4222222222222226E+18</v>
      </c>
      <c r="C139" s="22" t="s">
        <v>14</v>
      </c>
      <c r="E139" s="13"/>
      <c r="F139" s="29" t="s">
        <v>273</v>
      </c>
      <c r="G139" s="26"/>
      <c r="H139" s="147"/>
      <c r="I139" s="26"/>
      <c r="J139" s="329" t="s">
        <v>270</v>
      </c>
      <c r="K139" s="182">
        <f>'[3]динамика трития в инжекторах'!F12-'баланс тритий'!B58*'баланс тритий'!B41-'[3]динамика трития в инжекторах'!F10</f>
        <v>-2.8444444444444449E+20</v>
      </c>
      <c r="L139" s="22" t="s">
        <v>14</v>
      </c>
      <c r="M139" s="63"/>
      <c r="N139" s="148"/>
      <c r="O139" s="116" t="s">
        <v>278</v>
      </c>
    </row>
    <row r="140" spans="1:16" x14ac:dyDescent="0.35">
      <c r="A140" s="329" t="s">
        <v>272</v>
      </c>
      <c r="B140" s="182">
        <f>B139*60*60*24*365</f>
        <v>4.4851200000000019E+25</v>
      </c>
      <c r="C140" s="136" t="s">
        <v>198</v>
      </c>
      <c r="D140" s="295"/>
      <c r="E140" s="326"/>
      <c r="F140" s="26"/>
      <c r="G140" s="26"/>
      <c r="H140" s="138"/>
      <c r="I140" s="26"/>
      <c r="J140" s="329" t="s">
        <v>271</v>
      </c>
      <c r="K140" s="624">
        <f>K139*60*60*24*365</f>
        <v>-8.9702400000000035E+27</v>
      </c>
      <c r="L140" s="136" t="s">
        <v>198</v>
      </c>
      <c r="M140" s="44"/>
      <c r="N140" s="148"/>
      <c r="O140" s="116" t="s">
        <v>288</v>
      </c>
    </row>
    <row r="141" spans="1:16" x14ac:dyDescent="0.35">
      <c r="A141" s="29" t="s">
        <v>263</v>
      </c>
      <c r="B141" s="212">
        <f>B140*1/(6.02*10^23)</f>
        <v>74.503654485049879</v>
      </c>
      <c r="C141" s="26" t="s">
        <v>199</v>
      </c>
      <c r="D141" s="45"/>
      <c r="E141" s="44"/>
      <c r="F141" s="26"/>
      <c r="G141" s="26"/>
      <c r="H141" s="138"/>
      <c r="I141" s="26"/>
      <c r="J141" s="29" t="s">
        <v>262</v>
      </c>
      <c r="K141" s="212">
        <f>K140*3/(6.02*10^23)/1000</f>
        <v>-44.702192691029921</v>
      </c>
      <c r="L141" s="26" t="s">
        <v>210</v>
      </c>
      <c r="M141" s="95"/>
      <c r="N141" s="271"/>
      <c r="O141" s="116" t="s">
        <v>289</v>
      </c>
    </row>
    <row r="142" spans="1:16" x14ac:dyDescent="0.35">
      <c r="B142" s="13"/>
      <c r="D142" s="45"/>
      <c r="E142" s="44"/>
      <c r="F142" s="26"/>
      <c r="G142" s="26"/>
      <c r="H142" s="138"/>
      <c r="I142" s="26"/>
      <c r="M142" s="95"/>
      <c r="N142" s="334"/>
      <c r="O142" s="379" t="s">
        <v>290</v>
      </c>
    </row>
    <row r="143" spans="1:16" ht="15.75" customHeight="1" x14ac:dyDescent="0.35">
      <c r="A143" s="234" t="s">
        <v>265</v>
      </c>
      <c r="E143" s="66"/>
      <c r="F143" s="19"/>
      <c r="G143" s="19"/>
      <c r="H143" s="58"/>
      <c r="I143" s="308" t="s">
        <v>267</v>
      </c>
      <c r="O143" s="379" t="s">
        <v>291</v>
      </c>
    </row>
    <row r="144" spans="1:16" ht="15.75" customHeight="1" x14ac:dyDescent="0.35">
      <c r="B144" s="13"/>
      <c r="E144" s="13"/>
      <c r="H144" s="13"/>
      <c r="O144" s="14"/>
    </row>
    <row r="145" spans="1:19" ht="15.75" customHeight="1" x14ac:dyDescent="0.35">
      <c r="A145" s="11" t="s">
        <v>285</v>
      </c>
      <c r="B145" s="298">
        <f>'[3]динамика трития в инжекторах'!Z20/'баланс тритий'!B41</f>
        <v>5.3217929672118197E+23</v>
      </c>
      <c r="C145" s="512" t="s">
        <v>218</v>
      </c>
      <c r="E145" s="66"/>
      <c r="F145" s="19"/>
      <c r="G145" s="19"/>
      <c r="I145" s="19"/>
      <c r="J145" s="357" t="s">
        <v>229</v>
      </c>
      <c r="O145" s="26"/>
      <c r="P145" s="26"/>
    </row>
    <row r="146" spans="1:19" ht="15.75" customHeight="1" x14ac:dyDescent="0.35">
      <c r="A146" s="511" t="s">
        <v>264</v>
      </c>
      <c r="B146" s="638">
        <f>'[3]динамика трития в инжекторах'!F18%</f>
        <v>0.05</v>
      </c>
      <c r="E146" s="521"/>
      <c r="F146" s="396"/>
      <c r="G146" s="26"/>
      <c r="H146" s="138"/>
      <c r="I146" s="26"/>
      <c r="J146" s="639">
        <f>(100-'[3]динамика трития в инжекторах'!F30)%</f>
        <v>0.12241578826027194</v>
      </c>
      <c r="K146" s="91" t="s">
        <v>277</v>
      </c>
      <c r="O146" s="26"/>
      <c r="P146" s="26"/>
    </row>
    <row r="147" spans="1:19" ht="18" customHeight="1" x14ac:dyDescent="0.35">
      <c r="A147" s="19"/>
      <c r="B147" s="298">
        <f>'[3]динамика трития в инжекторах'!Z48/'баланс тритий'!B41</f>
        <v>0</v>
      </c>
      <c r="C147" s="512" t="s">
        <v>219</v>
      </c>
      <c r="D147" s="45"/>
      <c r="E147" s="44"/>
      <c r="F147" s="26"/>
      <c r="G147" s="26"/>
      <c r="H147" s="308"/>
      <c r="I147" s="26"/>
      <c r="J147" s="355" t="s">
        <v>230</v>
      </c>
      <c r="K147" s="136"/>
      <c r="M147" s="26"/>
      <c r="N147" s="148"/>
      <c r="O147" s="26"/>
      <c r="P147" s="26"/>
    </row>
    <row r="148" spans="1:19" ht="15.75" customHeight="1" x14ac:dyDescent="0.35">
      <c r="A148" s="511" t="s">
        <v>266</v>
      </c>
      <c r="B148" s="182">
        <f>'[3]динамика трития в инжекторах'!Z48/'[3]динамика трития в инжекторах'!I22</f>
        <v>0</v>
      </c>
      <c r="C148" s="26"/>
      <c r="D148" s="95"/>
      <c r="E148" s="69"/>
      <c r="F148" s="136"/>
      <c r="G148" s="26"/>
      <c r="H148" s="138"/>
      <c r="I148" s="26"/>
      <c r="J148" s="151" t="s">
        <v>310</v>
      </c>
      <c r="K148" s="136"/>
      <c r="M148" s="26"/>
      <c r="N148" s="148"/>
      <c r="O148" s="640">
        <f>1-J146</f>
        <v>0.87758421173972812</v>
      </c>
      <c r="P148" s="383"/>
    </row>
    <row r="149" spans="1:19" ht="15.75" customHeight="1" x14ac:dyDescent="0.35">
      <c r="B149" s="13"/>
      <c r="E149" s="13"/>
      <c r="H149" s="13"/>
      <c r="N149" s="13"/>
    </row>
    <row r="150" spans="1:19" x14ac:dyDescent="0.35">
      <c r="A150" s="95"/>
      <c r="B150" s="147"/>
      <c r="C150" s="136"/>
      <c r="D150" s="295"/>
      <c r="E150" s="471"/>
      <c r="F150" s="26"/>
      <c r="G150" s="26"/>
      <c r="H150" s="343"/>
      <c r="I150" s="26"/>
      <c r="J150" s="26"/>
      <c r="K150" s="26"/>
      <c r="L150" s="333"/>
      <c r="N150" s="384"/>
      <c r="O150" s="395"/>
      <c r="P150" s="38"/>
      <c r="Q150" s="38"/>
      <c r="S150" s="224"/>
    </row>
    <row r="151" spans="1:19" x14ac:dyDescent="0.35">
      <c r="A151" s="513" t="s">
        <v>268</v>
      </c>
      <c r="B151" s="55">
        <f>'[6]динамика протия в ТЦ'!M31</f>
        <v>0.48222953503924615</v>
      </c>
      <c r="C151" s="35" t="s">
        <v>76</v>
      </c>
      <c r="D151" s="295"/>
      <c r="E151" s="133">
        <f>'[6]динамика протия в ТЦ'!O31</f>
        <v>0.18467382387961426</v>
      </c>
      <c r="F151" s="35" t="s">
        <v>76</v>
      </c>
      <c r="H151" s="211">
        <f>'[6]динамика протия в ТЦ'!Q31</f>
        <v>0.66436775782305757</v>
      </c>
      <c r="I151" s="22" t="s">
        <v>9</v>
      </c>
      <c r="J151" s="35" t="s">
        <v>76</v>
      </c>
      <c r="K151" s="488">
        <f>H151*'параметры для расчета'!F73</f>
        <v>2391.7239281630073</v>
      </c>
      <c r="L151" s="13" t="s">
        <v>211</v>
      </c>
      <c r="M151" s="26"/>
      <c r="N151" s="384"/>
      <c r="O151" s="296"/>
      <c r="P151" s="132"/>
      <c r="Q151" s="38"/>
    </row>
    <row r="152" spans="1:19" x14ac:dyDescent="0.35">
      <c r="A152" s="513" t="s">
        <v>269</v>
      </c>
      <c r="B152" s="641" t="s">
        <v>11</v>
      </c>
      <c r="C152" s="35" t="s">
        <v>76</v>
      </c>
      <c r="D152" s="95"/>
      <c r="E152" s="642" t="s">
        <v>11</v>
      </c>
      <c r="F152" s="35" t="s">
        <v>76</v>
      </c>
      <c r="H152" s="211">
        <f>'[3]динамика трития в инжекторах'!R33</f>
        <v>11.776000000000009</v>
      </c>
      <c r="I152" s="22" t="s">
        <v>9</v>
      </c>
      <c r="J152" s="35" t="s">
        <v>76</v>
      </c>
      <c r="K152" s="488">
        <f>H152*'параметры для расчета'!F73</f>
        <v>42393.600000000028</v>
      </c>
      <c r="L152" s="13" t="s">
        <v>211</v>
      </c>
      <c r="M152" s="26"/>
      <c r="N152" s="148"/>
    </row>
    <row r="153" spans="1:19" x14ac:dyDescent="0.35">
      <c r="H153" s="498">
        <f>H151/H152</f>
        <v>5.641709899991993E-2</v>
      </c>
    </row>
    <row r="155" spans="1:19" x14ac:dyDescent="0.35">
      <c r="A155" s="15" t="s">
        <v>114</v>
      </c>
      <c r="B155" s="110"/>
      <c r="C155" s="19"/>
      <c r="D155" s="406"/>
      <c r="E155" s="66"/>
      <c r="F155" s="19"/>
      <c r="G155" s="406"/>
      <c r="H155" s="58"/>
      <c r="I155" s="22"/>
      <c r="J155" s="19"/>
      <c r="L155" s="14"/>
      <c r="M155" s="14"/>
      <c r="N155" s="72"/>
      <c r="O155" s="14"/>
    </row>
    <row r="156" spans="1:19" x14ac:dyDescent="0.35">
      <c r="A156" s="164" t="s">
        <v>194</v>
      </c>
      <c r="B156" s="68">
        <f>('баланс тритий'!B161+'баланс дейтерий'!B161)*'параметры для расчета'!C22%</f>
        <v>1.1451904824721808E+20</v>
      </c>
      <c r="C156" s="13" t="s">
        <v>14</v>
      </c>
      <c r="D156" s="18" t="s">
        <v>37</v>
      </c>
      <c r="E156" s="55">
        <f t="shared" ref="E156:E161" si="2">B156*(1/2*1.38E-23*300)</f>
        <v>0.23705442987174144</v>
      </c>
      <c r="F156" s="13" t="s">
        <v>9</v>
      </c>
      <c r="G156" s="18" t="s">
        <v>37</v>
      </c>
      <c r="H156" s="109">
        <f t="shared" ref="H156:H161" si="3">B156*1/(6.02*10^23)</f>
        <v>1.9023097715484733E-4</v>
      </c>
      <c r="I156" s="436" t="s">
        <v>7</v>
      </c>
      <c r="K156" s="25" t="s">
        <v>200</v>
      </c>
      <c r="P156" s="256" t="s">
        <v>113</v>
      </c>
    </row>
    <row r="157" spans="1:19" x14ac:dyDescent="0.35">
      <c r="A157" s="164"/>
      <c r="B157" s="489">
        <f>('баланс тритий'!B162+'баланс дейтерий'!B162)*'параметры для расчета'!C22%</f>
        <v>1.1451904824721808E+20</v>
      </c>
      <c r="D157" s="570"/>
      <c r="E157" s="133">
        <f t="shared" si="2"/>
        <v>0.23705442987174144</v>
      </c>
      <c r="G157" s="570"/>
      <c r="H157" s="606">
        <f t="shared" si="3"/>
        <v>1.9023097715484733E-4</v>
      </c>
      <c r="I157" s="436"/>
      <c r="K157" s="25"/>
      <c r="P157" s="256"/>
    </row>
    <row r="158" spans="1:19" x14ac:dyDescent="0.35">
      <c r="B158" s="209">
        <f>('баланс тритий'!B163+'баланс дейтерий'!B163)*'параметры для расчета'!C22%</f>
        <v>1.1451904824721808E+20</v>
      </c>
      <c r="C158" s="112"/>
      <c r="D158" s="124"/>
      <c r="E158" s="431">
        <f t="shared" si="2"/>
        <v>0.23705442987174144</v>
      </c>
      <c r="F158" s="112"/>
      <c r="G158" s="124"/>
      <c r="H158" s="209">
        <f t="shared" si="3"/>
        <v>1.9023097715484733E-4</v>
      </c>
      <c r="I158" s="436"/>
      <c r="K158" s="25"/>
    </row>
    <row r="159" spans="1:19" x14ac:dyDescent="0.35">
      <c r="A159" s="164" t="s">
        <v>193</v>
      </c>
      <c r="B159" s="109">
        <f>('баланс тритий'!B164+'баланс дейтерий'!B164)*'параметры для расчета'!C22%</f>
        <v>2.3122294685990335E+20</v>
      </c>
      <c r="C159" s="1" t="s">
        <v>14</v>
      </c>
      <c r="D159" s="10" t="s">
        <v>37</v>
      </c>
      <c r="E159" s="114">
        <f t="shared" si="2"/>
        <v>0.47863149999999999</v>
      </c>
      <c r="F159" s="1" t="s">
        <v>9</v>
      </c>
      <c r="G159" s="10" t="s">
        <v>37</v>
      </c>
      <c r="H159" s="109">
        <f t="shared" si="3"/>
        <v>3.8409127385366011E-4</v>
      </c>
      <c r="I159" s="436" t="s">
        <v>7</v>
      </c>
      <c r="J159" s="406"/>
      <c r="K159" s="25" t="s">
        <v>203</v>
      </c>
    </row>
    <row r="160" spans="1:19" x14ac:dyDescent="0.35">
      <c r="A160" s="164"/>
      <c r="B160" s="606">
        <f>('баланс тритий'!B165+'баланс дейтерий'!B165)*'параметры для расчета'!C22%</f>
        <v>2.3122294685990335E+20</v>
      </c>
      <c r="C160" s="1"/>
      <c r="D160" s="10"/>
      <c r="E160" s="580">
        <f t="shared" si="2"/>
        <v>0.47863149999999999</v>
      </c>
      <c r="F160" s="1"/>
      <c r="G160" s="10"/>
      <c r="H160" s="606">
        <f t="shared" si="3"/>
        <v>3.8409127385366011E-4</v>
      </c>
      <c r="I160" s="436"/>
      <c r="J160" s="406"/>
      <c r="K160" s="25"/>
    </row>
    <row r="161" spans="1:15" x14ac:dyDescent="0.35">
      <c r="B161" s="209">
        <f>('баланс тритий'!B166+'баланс дейтерий'!B166)*'параметры для расчета'!C22%</f>
        <v>2.3122294685990332E+20</v>
      </c>
      <c r="C161" s="643"/>
      <c r="D161" s="644"/>
      <c r="E161" s="431">
        <f t="shared" si="2"/>
        <v>0.47863149999999988</v>
      </c>
      <c r="F161" s="112"/>
      <c r="G161" s="124"/>
      <c r="H161" s="209">
        <f t="shared" si="3"/>
        <v>3.8409127385366005E-4</v>
      </c>
      <c r="I161" s="436"/>
      <c r="J161" s="110"/>
      <c r="K161" s="91" t="s">
        <v>202</v>
      </c>
      <c r="M161" s="325"/>
    </row>
    <row r="162" spans="1:15" x14ac:dyDescent="0.35">
      <c r="A162" s="15" t="s">
        <v>115</v>
      </c>
      <c r="B162" s="41"/>
      <c r="E162" s="105"/>
      <c r="J162" s="406"/>
      <c r="K162" s="91" t="s">
        <v>201</v>
      </c>
    </row>
    <row r="163" spans="1:15" x14ac:dyDescent="0.35">
      <c r="A163" s="208" t="s">
        <v>216</v>
      </c>
      <c r="B163" s="68">
        <f>('баланс тритий'!B167+'баланс дейтерий'!B167)*'параметры для расчета'!C22%</f>
        <v>2.8985507246376817E+19</v>
      </c>
      <c r="C163" s="302" t="s">
        <v>14</v>
      </c>
      <c r="D163" s="303" t="s">
        <v>37</v>
      </c>
      <c r="E163" s="667">
        <f t="shared" ref="E163:E168" si="4">B163*(1/2*1.38E-23*600)</f>
        <v>0.12000000000000002</v>
      </c>
      <c r="F163" s="302" t="s">
        <v>9</v>
      </c>
      <c r="G163" s="303" t="s">
        <v>37</v>
      </c>
      <c r="H163" s="109">
        <f t="shared" ref="H163:H169" si="5">B163*1/(6.02*10^23)</f>
        <v>4.8148683133516315E-5</v>
      </c>
      <c r="I163" s="436" t="s">
        <v>7</v>
      </c>
    </row>
    <row r="164" spans="1:15" x14ac:dyDescent="0.35">
      <c r="A164" s="208"/>
      <c r="B164" s="489">
        <f>('баланс тритий'!B168+'баланс дейтерий'!B168)*'параметры для расчета'!C22%</f>
        <v>2.8985507246376817E+19</v>
      </c>
      <c r="C164" s="302"/>
      <c r="D164" s="303"/>
      <c r="E164" s="133">
        <f t="shared" si="4"/>
        <v>0.12000000000000002</v>
      </c>
      <c r="F164" s="302" t="s">
        <v>9</v>
      </c>
      <c r="G164" s="303" t="s">
        <v>37</v>
      </c>
      <c r="H164" s="606">
        <f>B164*1/(6.02*10^23)</f>
        <v>4.8148683133516315E-5</v>
      </c>
      <c r="I164" s="436"/>
      <c r="K164" s="91"/>
    </row>
    <row r="165" spans="1:15" x14ac:dyDescent="0.35">
      <c r="B165" s="182">
        <f>('баланс тритий'!B169+'баланс дейтерий'!B169)*'параметры для расчета'!C22%</f>
        <v>2.8985507246376817E+19</v>
      </c>
      <c r="C165" s="216"/>
      <c r="D165" s="217"/>
      <c r="E165" s="211">
        <f t="shared" si="4"/>
        <v>0.12000000000000002</v>
      </c>
      <c r="F165" s="216" t="s">
        <v>9</v>
      </c>
      <c r="G165" s="217" t="s">
        <v>37</v>
      </c>
      <c r="H165" s="209">
        <f t="shared" si="5"/>
        <v>4.8148683133516315E-5</v>
      </c>
      <c r="I165" s="436"/>
      <c r="K165" s="186"/>
      <c r="L165" s="19"/>
      <c r="M165" s="19"/>
    </row>
    <row r="166" spans="1:15" x14ac:dyDescent="0.35">
      <c r="A166" s="208" t="s">
        <v>208</v>
      </c>
      <c r="B166" s="68">
        <f>('баланс тритий'!B170+'баланс дейтерий'!B170)*'параметры для расчета'!C22%</f>
        <v>758516066937695.25</v>
      </c>
      <c r="C166" s="302" t="s">
        <v>14</v>
      </c>
      <c r="D166" s="303" t="s">
        <v>37</v>
      </c>
      <c r="E166" s="668">
        <f t="shared" si="4"/>
        <v>3.1402565171220587E-6</v>
      </c>
      <c r="F166" s="302" t="s">
        <v>9</v>
      </c>
      <c r="G166" s="303" t="s">
        <v>37</v>
      </c>
      <c r="H166" s="109">
        <f t="shared" si="5"/>
        <v>1.2599934666739126E-9</v>
      </c>
      <c r="I166" s="436" t="s">
        <v>7</v>
      </c>
      <c r="L166" s="19"/>
      <c r="M166" s="19"/>
    </row>
    <row r="167" spans="1:15" x14ac:dyDescent="0.35">
      <c r="A167" s="208"/>
      <c r="B167" s="489">
        <f>('баланс тритий'!B171+'баланс дейтерий'!B171)*'параметры для расчета'!C22%</f>
        <v>758516066937695.25</v>
      </c>
      <c r="C167" s="302"/>
      <c r="D167" s="303"/>
      <c r="E167" s="489">
        <f t="shared" si="4"/>
        <v>3.1402565171220587E-6</v>
      </c>
      <c r="F167" s="302"/>
      <c r="G167" s="303"/>
      <c r="H167" s="606">
        <f>B167*1/(6.02*10^23)</f>
        <v>1.2599934666739126E-9</v>
      </c>
      <c r="I167" s="436"/>
      <c r="L167" s="19"/>
      <c r="M167" s="19"/>
    </row>
    <row r="168" spans="1:15" x14ac:dyDescent="0.35">
      <c r="B168" s="182">
        <f>('баланс тритий'!B172+'баланс дейтерий'!B172)*'параметры для расчета'!C22%</f>
        <v>758516066937695.25</v>
      </c>
      <c r="C168" s="216"/>
      <c r="D168" s="217"/>
      <c r="E168" s="182">
        <f t="shared" si="4"/>
        <v>3.1402565171220587E-6</v>
      </c>
      <c r="F168" s="216"/>
      <c r="G168" s="217"/>
      <c r="H168" s="209">
        <f t="shared" si="5"/>
        <v>1.2599934666739126E-9</v>
      </c>
      <c r="I168" s="436"/>
      <c r="K168" s="91" t="s">
        <v>250</v>
      </c>
      <c r="L168" s="19"/>
      <c r="M168" s="19"/>
    </row>
    <row r="169" spans="1:15" x14ac:dyDescent="0.35">
      <c r="A169" s="208" t="s">
        <v>215</v>
      </c>
      <c r="B169" s="68">
        <f>('баланс тритий'!B239)*'параметры для расчета'!C22%</f>
        <v>7.0709525887794376E+16</v>
      </c>
      <c r="C169" s="302" t="s">
        <v>14</v>
      </c>
      <c r="D169" s="303" t="s">
        <v>37</v>
      </c>
      <c r="E169" s="68">
        <f>B169*(1/2*1.38E-23*300)</f>
        <v>1.4636871858773437E-4</v>
      </c>
      <c r="F169" s="302" t="s">
        <v>9</v>
      </c>
      <c r="G169" s="303" t="s">
        <v>37</v>
      </c>
      <c r="H169" s="109">
        <f t="shared" si="5"/>
        <v>1.1745768419899399E-7</v>
      </c>
      <c r="I169" s="436" t="s">
        <v>7</v>
      </c>
    </row>
    <row r="170" spans="1:15" x14ac:dyDescent="0.35">
      <c r="A170" s="208"/>
      <c r="B170" s="489">
        <f>('баланс тритий'!B240)*'параметры для расчета'!C23%</f>
        <v>7.0709525887794376E+16</v>
      </c>
      <c r="C170" s="302"/>
      <c r="D170" s="303"/>
      <c r="E170" s="489">
        <f>B170*(1/2*1.38E-23*300)</f>
        <v>1.4636871858773437E-4</v>
      </c>
      <c r="F170" s="302"/>
      <c r="G170" s="303"/>
      <c r="H170" s="606">
        <f>B170*1/(6.02*10^23)</f>
        <v>1.1745768419899399E-7</v>
      </c>
      <c r="I170" s="436"/>
    </row>
    <row r="171" spans="1:15" x14ac:dyDescent="0.35">
      <c r="A171" s="19"/>
      <c r="B171" s="182">
        <f>('баланс тритий'!B241)*'параметры для расчета'!C24%</f>
        <v>3.5482913222183514E+17</v>
      </c>
      <c r="C171" s="216"/>
      <c r="D171" s="217"/>
      <c r="E171" s="182">
        <f>B171*(1/2*1.38E-23*300)</f>
        <v>7.3449630369919877E-4</v>
      </c>
      <c r="F171" s="216"/>
      <c r="G171" s="217"/>
      <c r="H171" s="209">
        <f>B171*1/(6.02*10^23)</f>
        <v>5.8941716315919468E-7</v>
      </c>
      <c r="I171" s="436"/>
    </row>
    <row r="172" spans="1:15" x14ac:dyDescent="0.35">
      <c r="E172" s="111"/>
    </row>
    <row r="173" spans="1:15" x14ac:dyDescent="0.35">
      <c r="A173" s="120" t="s">
        <v>116</v>
      </c>
      <c r="B173" s="68">
        <f>B169+B166+B163+B156+B159</f>
        <v>3.7479897039545296E+20</v>
      </c>
      <c r="C173" s="13" t="s">
        <v>14</v>
      </c>
      <c r="D173" s="18" t="s">
        <v>37</v>
      </c>
      <c r="E173" s="119">
        <f>B173*(1/2*1.38E-23*300)</f>
        <v>0.77583386871858773</v>
      </c>
      <c r="F173" s="13" t="s">
        <v>9</v>
      </c>
      <c r="G173" s="18" t="s">
        <v>37</v>
      </c>
      <c r="H173" s="109">
        <f>B173*1/(6.02*10^23)</f>
        <v>6.2258965181968937E-4</v>
      </c>
      <c r="I173" s="436" t="s">
        <v>7</v>
      </c>
      <c r="J173" s="312"/>
      <c r="M173" s="42" t="s">
        <v>104</v>
      </c>
      <c r="N173" s="368">
        <f>B173-B180-B186-B189</f>
        <v>0</v>
      </c>
      <c r="O173" s="74" t="s">
        <v>135</v>
      </c>
    </row>
    <row r="174" spans="1:15" x14ac:dyDescent="0.35">
      <c r="A174" s="120"/>
      <c r="B174" s="489">
        <f>B170+B167+B164+B157+B160</f>
        <v>3.7479897039545296E+20</v>
      </c>
      <c r="D174" s="570"/>
      <c r="E174" s="581">
        <f>B174*(1/2*1.38E-23*300)</f>
        <v>0.77583386871858773</v>
      </c>
      <c r="G174" s="570"/>
      <c r="H174" s="606">
        <f>B174*1/(6.02*10^23)</f>
        <v>6.2258965181968937E-4</v>
      </c>
      <c r="I174" s="436"/>
      <c r="J174" s="312"/>
      <c r="M174" s="42"/>
      <c r="N174" s="587">
        <f>B174-B181-B187-B190</f>
        <v>0</v>
      </c>
      <c r="O174" s="74"/>
    </row>
    <row r="175" spans="1:15" x14ac:dyDescent="0.35">
      <c r="A175" s="230" t="s">
        <v>165</v>
      </c>
      <c r="B175" s="209">
        <f>B171+B168+B165+B158+B161</f>
        <v>3.7508309000178696E+20</v>
      </c>
      <c r="C175" s="1"/>
      <c r="D175" s="10"/>
      <c r="E175" s="487">
        <f>B175*(1/2*1.38E-23*300)</f>
        <v>0.77642199630369901</v>
      </c>
      <c r="F175" s="1"/>
      <c r="G175" s="10"/>
      <c r="H175" s="209">
        <f>B175*1/(6.02*10^23)</f>
        <v>6.2306161129864956E-4</v>
      </c>
      <c r="I175" s="436"/>
      <c r="J175" s="172"/>
      <c r="M175" s="42" t="s">
        <v>104</v>
      </c>
      <c r="N175" s="382">
        <f>B175-B182-B188-B191</f>
        <v>0</v>
      </c>
      <c r="O175" s="74" t="s">
        <v>136</v>
      </c>
    </row>
    <row r="176" spans="1:15" x14ac:dyDescent="0.35">
      <c r="J176" s="172"/>
    </row>
    <row r="177" spans="1:16" x14ac:dyDescent="0.35">
      <c r="J177" s="172"/>
    </row>
    <row r="178" spans="1:16" x14ac:dyDescent="0.35">
      <c r="B178" s="727"/>
      <c r="J178" s="172"/>
    </row>
    <row r="179" spans="1:16" x14ac:dyDescent="0.35">
      <c r="B179" s="120" t="s">
        <v>164</v>
      </c>
      <c r="C179" s="81">
        <f>'параметры для расчета'!C71</f>
        <v>2</v>
      </c>
      <c r="D179" s="13" t="s">
        <v>86</v>
      </c>
      <c r="E179" s="108" t="s">
        <v>87</v>
      </c>
      <c r="P179" s="257" t="s">
        <v>117</v>
      </c>
    </row>
    <row r="180" spans="1:16" x14ac:dyDescent="0.35">
      <c r="A180" s="120" t="s">
        <v>90</v>
      </c>
      <c r="B180" s="73">
        <f>B173*('параметры для расчета'!C71)%</f>
        <v>7.4959794079090596E+18</v>
      </c>
      <c r="C180" s="13" t="s">
        <v>14</v>
      </c>
      <c r="D180" s="18" t="s">
        <v>37</v>
      </c>
      <c r="E180" s="73">
        <f>B180*(1/2*1.38E-23*300)</f>
        <v>1.5516677374371754E-2</v>
      </c>
      <c r="F180" s="13" t="s">
        <v>9</v>
      </c>
      <c r="G180" s="18" t="s">
        <v>37</v>
      </c>
      <c r="H180" s="109">
        <f>B180*1/(6.02*10^23)</f>
        <v>1.2451793036393788E-5</v>
      </c>
      <c r="I180" s="436" t="s">
        <v>7</v>
      </c>
      <c r="J180" s="94" t="s">
        <v>132</v>
      </c>
      <c r="K180" s="25" t="s">
        <v>20</v>
      </c>
    </row>
    <row r="181" spans="1:16" x14ac:dyDescent="0.35">
      <c r="A181" s="120"/>
      <c r="B181" s="585">
        <f>B174*('параметры для расчета'!C71)%</f>
        <v>7.4959794079090596E+18</v>
      </c>
      <c r="D181" s="570"/>
      <c r="E181" s="585">
        <f>B181*(1/2*1.38E-23*300)</f>
        <v>1.5516677374371754E-2</v>
      </c>
      <c r="G181" s="570"/>
      <c r="H181" s="606">
        <f>B181*1/(6.02*10^23)</f>
        <v>1.2451793036393788E-5</v>
      </c>
      <c r="I181" s="436"/>
      <c r="J181" s="94"/>
      <c r="K181" s="25"/>
    </row>
    <row r="182" spans="1:16" x14ac:dyDescent="0.35">
      <c r="B182" s="382">
        <f>B175*('параметры для расчета'!C71)%</f>
        <v>7.5016618000357396E+18</v>
      </c>
      <c r="C182" s="1"/>
      <c r="D182" s="10"/>
      <c r="E182" s="382">
        <f>B182*(1/2*1.38E-23*300)</f>
        <v>1.5528439926073981E-2</v>
      </c>
      <c r="F182" s="1"/>
      <c r="G182" s="10"/>
      <c r="H182" s="209">
        <f>B182*1/(6.02*10^23)</f>
        <v>1.2461232225972991E-5</v>
      </c>
      <c r="I182" s="436"/>
      <c r="K182" s="90" t="s">
        <v>132</v>
      </c>
      <c r="L182" s="91" t="s">
        <v>213</v>
      </c>
    </row>
    <row r="183" spans="1:16" x14ac:dyDescent="0.35">
      <c r="A183" s="19" t="s">
        <v>205</v>
      </c>
      <c r="B183" s="368"/>
      <c r="C183" s="112"/>
      <c r="D183" s="124"/>
      <c r="E183" s="368"/>
      <c r="F183" s="112"/>
      <c r="G183" s="124"/>
      <c r="H183" s="285"/>
      <c r="I183" s="436"/>
      <c r="K183" s="90"/>
      <c r="L183" s="91"/>
    </row>
    <row r="184" spans="1:16" x14ac:dyDescent="0.35">
      <c r="B184" s="13"/>
      <c r="E184" s="13"/>
      <c r="H184" s="13"/>
      <c r="N184" s="13"/>
    </row>
    <row r="185" spans="1:16" x14ac:dyDescent="0.35">
      <c r="A185" s="358" t="s">
        <v>88</v>
      </c>
      <c r="B185" s="284"/>
      <c r="C185" s="1"/>
      <c r="D185" s="1"/>
      <c r="E185" s="284"/>
      <c r="F185" s="1"/>
      <c r="G185" s="1"/>
      <c r="H185" s="537"/>
      <c r="J185" s="312"/>
      <c r="K185" s="90"/>
      <c r="L185" s="91"/>
    </row>
    <row r="186" spans="1:16" x14ac:dyDescent="0.35">
      <c r="A186" s="120" t="s">
        <v>280</v>
      </c>
      <c r="B186" s="417">
        <f>(B173-B180)*результаты!BH94%</f>
        <v>1.1417249250661362E+18</v>
      </c>
      <c r="C186" s="1" t="s">
        <v>14</v>
      </c>
      <c r="D186" s="10" t="s">
        <v>37</v>
      </c>
      <c r="E186" s="417">
        <f t="shared" ref="E186:E191" si="6">B186*(1/2*1.38E-23*300)</f>
        <v>2.3633705948869019E-3</v>
      </c>
      <c r="F186" s="1" t="s">
        <v>9</v>
      </c>
      <c r="G186" s="10" t="s">
        <v>37</v>
      </c>
      <c r="H186" s="109">
        <f t="shared" ref="H186:H191" si="7">B186*1/(6.02*10^23)</f>
        <v>1.8965530316713229E-6</v>
      </c>
      <c r="I186" s="436" t="s">
        <v>7</v>
      </c>
      <c r="J186" s="94" t="s">
        <v>132</v>
      </c>
      <c r="K186" s="25" t="s">
        <v>21</v>
      </c>
      <c r="N186" s="474">
        <f>'[6]динамика протия в ТЦ'!F5+'[6]динамика протия в ТЦ'!F6</f>
        <v>3.0028643773319924E+16</v>
      </c>
      <c r="O186" s="132" t="s">
        <v>152</v>
      </c>
      <c r="P186" s="394">
        <f>N186-B186</f>
        <v>-1.1116962812928163E+18</v>
      </c>
    </row>
    <row r="187" spans="1:16" x14ac:dyDescent="0.35">
      <c r="A187" s="120"/>
      <c r="B187" s="587">
        <f>(B174-B181)*результаты!BJ94%</f>
        <v>1.1417249250661362E+18</v>
      </c>
      <c r="C187" s="1"/>
      <c r="D187" s="10"/>
      <c r="E187" s="587">
        <f t="shared" si="6"/>
        <v>2.3633705948869019E-3</v>
      </c>
      <c r="F187" s="1"/>
      <c r="G187" s="10"/>
      <c r="H187" s="606">
        <f t="shared" si="7"/>
        <v>1.8965530316713229E-6</v>
      </c>
      <c r="I187" s="436"/>
      <c r="J187" s="94"/>
      <c r="K187" s="25"/>
      <c r="N187" s="474"/>
      <c r="O187" s="132"/>
      <c r="P187" s="394"/>
    </row>
    <row r="188" spans="1:16" x14ac:dyDescent="0.35">
      <c r="B188" s="382">
        <f>(B175-B182)*результаты!BL94%</f>
        <v>4.1104917805362406E+18</v>
      </c>
      <c r="C188" s="1"/>
      <c r="D188" s="10"/>
      <c r="E188" s="382">
        <f t="shared" si="6"/>
        <v>8.5087179857100178E-3</v>
      </c>
      <c r="F188" s="1"/>
      <c r="G188" s="10"/>
      <c r="H188" s="209">
        <f t="shared" si="7"/>
        <v>6.8280594361067132E-6</v>
      </c>
      <c r="I188" s="436"/>
      <c r="J188" s="12" t="s">
        <v>132</v>
      </c>
      <c r="N188" s="474"/>
      <c r="O188" s="164" t="s">
        <v>226</v>
      </c>
      <c r="P188" s="394">
        <f>N186-B188</f>
        <v>-4.080463136762921E+18</v>
      </c>
    </row>
    <row r="189" spans="1:16" x14ac:dyDescent="0.35">
      <c r="A189" s="226" t="s">
        <v>279</v>
      </c>
      <c r="B189" s="417">
        <f>B173-B180-B186</f>
        <v>3.6616126606247775E+20</v>
      </c>
      <c r="C189" s="1" t="s">
        <v>14</v>
      </c>
      <c r="D189" s="10" t="s">
        <v>37</v>
      </c>
      <c r="E189" s="417">
        <f t="shared" si="6"/>
        <v>0.75795382074932904</v>
      </c>
      <c r="F189" s="1" t="s">
        <v>9</v>
      </c>
      <c r="G189" s="10" t="s">
        <v>37</v>
      </c>
      <c r="H189" s="109">
        <f t="shared" si="7"/>
        <v>6.0824130575162425E-4</v>
      </c>
      <c r="I189" s="436" t="s">
        <v>7</v>
      </c>
      <c r="J189" s="172"/>
      <c r="K189" s="5" t="s">
        <v>132</v>
      </c>
      <c r="L189" s="475" t="s">
        <v>225</v>
      </c>
      <c r="M189" s="110"/>
    </row>
    <row r="190" spans="1:16" x14ac:dyDescent="0.35">
      <c r="A190" s="226"/>
      <c r="B190" s="587">
        <f>B174-B181-B187</f>
        <v>3.6616126606247775E+20</v>
      </c>
      <c r="C190" s="1"/>
      <c r="D190" s="10"/>
      <c r="E190" s="587">
        <f t="shared" si="6"/>
        <v>0.75795382074932904</v>
      </c>
      <c r="F190" s="1"/>
      <c r="G190" s="10"/>
      <c r="H190" s="606">
        <f t="shared" si="7"/>
        <v>6.0824130575162425E-4</v>
      </c>
      <c r="I190" s="436"/>
      <c r="J190" s="172"/>
      <c r="K190" s="5"/>
      <c r="L190" s="475"/>
      <c r="M190" s="110"/>
    </row>
    <row r="191" spans="1:16" x14ac:dyDescent="0.35">
      <c r="B191" s="382">
        <f>B175-B182-B188</f>
        <v>3.6347093642121498E+20</v>
      </c>
      <c r="C191" s="1"/>
      <c r="D191" s="10"/>
      <c r="E191" s="382">
        <f t="shared" si="6"/>
        <v>0.75238483839191506</v>
      </c>
      <c r="F191" s="1"/>
      <c r="G191" s="10"/>
      <c r="H191" s="209">
        <f t="shared" si="7"/>
        <v>6.0377231963656985E-4</v>
      </c>
      <c r="I191" s="436"/>
      <c r="J191" s="312"/>
      <c r="M191" s="110"/>
      <c r="N191" s="391"/>
      <c r="O191" s="186"/>
      <c r="P191" s="19"/>
    </row>
    <row r="192" spans="1:16" x14ac:dyDescent="0.35">
      <c r="B192" s="10"/>
      <c r="C192" s="1"/>
      <c r="D192" s="1"/>
      <c r="E192" s="493"/>
      <c r="F192" s="1"/>
      <c r="G192" s="1"/>
      <c r="H192" s="537"/>
      <c r="J192" s="90"/>
      <c r="K192" s="149"/>
      <c r="L192" s="406"/>
      <c r="M192" s="406"/>
      <c r="O192" s="25"/>
      <c r="P192" s="19"/>
    </row>
    <row r="193" spans="1:16" x14ac:dyDescent="0.35">
      <c r="B193" s="13"/>
      <c r="E193" s="13"/>
      <c r="H193" s="13"/>
      <c r="M193" s="392"/>
    </row>
    <row r="194" spans="1:16" x14ac:dyDescent="0.35">
      <c r="A194" s="15"/>
      <c r="B194" s="10"/>
      <c r="C194" s="10"/>
      <c r="D194" s="1"/>
      <c r="E194" s="284"/>
      <c r="F194" s="1"/>
      <c r="G194" s="1"/>
      <c r="H194" s="537"/>
      <c r="J194" s="32"/>
      <c r="M194" s="393"/>
      <c r="N194" s="13"/>
      <c r="O194" s="316"/>
      <c r="P194" s="74"/>
    </row>
    <row r="195" spans="1:16" x14ac:dyDescent="0.35">
      <c r="A195" s="71" t="s">
        <v>89</v>
      </c>
      <c r="B195" s="417">
        <f>B186</f>
        <v>1.1417249250661362E+18</v>
      </c>
      <c r="C195" s="1" t="s">
        <v>14</v>
      </c>
      <c r="D195" s="10" t="s">
        <v>37</v>
      </c>
      <c r="E195" s="109">
        <f>B195*(1/2*1.38E-23*300)</f>
        <v>2.3633705948869019E-3</v>
      </c>
      <c r="F195" s="1" t="s">
        <v>9</v>
      </c>
      <c r="G195" s="10" t="s">
        <v>37</v>
      </c>
      <c r="H195" s="109">
        <f>B195*1/(6.02*10^23)</f>
        <v>1.8965530316713229E-6</v>
      </c>
      <c r="I195" s="436" t="s">
        <v>7</v>
      </c>
      <c r="J195" s="32"/>
      <c r="K195" s="105">
        <f>B195-K198</f>
        <v>1.1417249250661362E+18</v>
      </c>
      <c r="M195" s="393"/>
      <c r="N195" s="13"/>
      <c r="O195" s="316"/>
      <c r="P195" s="258" t="s">
        <v>124</v>
      </c>
    </row>
    <row r="196" spans="1:16" x14ac:dyDescent="0.35">
      <c r="A196" s="71"/>
      <c r="B196" s="587">
        <f>B187</f>
        <v>1.1417249250661362E+18</v>
      </c>
      <c r="C196" s="1"/>
      <c r="D196" s="10"/>
      <c r="E196" s="606">
        <f>B196*(1/2*1.38E-23*300)</f>
        <v>2.3633705948869019E-3</v>
      </c>
      <c r="F196" s="1"/>
      <c r="G196" s="10"/>
      <c r="H196" s="606">
        <f>B196*1/(6.02*10^23)</f>
        <v>1.8965530316713229E-6</v>
      </c>
      <c r="I196" s="436"/>
      <c r="J196" s="32"/>
      <c r="K196" s="105">
        <f>B196-K198</f>
        <v>1.1417249250661362E+18</v>
      </c>
      <c r="M196" s="393"/>
      <c r="N196" s="13"/>
      <c r="O196" s="316"/>
      <c r="P196" s="74"/>
    </row>
    <row r="197" spans="1:16" x14ac:dyDescent="0.35">
      <c r="A197" s="94" t="s">
        <v>204</v>
      </c>
      <c r="B197" s="382">
        <f>B188</f>
        <v>4.1104917805362406E+18</v>
      </c>
      <c r="C197" s="1"/>
      <c r="D197" s="10"/>
      <c r="E197" s="209">
        <f>B197*(1/2*1.38E-23*300)</f>
        <v>8.5087179857100178E-3</v>
      </c>
      <c r="F197" s="1"/>
      <c r="G197" s="10"/>
      <c r="H197" s="209">
        <f>B197*1/(6.02*10^23)</f>
        <v>6.8280594361067132E-6</v>
      </c>
      <c r="I197" s="436"/>
      <c r="J197" s="32"/>
      <c r="K197" s="110">
        <f>B197-K198</f>
        <v>4.1104917805362406E+18</v>
      </c>
    </row>
    <row r="198" spans="1:16" x14ac:dyDescent="0.35">
      <c r="K198" s="728">
        <f>'[3]динамика трития в инжекторах'!F16</f>
        <v>0</v>
      </c>
      <c r="L198" s="32" t="s">
        <v>292</v>
      </c>
    </row>
    <row r="199" spans="1:16" x14ac:dyDescent="0.35">
      <c r="E199" s="105"/>
      <c r="J199" s="32"/>
    </row>
    <row r="200" spans="1:16" x14ac:dyDescent="0.35">
      <c r="A200" s="357" t="s">
        <v>182</v>
      </c>
      <c r="J200" s="32"/>
      <c r="P200" s="258" t="s">
        <v>369</v>
      </c>
    </row>
    <row r="202" spans="1:16" x14ac:dyDescent="0.35">
      <c r="B202" s="706"/>
    </row>
    <row r="203" spans="1:16" x14ac:dyDescent="0.35">
      <c r="B203" s="706"/>
    </row>
    <row r="204" spans="1:16" x14ac:dyDescent="0.35">
      <c r="B204" s="706"/>
    </row>
    <row r="205" spans="1:16" x14ac:dyDescent="0.35">
      <c r="B205" s="706"/>
    </row>
    <row r="206" spans="1:16" x14ac:dyDescent="0.35">
      <c r="B206" s="706"/>
    </row>
    <row r="207" spans="1:16" x14ac:dyDescent="0.35">
      <c r="B207" s="706"/>
    </row>
    <row r="208" spans="1:16" x14ac:dyDescent="0.35">
      <c r="B208" s="706"/>
    </row>
    <row r="209" spans="1:16" x14ac:dyDescent="0.35">
      <c r="B209" s="706"/>
    </row>
    <row r="210" spans="1:16" x14ac:dyDescent="0.35">
      <c r="B210" s="706"/>
    </row>
    <row r="211" spans="1:16" x14ac:dyDescent="0.35">
      <c r="B211" s="706"/>
    </row>
    <row r="212" spans="1:16" x14ac:dyDescent="0.35">
      <c r="B212" s="797"/>
    </row>
    <row r="213" spans="1:16" x14ac:dyDescent="0.35">
      <c r="B213" s="797"/>
    </row>
    <row r="214" spans="1:16" x14ac:dyDescent="0.35">
      <c r="B214" s="797"/>
    </row>
    <row r="215" spans="1:16" x14ac:dyDescent="0.35">
      <c r="B215" s="797"/>
    </row>
    <row r="216" spans="1:16" x14ac:dyDescent="0.35">
      <c r="B216" s="706"/>
    </row>
    <row r="217" spans="1:16" x14ac:dyDescent="0.35">
      <c r="B217" s="727"/>
    </row>
    <row r="218" spans="1:16" x14ac:dyDescent="0.35">
      <c r="B218" s="727"/>
    </row>
    <row r="219" spans="1:16" x14ac:dyDescent="0.35">
      <c r="B219" s="706"/>
    </row>
    <row r="220" spans="1:16" x14ac:dyDescent="0.35">
      <c r="B220" s="706"/>
    </row>
    <row r="221" spans="1:16" ht="15" customHeight="1" x14ac:dyDescent="0.35"/>
    <row r="223" spans="1:16" x14ac:dyDescent="0.35">
      <c r="A223" s="11" t="s">
        <v>120</v>
      </c>
      <c r="B223" s="73">
        <f>B189+B180</f>
        <v>3.7365724547038681E+20</v>
      </c>
      <c r="C223" s="13" t="s">
        <v>14</v>
      </c>
      <c r="D223" s="18" t="s">
        <v>37</v>
      </c>
      <c r="E223" s="55">
        <f>B223*(1/2*1.38E-23*300)</f>
        <v>0.77347049812370072</v>
      </c>
      <c r="F223" s="13" t="s">
        <v>9</v>
      </c>
      <c r="G223" s="18" t="s">
        <v>37</v>
      </c>
      <c r="H223" s="109">
        <f>B223*1/(6.02*10^23)</f>
        <v>6.2069309878801809E-4</v>
      </c>
      <c r="I223" s="436" t="s">
        <v>7</v>
      </c>
      <c r="J223" s="367"/>
      <c r="K223" s="85" t="s">
        <v>204</v>
      </c>
      <c r="P223" s="259" t="s">
        <v>119</v>
      </c>
    </row>
    <row r="224" spans="1:16" x14ac:dyDescent="0.35">
      <c r="A224" s="11"/>
      <c r="B224" s="585">
        <f>B190+B181</f>
        <v>3.7365724547038681E+20</v>
      </c>
      <c r="D224" s="570"/>
      <c r="E224" s="133">
        <f>B224*(1/2*1.38E-23*300)</f>
        <v>0.77347049812370072</v>
      </c>
      <c r="G224" s="570"/>
      <c r="H224" s="606">
        <f>B224*1/(6.02*10^23)</f>
        <v>6.2069309878801809E-4</v>
      </c>
      <c r="I224" s="436"/>
      <c r="J224" s="367"/>
      <c r="K224" s="85" t="s">
        <v>204</v>
      </c>
    </row>
    <row r="225" spans="1:16" x14ac:dyDescent="0.35">
      <c r="B225" s="382">
        <f>B191+B182</f>
        <v>3.7097259822125069E+20</v>
      </c>
      <c r="C225" s="1"/>
      <c r="D225" s="10"/>
      <c r="E225" s="431">
        <f>B225*(1/2*1.38E-23*300)</f>
        <v>0.76791327831798895</v>
      </c>
      <c r="F225" s="1"/>
      <c r="G225" s="10"/>
      <c r="H225" s="209">
        <f>B225*1/(6.02*10^23)</f>
        <v>6.1623355186254274E-4</v>
      </c>
      <c r="I225" s="436"/>
      <c r="K225" s="85" t="s">
        <v>204</v>
      </c>
      <c r="L225" s="312"/>
    </row>
    <row r="226" spans="1:16" x14ac:dyDescent="0.35">
      <c r="A226" s="233" t="s">
        <v>91</v>
      </c>
      <c r="B226" s="284"/>
      <c r="C226" s="1"/>
      <c r="D226" s="1"/>
      <c r="E226" s="401"/>
      <c r="F226" s="1"/>
      <c r="G226" s="1"/>
      <c r="H226" s="284"/>
    </row>
    <row r="227" spans="1:16" x14ac:dyDescent="0.35">
      <c r="A227" s="12" t="s">
        <v>192</v>
      </c>
      <c r="B227" s="10"/>
      <c r="C227" s="1"/>
      <c r="D227" s="1"/>
      <c r="E227" s="401"/>
      <c r="F227" s="1"/>
      <c r="G227" s="1"/>
      <c r="H227" s="284"/>
      <c r="J227" s="94"/>
      <c r="K227" s="25"/>
      <c r="L227" s="25"/>
      <c r="M227" s="25"/>
      <c r="N227" s="374"/>
      <c r="O227" s="285"/>
      <c r="P227" s="248"/>
    </row>
    <row r="228" spans="1:16" x14ac:dyDescent="0.35">
      <c r="A228" s="15" t="s">
        <v>360</v>
      </c>
      <c r="B228" s="109">
        <f>('баланс тритий'!B235+'баланс дейтерий'!B235)*'параметры для расчета'!C22%</f>
        <v>2.318840579710145E+20</v>
      </c>
      <c r="C228" s="1" t="s">
        <v>14</v>
      </c>
      <c r="D228" s="10" t="s">
        <v>37</v>
      </c>
      <c r="E228" s="114">
        <f t="shared" ref="E228:E234" si="8">B228*(1/2*1.38E-23*300)</f>
        <v>0.48000000000000004</v>
      </c>
      <c r="F228" s="1" t="s">
        <v>9</v>
      </c>
      <c r="G228" s="10" t="s">
        <v>37</v>
      </c>
      <c r="H228" s="109">
        <f t="shared" ref="H228:H234" si="9">B228*1/(6.02*10^23)</f>
        <v>3.8518946506813046E-4</v>
      </c>
      <c r="I228" s="436" t="s">
        <v>7</v>
      </c>
      <c r="J228" s="85"/>
      <c r="K228" s="25"/>
      <c r="L228" s="25"/>
      <c r="M228" s="25"/>
      <c r="N228" s="271"/>
      <c r="O228" s="69"/>
      <c r="P228" s="149"/>
    </row>
    <row r="229" spans="1:16" x14ac:dyDescent="0.35">
      <c r="A229" s="15"/>
      <c r="B229" s="592">
        <v>0</v>
      </c>
      <c r="C229" s="645"/>
      <c r="D229" s="646"/>
      <c r="E229" s="592">
        <f t="shared" si="8"/>
        <v>0</v>
      </c>
      <c r="F229" s="645"/>
      <c r="G229" s="646"/>
      <c r="H229" s="592">
        <f t="shared" si="9"/>
        <v>0</v>
      </c>
      <c r="I229" s="436"/>
      <c r="J229" s="85"/>
      <c r="K229" s="25"/>
      <c r="L229" s="25"/>
      <c r="M229" s="25"/>
      <c r="N229" s="271"/>
      <c r="O229" s="69"/>
      <c r="P229" s="149"/>
    </row>
    <row r="230" spans="1:16" x14ac:dyDescent="0.35">
      <c r="B230" s="460">
        <v>0</v>
      </c>
      <c r="C230" s="645"/>
      <c r="D230" s="646"/>
      <c r="E230" s="460">
        <f t="shared" si="8"/>
        <v>0</v>
      </c>
      <c r="F230" s="645"/>
      <c r="G230" s="646"/>
      <c r="H230" s="460">
        <f t="shared" si="9"/>
        <v>0</v>
      </c>
      <c r="I230" s="436"/>
      <c r="J230" s="85"/>
      <c r="K230" s="25"/>
      <c r="L230" s="25"/>
      <c r="M230" s="25"/>
      <c r="N230" s="130"/>
      <c r="O230" s="19"/>
      <c r="P230" s="19"/>
    </row>
    <row r="231" spans="1:16" x14ac:dyDescent="0.35">
      <c r="A231" s="15" t="s">
        <v>282</v>
      </c>
      <c r="B231" s="109">
        <f>('баланс тритий'!B229+'баланс дейтерий'!B229)*'параметры для расчета'!C22%</f>
        <v>6.5518028411816755E+19</v>
      </c>
      <c r="C231" s="1" t="s">
        <v>14</v>
      </c>
      <c r="D231" s="10" t="s">
        <v>37</v>
      </c>
      <c r="E231" s="114">
        <f t="shared" si="8"/>
        <v>0.1356223188124607</v>
      </c>
      <c r="F231" s="1" t="s">
        <v>9</v>
      </c>
      <c r="G231" s="10" t="s">
        <v>37</v>
      </c>
      <c r="H231" s="109">
        <f t="shared" si="9"/>
        <v>1.0883393423889827E-4</v>
      </c>
      <c r="I231" s="436" t="s">
        <v>7</v>
      </c>
      <c r="L231" s="26"/>
      <c r="M231" s="26"/>
      <c r="N231" s="148"/>
      <c r="O231" s="26"/>
      <c r="P231" s="26"/>
    </row>
    <row r="232" spans="1:16" x14ac:dyDescent="0.35">
      <c r="A232" s="15"/>
      <c r="B232" s="489">
        <f>('баланс тритий'!B230+'баланс дейтерий'!B230)*'параметры для расчета'!C22%</f>
        <v>6.5518028411816755E+19</v>
      </c>
      <c r="D232" s="570"/>
      <c r="E232" s="133">
        <f t="shared" si="8"/>
        <v>0.1356223188124607</v>
      </c>
      <c r="G232" s="570"/>
      <c r="H232" s="606">
        <f t="shared" si="9"/>
        <v>1.0883393423889827E-4</v>
      </c>
      <c r="I232" s="436"/>
      <c r="L232" s="26"/>
      <c r="M232" s="26"/>
      <c r="N232" s="148"/>
      <c r="O232" s="26"/>
      <c r="P232" s="26"/>
    </row>
    <row r="233" spans="1:16" x14ac:dyDescent="0.35">
      <c r="B233" s="182">
        <f>('баланс тритий'!B231+'баланс дейтерий'!B231)*'параметры для расчета'!C22%</f>
        <v>6.5518028411816772E+19</v>
      </c>
      <c r="D233" s="18"/>
      <c r="E233" s="211">
        <f t="shared" si="8"/>
        <v>0.13562231881246073</v>
      </c>
      <c r="G233" s="18"/>
      <c r="H233" s="209">
        <f t="shared" si="9"/>
        <v>1.088339342388983E-4</v>
      </c>
      <c r="I233" s="436"/>
    </row>
    <row r="234" spans="1:16" x14ac:dyDescent="0.35">
      <c r="A234" s="12" t="s">
        <v>224</v>
      </c>
      <c r="B234" s="122">
        <v>0</v>
      </c>
      <c r="C234" s="216" t="s">
        <v>14</v>
      </c>
      <c r="D234" s="217" t="s">
        <v>37</v>
      </c>
      <c r="E234" s="122">
        <f t="shared" si="8"/>
        <v>0</v>
      </c>
      <c r="F234" s="216" t="s">
        <v>9</v>
      </c>
      <c r="G234" s="217" t="s">
        <v>37</v>
      </c>
      <c r="H234" s="476">
        <f t="shared" si="9"/>
        <v>0</v>
      </c>
      <c r="I234" s="22" t="s">
        <v>7</v>
      </c>
      <c r="K234" s="91" t="s">
        <v>175</v>
      </c>
      <c r="L234" s="26"/>
      <c r="M234" s="26"/>
      <c r="N234" s="148"/>
      <c r="O234" s="26"/>
      <c r="P234" s="26"/>
    </row>
    <row r="235" spans="1:16" x14ac:dyDescent="0.35">
      <c r="A235" s="12"/>
      <c r="B235" s="342"/>
      <c r="C235" s="341"/>
      <c r="D235" s="342"/>
      <c r="E235" s="342"/>
      <c r="F235" s="341"/>
      <c r="G235" s="342"/>
      <c r="H235" s="477"/>
      <c r="I235" s="22"/>
      <c r="K235" s="91"/>
      <c r="L235" s="26"/>
      <c r="M235" s="26"/>
      <c r="N235" s="148"/>
      <c r="O235" s="26"/>
      <c r="P235" s="26"/>
    </row>
    <row r="236" spans="1:16" x14ac:dyDescent="0.35">
      <c r="L236" s="26"/>
      <c r="M236" s="26"/>
      <c r="N236" s="148"/>
      <c r="O236" s="239"/>
      <c r="P236" s="240"/>
    </row>
    <row r="237" spans="1:16" x14ac:dyDescent="0.35">
      <c r="A237" s="15" t="s">
        <v>363</v>
      </c>
      <c r="B237" s="109">
        <f>('баланс тритий'!B232+'баланс дейтерий'!B232)*'параметры для расчета'!C22%</f>
        <v>7.7444023696546955E+19</v>
      </c>
      <c r="C237" s="1" t="s">
        <v>14</v>
      </c>
      <c r="D237" s="10" t="s">
        <v>37</v>
      </c>
      <c r="E237" s="114">
        <f>B237*(1/2*1.38E-23*300)</f>
        <v>0.16030912905185221</v>
      </c>
      <c r="F237" s="1" t="s">
        <v>9</v>
      </c>
      <c r="G237" s="10" t="s">
        <v>37</v>
      </c>
      <c r="H237" s="109">
        <f>B237*1/(6.02*10^23)</f>
        <v>1.2864455763546008E-4</v>
      </c>
      <c r="I237" s="436" t="s">
        <v>7</v>
      </c>
      <c r="L237" s="46"/>
      <c r="M237" s="26"/>
      <c r="N237" s="264"/>
      <c r="O237" s="316"/>
      <c r="P237" s="74"/>
    </row>
    <row r="238" spans="1:16" x14ac:dyDescent="0.35">
      <c r="A238" s="15"/>
      <c r="B238" s="606">
        <f>('баланс тритий'!B233+'баланс дейтерий'!B233)*'параметры для расчета'!C22%</f>
        <v>7.7444023696546955E+19</v>
      </c>
      <c r="C238" s="1"/>
      <c r="D238" s="10"/>
      <c r="E238" s="580">
        <f>B238*(1/2*1.38E-23*300)</f>
        <v>0.16030912905185221</v>
      </c>
      <c r="F238" s="1"/>
      <c r="G238" s="10"/>
      <c r="H238" s="606">
        <f>B238*1/(6.02*10^23)</f>
        <v>1.2864455763546008E-4</v>
      </c>
      <c r="I238" s="436"/>
      <c r="L238" s="26"/>
      <c r="N238" s="264"/>
      <c r="O238" s="316"/>
      <c r="P238" s="74"/>
    </row>
    <row r="239" spans="1:16" x14ac:dyDescent="0.35">
      <c r="B239" s="209">
        <f>('баланс тритий'!B234+'баланс дейтерий'!B234)*'параметры для расчета'!C22%</f>
        <v>7.7444023696546955E+19</v>
      </c>
      <c r="C239" s="643"/>
      <c r="D239" s="644"/>
      <c r="E239" s="431">
        <f>B239*(1/2*1.38E-23*300)</f>
        <v>0.16030912905185221</v>
      </c>
      <c r="F239" s="643"/>
      <c r="G239" s="644"/>
      <c r="H239" s="209">
        <f>B239*1/(6.02*10^23)</f>
        <v>1.2864455763546008E-4</v>
      </c>
      <c r="I239" s="436"/>
      <c r="K239" s="91"/>
      <c r="L239" s="26"/>
      <c r="N239" s="264"/>
      <c r="O239" s="316"/>
      <c r="P239" s="74"/>
    </row>
    <row r="241" spans="1:16" x14ac:dyDescent="0.35">
      <c r="B241" s="315" t="s">
        <v>294</v>
      </c>
    </row>
    <row r="244" spans="1:16" x14ac:dyDescent="0.35">
      <c r="A244" s="76" t="s">
        <v>133</v>
      </c>
      <c r="B244" s="109">
        <f>B228+B237+B231</f>
        <v>3.7484611007937826E+20</v>
      </c>
      <c r="C244" s="13" t="s">
        <v>14</v>
      </c>
      <c r="D244" s="18" t="s">
        <v>37</v>
      </c>
      <c r="E244" s="55">
        <f>B244*(1/2*1.38E-23*300)</f>
        <v>0.77593144786431301</v>
      </c>
      <c r="F244" s="13" t="s">
        <v>9</v>
      </c>
      <c r="G244" s="18" t="s">
        <v>37</v>
      </c>
      <c r="H244" s="109">
        <f>B244*1/(6.02*10^23)</f>
        <v>6.2266795694248883E-4</v>
      </c>
      <c r="I244" s="436" t="s">
        <v>7</v>
      </c>
      <c r="M244" s="42" t="s">
        <v>104</v>
      </c>
      <c r="N244" s="148"/>
      <c r="P244" s="46"/>
    </row>
    <row r="245" spans="1:16" x14ac:dyDescent="0.35">
      <c r="A245" s="76"/>
      <c r="B245" s="606">
        <f>B229+B238+B232</f>
        <v>1.4296205210836371E+20</v>
      </c>
      <c r="C245" s="1"/>
      <c r="D245" s="10"/>
      <c r="E245" s="580">
        <f>B245*(1/2*1.38E-23*300)</f>
        <v>0.29593144786431291</v>
      </c>
      <c r="F245" s="1"/>
      <c r="G245" s="10"/>
      <c r="H245" s="606">
        <f>B245*1/(6.02*10^23)</f>
        <v>2.3747849187435836E-4</v>
      </c>
      <c r="I245" s="436"/>
      <c r="K245" s="410" t="s">
        <v>137</v>
      </c>
      <c r="L245" s="417">
        <f>B248-B244</f>
        <v>-1.188864608991445E+18</v>
      </c>
      <c r="M245" s="18"/>
      <c r="N245" s="608">
        <f>'[3]динамика трития в инжекторах'!F16</f>
        <v>0</v>
      </c>
      <c r="O245" s="32" t="s">
        <v>292</v>
      </c>
      <c r="P245" s="46"/>
    </row>
    <row r="246" spans="1:16" x14ac:dyDescent="0.35">
      <c r="A246" s="1"/>
      <c r="B246" s="209">
        <f>B230+B239+B233</f>
        <v>1.4296205210836373E+20</v>
      </c>
      <c r="C246" s="1"/>
      <c r="D246" s="10"/>
      <c r="E246" s="431">
        <f>B246*(1/2*1.38E-23*300)</f>
        <v>0.29593144786431291</v>
      </c>
      <c r="F246" s="1"/>
      <c r="G246" s="10"/>
      <c r="H246" s="209">
        <f>B246*1/(6.02*10^23)</f>
        <v>2.3747849187435839E-4</v>
      </c>
      <c r="I246" s="436"/>
      <c r="L246" s="316">
        <f>M246-L245</f>
        <v>1.3676027786525594E+18</v>
      </c>
      <c r="M246" s="418">
        <f>B169+B8-N245</f>
        <v>1.787381696611143E+17</v>
      </c>
      <c r="N246" s="600">
        <f>L246-K195</f>
        <v>2.2587785358642317E+17</v>
      </c>
      <c r="O246" s="32"/>
    </row>
    <row r="247" spans="1:16" x14ac:dyDescent="0.35">
      <c r="A247" s="1"/>
      <c r="B247" s="285"/>
      <c r="C247" s="28"/>
      <c r="D247" s="27"/>
      <c r="E247" s="339"/>
      <c r="F247" s="28"/>
      <c r="G247" s="27"/>
      <c r="H247" s="285"/>
      <c r="I247" s="136"/>
      <c r="J247" s="26"/>
      <c r="K247" s="435"/>
      <c r="L247" s="587">
        <f>B249-B245</f>
        <v>2.3069519336202312E+20</v>
      </c>
      <c r="M247" s="570"/>
      <c r="N247" s="532"/>
      <c r="O247" s="38" t="s">
        <v>295</v>
      </c>
    </row>
    <row r="248" spans="1:16" x14ac:dyDescent="0.35">
      <c r="A248" s="11" t="s">
        <v>293</v>
      </c>
      <c r="B248" s="109">
        <f>B189+B180</f>
        <v>3.7365724547038681E+20</v>
      </c>
      <c r="C248" s="1" t="s">
        <v>14</v>
      </c>
      <c r="D248" s="10" t="s">
        <v>37</v>
      </c>
      <c r="E248" s="114">
        <f>B248*(1/2*1.38E-23*300)</f>
        <v>0.77347049812370072</v>
      </c>
      <c r="F248" s="1" t="s">
        <v>9</v>
      </c>
      <c r="G248" s="10" t="s">
        <v>37</v>
      </c>
      <c r="H248" s="109">
        <f>B248*1/(6.02*10^23)</f>
        <v>6.2069309878801809E-4</v>
      </c>
      <c r="I248" s="436" t="s">
        <v>7</v>
      </c>
      <c r="L248" s="316">
        <f>M248-L247</f>
        <v>-2.3023233558602796E+20</v>
      </c>
      <c r="M248" s="587">
        <f>B171+B8-N245</f>
        <v>4.6285777599515507E+17</v>
      </c>
      <c r="N248" s="600">
        <f>L248-K196</f>
        <v>-2.3137406051109411E+20</v>
      </c>
      <c r="O248" s="369" t="s">
        <v>296</v>
      </c>
    </row>
    <row r="249" spans="1:16" x14ac:dyDescent="0.35">
      <c r="A249" s="11"/>
      <c r="B249" s="609">
        <f>B190+B181</f>
        <v>3.7365724547038681E+20</v>
      </c>
      <c r="C249" s="1"/>
      <c r="D249" s="10"/>
      <c r="E249" s="610">
        <f>B249*(1/2*1.38E-23*300)</f>
        <v>0.77347049812370072</v>
      </c>
      <c r="F249" s="1"/>
      <c r="G249" s="10"/>
      <c r="H249" s="609">
        <f>B249*1/(6.02*10^23)</f>
        <v>6.2069309878801809E-4</v>
      </c>
      <c r="I249" s="436"/>
      <c r="K249" s="410" t="s">
        <v>138</v>
      </c>
      <c r="L249" s="382">
        <f>B250-B246</f>
        <v>2.2801054611288696E+20</v>
      </c>
      <c r="M249" s="18"/>
      <c r="O249" s="369"/>
    </row>
    <row r="250" spans="1:16" x14ac:dyDescent="0.35">
      <c r="A250" s="18"/>
      <c r="B250" s="209">
        <f>B191+B182</f>
        <v>3.7097259822125069E+20</v>
      </c>
      <c r="C250" s="1"/>
      <c r="D250" s="10"/>
      <c r="E250" s="431">
        <f>B250*(1/2*1.38E-23*300)</f>
        <v>0.76791327831798895</v>
      </c>
      <c r="F250" s="1"/>
      <c r="G250" s="10"/>
      <c r="H250" s="209">
        <f>B250*1/(6.02*10^23)</f>
        <v>6.1623355186254274E-4</v>
      </c>
      <c r="I250" s="436"/>
      <c r="L250" s="316">
        <f>M250-L249</f>
        <v>-2.2754768833689181E+20</v>
      </c>
      <c r="M250" s="419">
        <f>B171+B8-N245</f>
        <v>4.6285777599515507E+17</v>
      </c>
      <c r="N250" s="600">
        <f>L250-K197</f>
        <v>-2.3165818011742804E+20</v>
      </c>
    </row>
    <row r="251" spans="1:16" x14ac:dyDescent="0.35">
      <c r="A251" s="19"/>
      <c r="E251" s="105"/>
      <c r="L251" s="236"/>
      <c r="M251" s="59"/>
      <c r="O251" s="91"/>
    </row>
    <row r="252" spans="1:16" x14ac:dyDescent="0.35">
      <c r="A252" s="74"/>
      <c r="N252" s="13"/>
    </row>
    <row r="257" spans="1:16" x14ac:dyDescent="0.35">
      <c r="B257" s="706"/>
    </row>
    <row r="258" spans="1:16" x14ac:dyDescent="0.35">
      <c r="B258" s="706"/>
    </row>
    <row r="259" spans="1:16" x14ac:dyDescent="0.35">
      <c r="B259" s="706"/>
    </row>
    <row r="260" spans="1:16" x14ac:dyDescent="0.35">
      <c r="B260" s="706"/>
    </row>
    <row r="261" spans="1:16" x14ac:dyDescent="0.35">
      <c r="B261" s="706"/>
    </row>
    <row r="262" spans="1:16" x14ac:dyDescent="0.35">
      <c r="B262" s="706"/>
    </row>
    <row r="263" spans="1:16" x14ac:dyDescent="0.35">
      <c r="B263" s="706"/>
    </row>
    <row r="264" spans="1:16" x14ac:dyDescent="0.35">
      <c r="B264" s="706"/>
    </row>
    <row r="265" spans="1:16" x14ac:dyDescent="0.35">
      <c r="B265" s="706"/>
    </row>
    <row r="266" spans="1:16" x14ac:dyDescent="0.35">
      <c r="B266" s="706"/>
    </row>
    <row r="271" spans="1:16" x14ac:dyDescent="0.35">
      <c r="A271" s="12"/>
      <c r="C271" s="216"/>
      <c r="D271" s="217"/>
      <c r="E271" s="342"/>
      <c r="F271" s="216"/>
      <c r="G271" s="217"/>
      <c r="H271" s="477"/>
      <c r="I271" s="22"/>
      <c r="K271" s="91"/>
      <c r="L271" s="26"/>
      <c r="N271" s="264"/>
      <c r="O271" s="316"/>
      <c r="P271" s="74"/>
    </row>
    <row r="272" spans="1:16" x14ac:dyDescent="0.35">
      <c r="A272" s="12"/>
      <c r="B272" s="342"/>
      <c r="C272" s="216"/>
      <c r="D272" s="217"/>
      <c r="E272" s="342"/>
      <c r="F272" s="216"/>
      <c r="G272" s="217"/>
      <c r="H272" s="477"/>
      <c r="I272" s="22"/>
      <c r="K272" s="91"/>
      <c r="L272" s="26"/>
      <c r="N272" s="264"/>
      <c r="O272" s="316"/>
      <c r="P272" s="74"/>
    </row>
    <row r="273" spans="1:16" x14ac:dyDescent="0.35">
      <c r="A273" s="12"/>
      <c r="B273" s="342"/>
      <c r="C273" s="216"/>
      <c r="D273" s="217"/>
      <c r="E273" s="342"/>
      <c r="F273" s="216"/>
      <c r="G273" s="217"/>
      <c r="H273" s="477"/>
      <c r="I273" s="22"/>
      <c r="K273" s="91"/>
      <c r="L273" s="26"/>
      <c r="N273" s="264"/>
      <c r="O273" s="316"/>
      <c r="P273" s="74"/>
    </row>
    <row r="274" spans="1:16" x14ac:dyDescent="0.35">
      <c r="B274" s="315"/>
      <c r="C274" s="216"/>
      <c r="D274" s="217"/>
      <c r="E274" s="342"/>
      <c r="F274" s="216"/>
      <c r="G274" s="217"/>
      <c r="H274" s="477"/>
      <c r="I274" s="22"/>
      <c r="K274" s="91"/>
      <c r="L274" s="26"/>
      <c r="N274" s="264"/>
      <c r="O274" s="316"/>
      <c r="P274" s="74"/>
    </row>
    <row r="275" spans="1:16" x14ac:dyDescent="0.35">
      <c r="A275" s="412" t="s">
        <v>251</v>
      </c>
      <c r="B275" s="342"/>
      <c r="C275" s="216"/>
      <c r="D275" s="217"/>
      <c r="E275" s="342"/>
      <c r="F275" s="216"/>
      <c r="G275" s="217"/>
      <c r="H275" s="477"/>
      <c r="I275" s="22"/>
      <c r="K275" s="91"/>
      <c r="L275" s="26"/>
      <c r="N275" s="264"/>
      <c r="O275" s="316"/>
      <c r="P275" s="74"/>
    </row>
    <row r="276" spans="1:16" x14ac:dyDescent="0.35">
      <c r="A276" s="12"/>
      <c r="B276" s="342"/>
      <c r="C276" s="216"/>
      <c r="D276" s="217"/>
      <c r="E276" s="342"/>
      <c r="F276" s="216"/>
      <c r="G276" s="217"/>
      <c r="H276" s="477"/>
      <c r="I276" s="22"/>
      <c r="K276" s="91"/>
      <c r="L276" s="26"/>
      <c r="N276" s="264"/>
      <c r="O276" s="316"/>
      <c r="P276" s="74"/>
    </row>
    <row r="277" spans="1:16" x14ac:dyDescent="0.35">
      <c r="A277" s="317" t="s">
        <v>195</v>
      </c>
      <c r="B277" s="68">
        <f>('баланс тритий'!B275+'баланс дейтерий'!B275)/2</f>
        <v>1.1784920981299064E+16</v>
      </c>
      <c r="C277" s="13" t="s">
        <v>14</v>
      </c>
      <c r="D277" s="18" t="s">
        <v>37</v>
      </c>
      <c r="E277" s="68">
        <f>B277*(1/2*1.38E-23*300)</f>
        <v>2.4394786431289062E-5</v>
      </c>
      <c r="F277" s="13" t="s">
        <v>9</v>
      </c>
      <c r="G277" s="18" t="s">
        <v>37</v>
      </c>
      <c r="H277" s="109">
        <f>B277*1/(6.02*10^23)</f>
        <v>1.9576280699832335E-8</v>
      </c>
      <c r="I277" s="36" t="s">
        <v>7</v>
      </c>
      <c r="L277" s="85" t="s">
        <v>181</v>
      </c>
      <c r="N277" s="264"/>
      <c r="O277" s="316"/>
      <c r="P277" s="74"/>
    </row>
    <row r="278" spans="1:16" x14ac:dyDescent="0.35">
      <c r="A278" s="12"/>
      <c r="B278" s="342"/>
      <c r="C278" s="216"/>
      <c r="D278" s="217"/>
      <c r="E278" s="342"/>
      <c r="F278" s="216"/>
      <c r="G278" s="217"/>
      <c r="H278" s="477"/>
      <c r="I278" s="22"/>
      <c r="K278" s="91"/>
      <c r="L278" s="26"/>
      <c r="N278" s="264"/>
      <c r="O278" s="316"/>
      <c r="P278" s="74"/>
    </row>
    <row r="279" spans="1:16" x14ac:dyDescent="0.35">
      <c r="L279" s="199"/>
      <c r="O279" s="316"/>
      <c r="P279" s="74"/>
    </row>
    <row r="280" spans="1:16" x14ac:dyDescent="0.35">
      <c r="A280" s="120"/>
      <c r="B280" s="110"/>
      <c r="C280" s="19"/>
      <c r="D280" s="406"/>
      <c r="E280" s="110"/>
      <c r="F280" s="19"/>
      <c r="G280" s="406"/>
      <c r="H280" s="464"/>
      <c r="I280" s="344"/>
      <c r="J280" s="35"/>
      <c r="K280" s="271"/>
      <c r="L280" s="26"/>
      <c r="O280" s="316"/>
      <c r="P280" s="74"/>
    </row>
    <row r="281" spans="1:16" x14ac:dyDescent="0.35">
      <c r="O281" s="316"/>
      <c r="P281" s="74"/>
    </row>
    <row r="282" spans="1:16" x14ac:dyDescent="0.35">
      <c r="A282" s="12"/>
      <c r="B282" s="342"/>
      <c r="C282" s="216"/>
      <c r="D282" s="217"/>
      <c r="E282" s="342"/>
      <c r="F282" s="216"/>
      <c r="G282" s="217"/>
      <c r="H282" s="477"/>
      <c r="I282" s="22"/>
      <c r="K282" s="91"/>
      <c r="L282" s="26"/>
      <c r="N282" s="264"/>
      <c r="O282" s="316"/>
      <c r="P282" s="74"/>
    </row>
    <row r="283" spans="1:16" x14ac:dyDescent="0.35">
      <c r="A283" s="12"/>
      <c r="B283" s="342"/>
      <c r="C283" s="216"/>
      <c r="D283" s="217"/>
      <c r="E283" s="342"/>
      <c r="F283" s="216"/>
      <c r="G283" s="217"/>
      <c r="H283" s="477"/>
      <c r="I283" s="22"/>
      <c r="K283" s="91"/>
      <c r="L283" s="26"/>
      <c r="N283" s="264"/>
      <c r="O283" s="316"/>
      <c r="P283" s="74"/>
    </row>
    <row r="284" spans="1:16" x14ac:dyDescent="0.35">
      <c r="A284" s="12"/>
      <c r="B284" s="342"/>
      <c r="C284" s="216"/>
      <c r="D284" s="217"/>
      <c r="E284" s="342"/>
      <c r="F284" s="216"/>
      <c r="G284" s="217"/>
      <c r="H284" s="477"/>
      <c r="I284" s="22"/>
      <c r="K284" s="91"/>
      <c r="L284" s="26"/>
      <c r="N284" s="264"/>
      <c r="O284" s="316"/>
      <c r="P284" s="74"/>
    </row>
    <row r="285" spans="1:16" x14ac:dyDescent="0.35">
      <c r="A285" s="12"/>
      <c r="B285" s="342"/>
      <c r="C285" s="216"/>
      <c r="D285" s="217"/>
      <c r="E285" s="342"/>
      <c r="F285" s="216"/>
      <c r="G285" s="217"/>
      <c r="H285" s="477"/>
      <c r="I285" s="22"/>
      <c r="K285" s="91"/>
      <c r="L285" s="26"/>
      <c r="N285" s="264"/>
      <c r="O285" s="316"/>
      <c r="P285" s="74"/>
    </row>
    <row r="286" spans="1:16" x14ac:dyDescent="0.35">
      <c r="A286" s="12"/>
      <c r="B286" s="342"/>
      <c r="C286" s="216"/>
      <c r="D286" s="217"/>
      <c r="E286" s="342"/>
      <c r="F286" s="216"/>
      <c r="G286" s="217"/>
      <c r="H286" s="477"/>
      <c r="I286" s="22"/>
      <c r="K286" s="91"/>
      <c r="L286" s="26"/>
      <c r="N286" s="264"/>
      <c r="O286" s="316"/>
      <c r="P286" s="74"/>
    </row>
    <row r="287" spans="1:16" x14ac:dyDescent="0.35">
      <c r="A287" s="12"/>
      <c r="B287" s="342"/>
      <c r="C287" s="216"/>
      <c r="D287" s="217"/>
      <c r="E287" s="342"/>
      <c r="F287" s="216"/>
      <c r="G287" s="217"/>
      <c r="H287" s="477"/>
      <c r="I287" s="22"/>
      <c r="K287" s="91"/>
      <c r="L287" s="26"/>
      <c r="N287" s="264"/>
      <c r="O287" s="316"/>
      <c r="P287" s="74"/>
    </row>
    <row r="288" spans="1:16" x14ac:dyDescent="0.35">
      <c r="A288" s="12"/>
      <c r="B288" s="342"/>
      <c r="C288" s="216"/>
      <c r="D288" s="217"/>
      <c r="E288" s="342"/>
      <c r="F288" s="216"/>
      <c r="G288" s="217"/>
      <c r="H288" s="477"/>
      <c r="I288" s="22"/>
      <c r="K288" s="91"/>
      <c r="L288" s="26"/>
      <c r="N288" s="264"/>
      <c r="O288" s="316"/>
      <c r="P288" s="74"/>
    </row>
    <row r="289" spans="1:16" x14ac:dyDescent="0.35">
      <c r="A289" s="95" t="s">
        <v>364</v>
      </c>
      <c r="B289" s="287"/>
      <c r="C289" s="27"/>
      <c r="D289" s="28"/>
      <c r="E289" s="44"/>
      <c r="J289" s="203"/>
      <c r="K289" s="124"/>
      <c r="L289" s="557"/>
      <c r="N289" s="130"/>
      <c r="O289" s="362"/>
      <c r="P289" s="74"/>
    </row>
    <row r="290" spans="1:16" x14ac:dyDescent="0.35">
      <c r="A290" s="29" t="s">
        <v>25</v>
      </c>
      <c r="B290" s="109">
        <f>('баланс тритий'!B61+'баланс дейтерий'!B61)*'параметры для расчета'!C22%*'баланс тритий'!B41</f>
        <v>2.3122294685990335E+20</v>
      </c>
      <c r="C290" s="1" t="s">
        <v>14</v>
      </c>
      <c r="D290" s="10" t="s">
        <v>37</v>
      </c>
      <c r="E290" s="114">
        <f t="shared" ref="E290:E301" si="10">B290*(1/2*1.38E-23*300)</f>
        <v>0.47863149999999999</v>
      </c>
      <c r="F290" s="1" t="s">
        <v>9</v>
      </c>
      <c r="G290" s="10" t="s">
        <v>37</v>
      </c>
      <c r="H290" s="109">
        <f t="shared" ref="H290:H321" si="11">B290*1/(6.02*10^23)</f>
        <v>3.8409127385366011E-4</v>
      </c>
      <c r="I290" s="36" t="s">
        <v>7</v>
      </c>
      <c r="J290" s="19"/>
      <c r="K290" s="368"/>
      <c r="L290" s="522"/>
      <c r="M290" s="311"/>
      <c r="N290" s="74"/>
      <c r="O290" s="203"/>
      <c r="P290" s="74"/>
    </row>
    <row r="291" spans="1:16" x14ac:dyDescent="0.35">
      <c r="A291" s="29"/>
      <c r="B291" s="606">
        <f>('баланс тритий'!B62+'баланс дейтерий'!B62)*'параметры для расчета'!C22%*'баланс тритий'!B41</f>
        <v>2.3122294685990335E+20</v>
      </c>
      <c r="C291" s="1"/>
      <c r="D291" s="10"/>
      <c r="E291" s="580">
        <f t="shared" si="10"/>
        <v>0.47863149999999999</v>
      </c>
      <c r="F291" s="1"/>
      <c r="G291" s="10"/>
      <c r="H291" s="606">
        <f>B291*1/(6.02*10^23)</f>
        <v>3.8409127385366011E-4</v>
      </c>
      <c r="I291" s="36"/>
      <c r="J291" s="19"/>
      <c r="K291" s="368"/>
      <c r="L291" s="522"/>
      <c r="M291" s="311"/>
      <c r="N291" s="74"/>
      <c r="O291" s="203"/>
      <c r="P291" s="74"/>
    </row>
    <row r="292" spans="1:16" x14ac:dyDescent="0.35">
      <c r="B292" s="209">
        <f>('баланс тритий'!B63+'баланс дейтерий'!B63)*'параметры для расчета'!C22%*'баланс тритий'!B41</f>
        <v>2.3122294685990332E+20</v>
      </c>
      <c r="C292" s="1"/>
      <c r="D292" s="10"/>
      <c r="E292" s="431">
        <f t="shared" si="10"/>
        <v>0.47863149999999988</v>
      </c>
      <c r="F292" s="1"/>
      <c r="G292" s="10"/>
      <c r="H292" s="209">
        <f t="shared" si="11"/>
        <v>3.8409127385366005E-4</v>
      </c>
      <c r="I292" s="436"/>
      <c r="J292" s="110"/>
      <c r="K292" s="368"/>
      <c r="L292" s="285"/>
      <c r="M292" s="311"/>
      <c r="N292" s="74"/>
      <c r="O292" s="110"/>
      <c r="P292" s="74"/>
    </row>
    <row r="293" spans="1:16" x14ac:dyDescent="0.35">
      <c r="A293" s="29" t="s">
        <v>24</v>
      </c>
      <c r="B293" s="109">
        <f t="shared" ref="B293:B298" si="12">B88</f>
        <v>3.976367851494015E+19</v>
      </c>
      <c r="C293" s="1" t="s">
        <v>14</v>
      </c>
      <c r="D293" s="10" t="s">
        <v>37</v>
      </c>
      <c r="E293" s="114">
        <f t="shared" si="10"/>
        <v>8.2310814525926118E-2</v>
      </c>
      <c r="F293" s="1" t="s">
        <v>9</v>
      </c>
      <c r="G293" s="10" t="s">
        <v>37</v>
      </c>
      <c r="H293" s="109">
        <f t="shared" si="11"/>
        <v>6.6052622117840788E-5</v>
      </c>
      <c r="I293" s="36" t="s">
        <v>7</v>
      </c>
      <c r="J293" s="110"/>
      <c r="K293" s="406"/>
      <c r="L293" s="372"/>
      <c r="M293" s="94"/>
      <c r="N293" s="74"/>
      <c r="O293" s="368"/>
      <c r="P293" s="74"/>
    </row>
    <row r="294" spans="1:16" x14ac:dyDescent="0.35">
      <c r="A294" s="29"/>
      <c r="B294" s="606">
        <f t="shared" si="12"/>
        <v>7.7444023696546955E+19</v>
      </c>
      <c r="C294" s="1"/>
      <c r="D294" s="10"/>
      <c r="E294" s="580">
        <f t="shared" si="10"/>
        <v>0.16030912905185221</v>
      </c>
      <c r="F294" s="1"/>
      <c r="G294" s="10"/>
      <c r="H294" s="606">
        <f>B294*1/(6.02*10^23)</f>
        <v>1.2864455763546008E-4</v>
      </c>
      <c r="I294" s="36"/>
      <c r="J294" s="110"/>
      <c r="K294" s="406"/>
      <c r="L294" s="372"/>
      <c r="M294" s="94"/>
      <c r="N294" s="74"/>
      <c r="O294" s="368"/>
      <c r="P294" s="74"/>
    </row>
    <row r="295" spans="1:16" x14ac:dyDescent="0.35">
      <c r="B295" s="209">
        <f t="shared" si="12"/>
        <v>7.7444023696546955E+19</v>
      </c>
      <c r="C295" s="643"/>
      <c r="D295" s="644"/>
      <c r="E295" s="431">
        <f t="shared" si="10"/>
        <v>0.16030912905185221</v>
      </c>
      <c r="F295" s="643"/>
      <c r="G295" s="644"/>
      <c r="H295" s="209">
        <f t="shared" si="11"/>
        <v>1.2864455763546008E-4</v>
      </c>
      <c r="I295" s="436"/>
      <c r="K295" s="404"/>
      <c r="L295" s="372"/>
      <c r="M295" s="94"/>
      <c r="N295" s="74"/>
      <c r="O295" s="316"/>
      <c r="P295" s="74"/>
    </row>
    <row r="296" spans="1:16" x14ac:dyDescent="0.35">
      <c r="A296" s="29" t="s">
        <v>26</v>
      </c>
      <c r="B296" s="109">
        <f t="shared" si="12"/>
        <v>6.5518028411816755E+19</v>
      </c>
      <c r="C296" s="1" t="s">
        <v>14</v>
      </c>
      <c r="D296" s="10" t="s">
        <v>37</v>
      </c>
      <c r="E296" s="114">
        <f t="shared" si="10"/>
        <v>0.1356223188124607</v>
      </c>
      <c r="F296" s="1" t="s">
        <v>9</v>
      </c>
      <c r="G296" s="10" t="s">
        <v>37</v>
      </c>
      <c r="H296" s="109">
        <f t="shared" si="11"/>
        <v>1.0883393423889827E-4</v>
      </c>
      <c r="I296" s="36" t="s">
        <v>7</v>
      </c>
      <c r="J296" s="18"/>
      <c r="K296" s="404"/>
      <c r="L296" s="372"/>
      <c r="M296" s="94"/>
      <c r="N296" s="74"/>
      <c r="O296" s="316"/>
      <c r="P296" s="74"/>
    </row>
    <row r="297" spans="1:16" x14ac:dyDescent="0.35">
      <c r="A297" s="29"/>
      <c r="B297" s="606">
        <f t="shared" si="12"/>
        <v>6.5518028411816755E+19</v>
      </c>
      <c r="C297" s="1"/>
      <c r="D297" s="10"/>
      <c r="E297" s="580">
        <f t="shared" si="10"/>
        <v>0.1356223188124607</v>
      </c>
      <c r="F297" s="1"/>
      <c r="G297" s="10"/>
      <c r="H297" s="606">
        <f>B297*1/(6.02*10^23)</f>
        <v>1.0883393423889827E-4</v>
      </c>
      <c r="I297" s="36"/>
      <c r="J297" s="570"/>
      <c r="K297" s="404"/>
      <c r="L297" s="372"/>
      <c r="M297" s="94"/>
      <c r="N297" s="74"/>
      <c r="O297" s="316"/>
      <c r="P297" s="74"/>
    </row>
    <row r="298" spans="1:16" x14ac:dyDescent="0.35">
      <c r="B298" s="209">
        <f t="shared" si="12"/>
        <v>6.5518028411816772E+19</v>
      </c>
      <c r="C298" s="1"/>
      <c r="D298" s="10"/>
      <c r="E298" s="431">
        <f t="shared" si="10"/>
        <v>0.13562231881246073</v>
      </c>
      <c r="F298" s="1"/>
      <c r="G298" s="10"/>
      <c r="H298" s="209">
        <f t="shared" si="11"/>
        <v>1.088339342388983E-4</v>
      </c>
      <c r="I298" s="436"/>
      <c r="J298" s="18"/>
      <c r="K298" s="404"/>
      <c r="L298" s="372"/>
      <c r="M298" s="94"/>
      <c r="N298" s="25"/>
      <c r="P298" s="74"/>
    </row>
    <row r="299" spans="1:16" x14ac:dyDescent="0.35">
      <c r="A299" s="218" t="s">
        <v>350</v>
      </c>
      <c r="B299" s="109">
        <f>B85+B88+B91</f>
        <v>1.0736504026009023E+20</v>
      </c>
      <c r="C299" s="1" t="s">
        <v>14</v>
      </c>
      <c r="D299" s="10" t="s">
        <v>37</v>
      </c>
      <c r="E299" s="114">
        <f t="shared" si="10"/>
        <v>0.22224563333838679</v>
      </c>
      <c r="F299" s="1" t="s">
        <v>9</v>
      </c>
      <c r="G299" s="10" t="s">
        <v>37</v>
      </c>
      <c r="H299" s="109">
        <f t="shared" si="11"/>
        <v>1.7834724295696054E-4</v>
      </c>
      <c r="I299" s="436" t="s">
        <v>7</v>
      </c>
      <c r="J299" s="18"/>
      <c r="K299" s="404"/>
      <c r="L299" s="372"/>
      <c r="M299" s="94"/>
      <c r="N299" s="25"/>
      <c r="P299" s="74"/>
    </row>
    <row r="300" spans="1:16" x14ac:dyDescent="0.35">
      <c r="A300" s="218"/>
      <c r="B300" s="606">
        <f>B86+B89+B92</f>
        <v>1.4504538544169704E+20</v>
      </c>
      <c r="C300" s="1"/>
      <c r="D300" s="10"/>
      <c r="E300" s="580">
        <f t="shared" si="10"/>
        <v>0.30024394786431291</v>
      </c>
      <c r="F300" s="1"/>
      <c r="G300" s="10"/>
      <c r="H300" s="606">
        <f>B300*1/(6.02*10^23)</f>
        <v>2.4093917847457983E-4</v>
      </c>
      <c r="I300" s="436"/>
      <c r="J300" s="570"/>
      <c r="K300" s="404"/>
      <c r="L300" s="372"/>
      <c r="M300" s="94"/>
      <c r="N300" s="25"/>
      <c r="P300" s="74"/>
    </row>
    <row r="301" spans="1:16" x14ac:dyDescent="0.35">
      <c r="A301" s="248"/>
      <c r="B301" s="209">
        <f>B87+B90+B93</f>
        <v>1.4504538544169705E+20</v>
      </c>
      <c r="C301" s="1"/>
      <c r="D301" s="10"/>
      <c r="E301" s="431">
        <f t="shared" si="10"/>
        <v>0.30024394786431291</v>
      </c>
      <c r="F301" s="1"/>
      <c r="G301" s="10"/>
      <c r="H301" s="209">
        <f t="shared" si="11"/>
        <v>2.4093917847457986E-4</v>
      </c>
      <c r="I301" s="436"/>
      <c r="J301" s="18"/>
      <c r="K301" s="404"/>
      <c r="L301" s="372"/>
      <c r="M301" s="94"/>
      <c r="N301" s="25"/>
      <c r="P301" s="74"/>
    </row>
    <row r="302" spans="1:16" x14ac:dyDescent="0.35">
      <c r="A302" s="29" t="s">
        <v>299</v>
      </c>
      <c r="B302" s="109">
        <f>B5</f>
        <v>3.9163048082686362E+19</v>
      </c>
      <c r="C302" s="1" t="s">
        <v>14</v>
      </c>
      <c r="D302" s="10" t="s">
        <v>37</v>
      </c>
      <c r="E302" s="666">
        <f>B302*(1/2*1.38E-23*1000)</f>
        <v>0.27022503177053592</v>
      </c>
      <c r="F302" s="1" t="s">
        <v>9</v>
      </c>
      <c r="G302" s="10" t="s">
        <v>37</v>
      </c>
      <c r="H302" s="109">
        <f t="shared" si="11"/>
        <v>6.5054897147319546E-5</v>
      </c>
      <c r="I302" s="36" t="s">
        <v>7</v>
      </c>
      <c r="J302" s="18"/>
      <c r="K302" s="404"/>
      <c r="L302" s="372"/>
      <c r="M302" s="94"/>
      <c r="N302" s="91"/>
      <c r="P302" s="349"/>
    </row>
    <row r="303" spans="1:16" x14ac:dyDescent="0.35">
      <c r="A303" s="29"/>
      <c r="B303" s="285"/>
      <c r="C303" s="28"/>
      <c r="D303" s="27"/>
      <c r="E303" s="339"/>
      <c r="F303" s="28"/>
      <c r="G303" s="27"/>
      <c r="H303" s="285"/>
      <c r="I303" s="523"/>
      <c r="J303" s="570"/>
      <c r="K303" s="404"/>
      <c r="L303" s="372"/>
      <c r="M303" s="94"/>
      <c r="N303" s="91"/>
      <c r="P303" s="349"/>
    </row>
    <row r="304" spans="1:16" x14ac:dyDescent="0.35">
      <c r="A304" s="29" t="s">
        <v>121</v>
      </c>
      <c r="B304" s="109">
        <f>B156</f>
        <v>1.1451904824721808E+20</v>
      </c>
      <c r="C304" s="1" t="s">
        <v>14</v>
      </c>
      <c r="D304" s="10" t="s">
        <v>37</v>
      </c>
      <c r="E304" s="114">
        <f t="shared" ref="E304:E321" si="13">B304*(1/2*1.38E-23*300)</f>
        <v>0.23705442987174144</v>
      </c>
      <c r="F304" s="1" t="s">
        <v>9</v>
      </c>
      <c r="G304" s="10" t="s">
        <v>37</v>
      </c>
      <c r="H304" s="109">
        <f t="shared" si="11"/>
        <v>1.9023097715484733E-4</v>
      </c>
      <c r="I304" s="36" t="s">
        <v>7</v>
      </c>
      <c r="J304" s="18"/>
      <c r="K304" s="404"/>
      <c r="L304" s="372"/>
      <c r="M304" s="94"/>
      <c r="N304" s="25"/>
      <c r="P304" s="74"/>
    </row>
    <row r="305" spans="1:17" x14ac:dyDescent="0.35">
      <c r="A305" s="29"/>
      <c r="B305" s="609">
        <f>B157</f>
        <v>1.1451904824721808E+20</v>
      </c>
      <c r="C305" s="1"/>
      <c r="D305" s="10"/>
      <c r="E305" s="610">
        <f t="shared" si="13"/>
        <v>0.23705442987174144</v>
      </c>
      <c r="F305" s="1"/>
      <c r="G305" s="10"/>
      <c r="H305" s="609">
        <f>B305*1/(6.02*10^23)</f>
        <v>1.9023097715484733E-4</v>
      </c>
      <c r="I305" s="36"/>
      <c r="J305" s="570"/>
      <c r="K305" s="404"/>
      <c r="L305" s="372"/>
      <c r="M305" s="94"/>
      <c r="N305" s="25"/>
      <c r="P305" s="74"/>
    </row>
    <row r="306" spans="1:17" x14ac:dyDescent="0.35">
      <c r="B306" s="209">
        <f>B158</f>
        <v>1.1451904824721808E+20</v>
      </c>
      <c r="C306" s="1"/>
      <c r="D306" s="10"/>
      <c r="E306" s="431">
        <f t="shared" si="13"/>
        <v>0.23705442987174144</v>
      </c>
      <c r="F306" s="1"/>
      <c r="G306" s="10"/>
      <c r="H306" s="209">
        <f t="shared" si="11"/>
        <v>1.9023097715484733E-4</v>
      </c>
      <c r="I306" s="436"/>
      <c r="J306" s="18"/>
      <c r="K306" s="404"/>
      <c r="L306" s="372"/>
      <c r="M306" s="94"/>
      <c r="N306" s="25"/>
      <c r="P306" s="74"/>
    </row>
    <row r="307" spans="1:17" x14ac:dyDescent="0.35">
      <c r="A307" s="29" t="s">
        <v>122</v>
      </c>
      <c r="B307" s="109">
        <f>B173</f>
        <v>3.7479897039545296E+20</v>
      </c>
      <c r="C307" s="1" t="s">
        <v>14</v>
      </c>
      <c r="D307" s="10" t="s">
        <v>37</v>
      </c>
      <c r="E307" s="114">
        <f t="shared" si="13"/>
        <v>0.77583386871858773</v>
      </c>
      <c r="F307" s="1" t="s">
        <v>9</v>
      </c>
      <c r="G307" s="10" t="s">
        <v>37</v>
      </c>
      <c r="H307" s="109">
        <f t="shared" si="11"/>
        <v>6.2258965181968937E-4</v>
      </c>
      <c r="I307" s="36" t="s">
        <v>7</v>
      </c>
      <c r="J307" s="18"/>
      <c r="K307" s="404"/>
      <c r="L307" s="372"/>
      <c r="M307" s="94"/>
      <c r="N307" s="25"/>
      <c r="P307" s="112"/>
    </row>
    <row r="308" spans="1:17" x14ac:dyDescent="0.35">
      <c r="A308" s="29"/>
      <c r="B308" s="606">
        <f>B174</f>
        <v>3.7479897039545296E+20</v>
      </c>
      <c r="C308" s="1"/>
      <c r="D308" s="10"/>
      <c r="E308" s="580">
        <f t="shared" si="13"/>
        <v>0.77583386871858773</v>
      </c>
      <c r="F308" s="1"/>
      <c r="G308" s="10"/>
      <c r="H308" s="606">
        <f>B308*1/(6.02*10^23)</f>
        <v>6.2258965181968937E-4</v>
      </c>
      <c r="I308" s="36"/>
      <c r="J308" s="570"/>
      <c r="K308" s="404"/>
      <c r="L308" s="372"/>
      <c r="M308" s="94"/>
      <c r="N308" s="25"/>
      <c r="P308" s="112"/>
    </row>
    <row r="309" spans="1:17" x14ac:dyDescent="0.35">
      <c r="B309" s="209">
        <f>B175</f>
        <v>3.7508309000178696E+20</v>
      </c>
      <c r="C309" s="1"/>
      <c r="D309" s="10"/>
      <c r="E309" s="431">
        <f t="shared" si="13"/>
        <v>0.77642199630369901</v>
      </c>
      <c r="F309" s="1"/>
      <c r="G309" s="10"/>
      <c r="H309" s="209">
        <f t="shared" si="11"/>
        <v>6.2306161129864956E-4</v>
      </c>
      <c r="I309" s="436"/>
      <c r="J309" s="18"/>
      <c r="K309" s="404"/>
      <c r="L309" s="372"/>
      <c r="M309" s="94"/>
      <c r="P309" s="112"/>
    </row>
    <row r="310" spans="1:17" x14ac:dyDescent="0.35">
      <c r="A310" s="29" t="s">
        <v>27</v>
      </c>
      <c r="B310" s="109">
        <f>B180</f>
        <v>7.4959794079090596E+18</v>
      </c>
      <c r="C310" s="1" t="s">
        <v>14</v>
      </c>
      <c r="D310" s="10" t="s">
        <v>37</v>
      </c>
      <c r="E310" s="114">
        <f t="shared" si="13"/>
        <v>1.5516677374371754E-2</v>
      </c>
      <c r="F310" s="1" t="s">
        <v>9</v>
      </c>
      <c r="G310" s="10" t="s">
        <v>37</v>
      </c>
      <c r="H310" s="109">
        <f t="shared" si="11"/>
        <v>1.2451793036393788E-5</v>
      </c>
      <c r="I310" s="36" t="s">
        <v>7</v>
      </c>
      <c r="J310" s="18"/>
      <c r="K310" s="478"/>
      <c r="L310" s="372"/>
      <c r="M310" s="94"/>
      <c r="N310" s="25"/>
      <c r="P310" s="112"/>
      <c r="Q310" s="47"/>
    </row>
    <row r="311" spans="1:17" x14ac:dyDescent="0.35">
      <c r="A311" s="29"/>
      <c r="B311" s="606">
        <f>B181</f>
        <v>7.4959794079090596E+18</v>
      </c>
      <c r="C311" s="1"/>
      <c r="D311" s="10"/>
      <c r="E311" s="580">
        <f t="shared" si="13"/>
        <v>1.5516677374371754E-2</v>
      </c>
      <c r="F311" s="1"/>
      <c r="G311" s="10"/>
      <c r="H311" s="606">
        <f>B311*1/(6.02*10^23)</f>
        <v>1.2451793036393788E-5</v>
      </c>
      <c r="I311" s="36"/>
      <c r="J311" s="570"/>
      <c r="K311" s="478"/>
      <c r="L311" s="372"/>
      <c r="M311" s="94"/>
      <c r="N311" s="25"/>
      <c r="P311" s="112"/>
      <c r="Q311" s="47"/>
    </row>
    <row r="312" spans="1:17" x14ac:dyDescent="0.35">
      <c r="A312" s="29"/>
      <c r="B312" s="209">
        <f>B182</f>
        <v>7.5016618000357396E+18</v>
      </c>
      <c r="C312" s="1"/>
      <c r="D312" s="10"/>
      <c r="E312" s="431">
        <f t="shared" si="13"/>
        <v>1.5528439926073981E-2</v>
      </c>
      <c r="F312" s="1"/>
      <c r="G312" s="10"/>
      <c r="H312" s="209">
        <f t="shared" si="11"/>
        <v>1.2461232225972991E-5</v>
      </c>
      <c r="I312" s="36"/>
      <c r="J312" s="18"/>
      <c r="K312" s="478"/>
      <c r="L312" s="372"/>
      <c r="M312" s="94"/>
      <c r="N312" s="92"/>
      <c r="P312" s="112"/>
    </row>
    <row r="313" spans="1:17" x14ac:dyDescent="0.35">
      <c r="A313" s="246" t="s">
        <v>123</v>
      </c>
      <c r="B313" s="109">
        <f>B195</f>
        <v>1.1417249250661362E+18</v>
      </c>
      <c r="C313" s="1" t="s">
        <v>14</v>
      </c>
      <c r="D313" s="10" t="s">
        <v>37</v>
      </c>
      <c r="E313" s="694">
        <f t="shared" si="13"/>
        <v>2.3633705948869019E-3</v>
      </c>
      <c r="F313" s="1" t="s">
        <v>9</v>
      </c>
      <c r="G313" s="10" t="s">
        <v>37</v>
      </c>
      <c r="H313" s="109">
        <f t="shared" si="11"/>
        <v>1.8965530316713229E-6</v>
      </c>
      <c r="I313" s="36" t="s">
        <v>7</v>
      </c>
      <c r="J313" s="18"/>
      <c r="K313" s="404"/>
      <c r="L313" s="372"/>
      <c r="M313" s="94"/>
    </row>
    <row r="314" spans="1:17" x14ac:dyDescent="0.35">
      <c r="A314" s="246"/>
      <c r="B314" s="606">
        <f>B196</f>
        <v>1.1417249250661362E+18</v>
      </c>
      <c r="C314" s="1"/>
      <c r="D314" s="10"/>
      <c r="E314" s="616">
        <f t="shared" si="13"/>
        <v>2.3633705948869019E-3</v>
      </c>
      <c r="F314" s="1"/>
      <c r="G314" s="10"/>
      <c r="H314" s="606">
        <f>B314*1/(6.02*10^23)</f>
        <v>1.8965530316713229E-6</v>
      </c>
      <c r="I314" s="36"/>
      <c r="J314" s="570"/>
      <c r="K314" s="404"/>
      <c r="L314" s="372"/>
      <c r="M314" s="94"/>
    </row>
    <row r="315" spans="1:17" x14ac:dyDescent="0.35">
      <c r="B315" s="209">
        <f>B197</f>
        <v>4.1104917805362406E+18</v>
      </c>
      <c r="C315" s="1"/>
      <c r="D315" s="10"/>
      <c r="E315" s="307">
        <f t="shared" si="13"/>
        <v>8.5087179857100178E-3</v>
      </c>
      <c r="F315" s="1"/>
      <c r="G315" s="10"/>
      <c r="H315" s="209">
        <f t="shared" si="11"/>
        <v>6.8280594361067132E-6</v>
      </c>
      <c r="I315" s="436"/>
      <c r="J315" s="18"/>
      <c r="K315" s="404"/>
      <c r="L315" s="372"/>
      <c r="M315" s="94"/>
      <c r="N315" s="25"/>
    </row>
    <row r="316" spans="1:17" x14ac:dyDescent="0.35">
      <c r="A316" s="725" t="s">
        <v>365</v>
      </c>
      <c r="B316" s="68"/>
      <c r="C316" s="13" t="s">
        <v>14</v>
      </c>
      <c r="D316" s="706" t="s">
        <v>37</v>
      </c>
      <c r="E316" s="55">
        <f t="shared" si="13"/>
        <v>0</v>
      </c>
      <c r="F316" s="13" t="s">
        <v>9</v>
      </c>
      <c r="G316" s="706" t="s">
        <v>37</v>
      </c>
      <c r="H316" s="603">
        <f>B316*3/(6.02*10^23)</f>
        <v>0</v>
      </c>
      <c r="I316" s="36" t="s">
        <v>7</v>
      </c>
      <c r="J316" s="35"/>
      <c r="K316" s="726"/>
      <c r="L316" s="47"/>
      <c r="M316" s="94"/>
      <c r="N316" s="25"/>
    </row>
    <row r="317" spans="1:17" x14ac:dyDescent="0.35">
      <c r="B317" s="489"/>
      <c r="D317" s="706"/>
      <c r="E317" s="133">
        <f t="shared" si="13"/>
        <v>0</v>
      </c>
      <c r="G317" s="706"/>
      <c r="H317" s="604">
        <f>B317*3/(6.02*10^23)</f>
        <v>0</v>
      </c>
      <c r="I317" s="36"/>
      <c r="J317" s="35"/>
      <c r="K317" s="726"/>
      <c r="L317" s="47"/>
      <c r="M317" s="94"/>
      <c r="N317" s="25"/>
    </row>
    <row r="318" spans="1:17" x14ac:dyDescent="0.35">
      <c r="B318" s="182"/>
      <c r="D318" s="706"/>
      <c r="E318" s="211">
        <f t="shared" si="13"/>
        <v>0</v>
      </c>
      <c r="G318" s="706"/>
      <c r="H318" s="605">
        <f>B318*3/(6.02*10^23)</f>
        <v>0</v>
      </c>
      <c r="I318" s="436"/>
      <c r="J318" s="35"/>
      <c r="K318" s="726"/>
      <c r="L318" s="47"/>
      <c r="M318" s="94"/>
      <c r="N318" s="25"/>
    </row>
    <row r="319" spans="1:17" x14ac:dyDescent="0.35">
      <c r="A319" s="29" t="s">
        <v>125</v>
      </c>
      <c r="B319" s="109">
        <f>B223</f>
        <v>3.7365724547038681E+20</v>
      </c>
      <c r="C319" s="1" t="s">
        <v>14</v>
      </c>
      <c r="D319" s="10" t="s">
        <v>37</v>
      </c>
      <c r="E319" s="114">
        <f t="shared" si="13"/>
        <v>0.77347049812370072</v>
      </c>
      <c r="F319" s="1" t="s">
        <v>9</v>
      </c>
      <c r="G319" s="10" t="s">
        <v>37</v>
      </c>
      <c r="H319" s="109">
        <f>B319*1/(6.02*10^23)</f>
        <v>6.2069309878801809E-4</v>
      </c>
      <c r="I319" s="36" t="s">
        <v>7</v>
      </c>
      <c r="J319" s="18"/>
      <c r="K319" s="404"/>
      <c r="L319" s="372"/>
      <c r="M319" s="94"/>
      <c r="N319" s="25"/>
      <c r="Q319" s="47"/>
    </row>
    <row r="320" spans="1:17" x14ac:dyDescent="0.35">
      <c r="A320" s="29"/>
      <c r="B320" s="606">
        <f>B224</f>
        <v>3.7365724547038681E+20</v>
      </c>
      <c r="C320" s="1"/>
      <c r="D320" s="10"/>
      <c r="E320" s="580">
        <f t="shared" si="13"/>
        <v>0.77347049812370072</v>
      </c>
      <c r="F320" s="1"/>
      <c r="G320" s="10"/>
      <c r="H320" s="606">
        <f>B320*1/(6.02*10^23)</f>
        <v>6.2069309878801809E-4</v>
      </c>
      <c r="I320" s="36"/>
      <c r="J320" s="570"/>
      <c r="K320" s="404"/>
      <c r="L320" s="372"/>
      <c r="M320" s="94"/>
      <c r="N320" s="25"/>
      <c r="Q320" s="47"/>
    </row>
    <row r="321" spans="1:17" x14ac:dyDescent="0.35">
      <c r="B321" s="209">
        <f>B225</f>
        <v>3.7097259822125069E+20</v>
      </c>
      <c r="C321" s="1"/>
      <c r="D321" s="10"/>
      <c r="E321" s="431">
        <f t="shared" si="13"/>
        <v>0.76791327831798895</v>
      </c>
      <c r="F321" s="1"/>
      <c r="G321" s="10"/>
      <c r="H321" s="209">
        <f t="shared" si="11"/>
        <v>6.1623355186254274E-4</v>
      </c>
      <c r="I321" s="436"/>
      <c r="J321" s="18"/>
      <c r="K321" s="404"/>
      <c r="L321" s="372"/>
      <c r="M321" s="94"/>
      <c r="N321" s="25"/>
    </row>
    <row r="322" spans="1:17" x14ac:dyDescent="0.35">
      <c r="A322" s="48"/>
      <c r="B322" s="49"/>
      <c r="C322" s="50"/>
      <c r="D322" s="50"/>
      <c r="E322" s="70"/>
      <c r="F322" s="50"/>
      <c r="G322" s="50"/>
      <c r="J322" s="50"/>
      <c r="K322" s="337"/>
      <c r="L322" s="234"/>
    </row>
    <row r="323" spans="1:17" x14ac:dyDescent="0.35">
      <c r="B323" s="363" t="s">
        <v>183</v>
      </c>
      <c r="K323" s="337"/>
      <c r="L323" s="234"/>
      <c r="Q323" s="52"/>
    </row>
    <row r="324" spans="1:17" x14ac:dyDescent="0.35">
      <c r="B324" s="315" t="s">
        <v>184</v>
      </c>
      <c r="K324" s="337"/>
      <c r="L324" s="234"/>
      <c r="Q324" s="52"/>
    </row>
    <row r="325" spans="1:17" x14ac:dyDescent="0.35">
      <c r="B325" s="13"/>
      <c r="N325" s="260"/>
      <c r="O325" s="112"/>
    </row>
    <row r="326" spans="1:17" x14ac:dyDescent="0.35">
      <c r="A326" s="279"/>
      <c r="B326" s="13"/>
      <c r="C326" s="26"/>
      <c r="D326" s="35"/>
      <c r="E326" s="69"/>
      <c r="F326" s="26"/>
      <c r="G326" s="35"/>
      <c r="H326" s="285"/>
      <c r="I326" s="142"/>
      <c r="J326" s="81"/>
      <c r="K326" s="479"/>
      <c r="L326" s="59"/>
    </row>
    <row r="327" spans="1:17" x14ac:dyDescent="0.35">
      <c r="A327" s="279"/>
      <c r="B327" s="13"/>
      <c r="C327" s="26"/>
      <c r="D327" s="35"/>
      <c r="F327" s="26"/>
      <c r="G327" s="35"/>
      <c r="H327" s="285"/>
      <c r="I327" s="142"/>
      <c r="J327" s="81"/>
      <c r="K327" s="479"/>
      <c r="L327" s="59"/>
    </row>
    <row r="328" spans="1:17" x14ac:dyDescent="0.35">
      <c r="A328" s="164" t="s">
        <v>176</v>
      </c>
      <c r="E328" s="105"/>
      <c r="M328" s="19"/>
      <c r="Q328" s="91"/>
    </row>
    <row r="329" spans="1:17" x14ac:dyDescent="0.35">
      <c r="A329" s="283"/>
      <c r="B329" s="69"/>
      <c r="C329" s="26"/>
      <c r="D329" s="35"/>
      <c r="E329" s="69"/>
      <c r="F329" s="26"/>
      <c r="G329" s="35"/>
      <c r="H329" s="456"/>
      <c r="I329" s="142"/>
      <c r="M329" s="168"/>
      <c r="Q329" s="91"/>
    </row>
    <row r="330" spans="1:17" x14ac:dyDescent="0.35">
      <c r="A330" s="11" t="s">
        <v>177</v>
      </c>
      <c r="B330" s="109">
        <f>B195*365*24*60*60</f>
        <v>3.6005437236885671E+25</v>
      </c>
      <c r="C330" s="1" t="s">
        <v>42</v>
      </c>
      <c r="D330" s="10" t="s">
        <v>37</v>
      </c>
      <c r="E330" s="109">
        <f>B330*(1/2*1.38E-23*300)</f>
        <v>74531.255080353338</v>
      </c>
      <c r="F330" s="1" t="s">
        <v>28</v>
      </c>
      <c r="G330" s="10" t="s">
        <v>37</v>
      </c>
      <c r="H330" s="114">
        <f>B330*1/(6.02*10^23)</f>
        <v>59.809696406786834</v>
      </c>
      <c r="I330" s="436" t="s">
        <v>2</v>
      </c>
      <c r="K330" s="562">
        <f>N245*365*24*60*60*1/(6.02*10^23)</f>
        <v>0</v>
      </c>
      <c r="N330" s="19"/>
    </row>
    <row r="331" spans="1:17" x14ac:dyDescent="0.35">
      <c r="B331" s="606">
        <f>B196*365*24*60*60</f>
        <v>3.6005437236885671E+25</v>
      </c>
      <c r="C331" s="1" t="s">
        <v>42</v>
      </c>
      <c r="D331" s="10" t="s">
        <v>37</v>
      </c>
      <c r="E331" s="606">
        <f>B331*(1/2*1.38E-23*300)</f>
        <v>74531.255080353338</v>
      </c>
      <c r="F331" s="1" t="s">
        <v>28</v>
      </c>
      <c r="G331" s="10" t="s">
        <v>37</v>
      </c>
      <c r="H331" s="580">
        <f>B331*1/(6.02*10^23)</f>
        <v>59.809696406786834</v>
      </c>
      <c r="I331" s="436" t="s">
        <v>2</v>
      </c>
      <c r="K331" s="562">
        <f>N245*365*24*60*60*1/(6.02*10^23)</f>
        <v>0</v>
      </c>
    </row>
    <row r="332" spans="1:17" x14ac:dyDescent="0.35">
      <c r="B332" s="209">
        <f>B197*365*24*60*60</f>
        <v>1.2962846879099091E+26</v>
      </c>
      <c r="C332" s="1" t="s">
        <v>42</v>
      </c>
      <c r="D332" s="10" t="s">
        <v>37</v>
      </c>
      <c r="E332" s="209">
        <f>B332*(1/2*1.38E-23*300)</f>
        <v>268330.93039735121</v>
      </c>
      <c r="F332" s="1" t="s">
        <v>28</v>
      </c>
      <c r="G332" s="10" t="s">
        <v>37</v>
      </c>
      <c r="H332" s="431">
        <f>B332*1/(6.02*10^23)</f>
        <v>215.32968237706132</v>
      </c>
      <c r="I332" s="436" t="s">
        <v>2</v>
      </c>
      <c r="K332" s="562">
        <f>N245*365*24*60*60*1/(6.02*10^23)</f>
        <v>0</v>
      </c>
      <c r="P332" s="198"/>
    </row>
    <row r="333" spans="1:17" x14ac:dyDescent="0.35">
      <c r="A333" s="19"/>
      <c r="B333" s="285"/>
      <c r="C333" s="112"/>
      <c r="D333" s="124"/>
      <c r="E333" s="285"/>
      <c r="F333" s="112"/>
      <c r="G333" s="124"/>
      <c r="H333" s="339"/>
      <c r="I333" s="22"/>
      <c r="J333" s="19"/>
      <c r="K333" s="339"/>
      <c r="P333" s="198"/>
    </row>
    <row r="334" spans="1:17" x14ac:dyDescent="0.35">
      <c r="A334" s="283"/>
      <c r="B334" s="1"/>
      <c r="C334" s="1"/>
      <c r="D334" s="1"/>
      <c r="E334" s="1"/>
      <c r="F334" s="1"/>
      <c r="G334" s="1"/>
      <c r="H334" s="1"/>
      <c r="M334" s="26"/>
    </row>
    <row r="335" spans="1:17" x14ac:dyDescent="0.35">
      <c r="A335" s="11" t="s">
        <v>53</v>
      </c>
      <c r="B335" s="449">
        <f>B277*365*24*60*60</f>
        <v>3.7164926806624722E+23</v>
      </c>
      <c r="C335" s="1" t="s">
        <v>42</v>
      </c>
      <c r="D335" s="10" t="s">
        <v>37</v>
      </c>
      <c r="E335" s="449">
        <f>B335*(1/2*1.38E-23*300)</f>
        <v>769.31398489713183</v>
      </c>
      <c r="F335" s="1" t="s">
        <v>28</v>
      </c>
      <c r="G335" s="10" t="s">
        <v>37</v>
      </c>
      <c r="H335" s="617">
        <f>B335*1/(6.02*10^23)</f>
        <v>0.61735758814991237</v>
      </c>
      <c r="I335" s="436" t="s">
        <v>2</v>
      </c>
      <c r="M335" s="26"/>
    </row>
    <row r="336" spans="1:17" x14ac:dyDescent="0.35">
      <c r="A336" s="11"/>
      <c r="B336" s="285"/>
      <c r="C336" s="28"/>
      <c r="D336" s="27"/>
      <c r="E336" s="285"/>
      <c r="F336" s="28"/>
      <c r="G336" s="27"/>
      <c r="H336" s="339"/>
      <c r="I336" s="436"/>
      <c r="M336" s="26"/>
    </row>
    <row r="337" spans="1:17" x14ac:dyDescent="0.35">
      <c r="B337" s="285"/>
      <c r="C337" s="28"/>
      <c r="D337" s="27"/>
      <c r="E337" s="285"/>
      <c r="F337" s="28"/>
      <c r="G337" s="27"/>
      <c r="H337" s="339"/>
      <c r="I337" s="436"/>
      <c r="M337" s="26"/>
    </row>
    <row r="338" spans="1:17" x14ac:dyDescent="0.35">
      <c r="A338" s="71" t="s">
        <v>52</v>
      </c>
      <c r="B338" s="507">
        <f>B330+B335</f>
        <v>3.6377086504951919E+25</v>
      </c>
      <c r="C338" s="1" t="s">
        <v>42</v>
      </c>
      <c r="D338" s="10" t="s">
        <v>37</v>
      </c>
      <c r="E338" s="507">
        <f>B338*(1/2*1.38E-23*300)</f>
        <v>75300.569065250471</v>
      </c>
      <c r="F338" s="1" t="s">
        <v>28</v>
      </c>
      <c r="G338" s="10" t="s">
        <v>37</v>
      </c>
      <c r="H338" s="480">
        <f>B338*1/(6.02*10^23)</f>
        <v>60.427053994936749</v>
      </c>
      <c r="I338" s="436" t="s">
        <v>2</v>
      </c>
      <c r="J338" s="18" t="s">
        <v>8</v>
      </c>
      <c r="K338" s="425">
        <f>H338/1000</f>
        <v>6.0427053994936746E-2</v>
      </c>
      <c r="L338" s="13" t="s">
        <v>47</v>
      </c>
      <c r="M338" s="26"/>
      <c r="Q338" s="39"/>
    </row>
    <row r="339" spans="1:17" x14ac:dyDescent="0.35">
      <c r="A339" s="71"/>
      <c r="B339" s="606">
        <f>B331+B335</f>
        <v>3.6377086504951919E+25</v>
      </c>
      <c r="C339" s="1"/>
      <c r="D339" s="10"/>
      <c r="E339" s="606">
        <f>B339*(1/2*1.38E-23*300)</f>
        <v>75300.569065250471</v>
      </c>
      <c r="F339" s="1"/>
      <c r="G339" s="10"/>
      <c r="H339" s="610">
        <f>B339*1/(6.02*10^23)</f>
        <v>60.427053994936749</v>
      </c>
      <c r="I339" s="436"/>
      <c r="J339" s="570"/>
      <c r="K339" s="425">
        <f>H339/1000</f>
        <v>6.0427053994936746E-2</v>
      </c>
      <c r="M339" s="26"/>
      <c r="Q339" s="39"/>
    </row>
    <row r="340" spans="1:17" x14ac:dyDescent="0.35">
      <c r="B340" s="209">
        <f>B332+B335</f>
        <v>1.3000011805905715E+26</v>
      </c>
      <c r="C340" s="1"/>
      <c r="D340" s="10"/>
      <c r="E340" s="209">
        <f>B340*(1/2*1.38E-23*300)</f>
        <v>269100.24438224832</v>
      </c>
      <c r="F340" s="1"/>
      <c r="G340" s="10"/>
      <c r="H340" s="431">
        <f>B340*1/(6.02*10^23)</f>
        <v>215.94703996521122</v>
      </c>
      <c r="I340" s="436"/>
      <c r="J340" s="18"/>
      <c r="K340" s="515">
        <f>H340/1000</f>
        <v>0.21594703996521122</v>
      </c>
      <c r="Q340" s="39"/>
    </row>
    <row r="341" spans="1:17" x14ac:dyDescent="0.35">
      <c r="A341" s="29"/>
      <c r="B341" s="285"/>
      <c r="C341" s="28"/>
      <c r="D341" s="27"/>
      <c r="E341" s="285"/>
      <c r="F341" s="28"/>
      <c r="G341" s="27"/>
      <c r="H341" s="456"/>
      <c r="I341" s="136"/>
      <c r="J341" s="26"/>
      <c r="K341" s="159"/>
      <c r="L341" s="26"/>
      <c r="P341" s="89"/>
    </row>
    <row r="342" spans="1:17" x14ac:dyDescent="0.35">
      <c r="A342" s="71" t="s">
        <v>351</v>
      </c>
      <c r="B342" s="243">
        <f>('баланс тритий'!B340+'баланс дейтерий'!B340)*'параметры для расчета'!C22%</f>
        <v>1.1827549027358906E+24</v>
      </c>
      <c r="C342" s="241" t="s">
        <v>29</v>
      </c>
      <c r="D342" s="10" t="s">
        <v>37</v>
      </c>
      <c r="E342" s="243">
        <f>B342/(2.6*10^20)</f>
        <v>4549.0573182149637</v>
      </c>
      <c r="F342" s="241" t="s">
        <v>28</v>
      </c>
      <c r="G342" s="10" t="s">
        <v>37</v>
      </c>
      <c r="H342" s="114">
        <f>B342*1/(6.02*10^23)</f>
        <v>1.9647091407572936</v>
      </c>
      <c r="I342" s="132" t="s">
        <v>2</v>
      </c>
      <c r="J342" s="406"/>
      <c r="K342" s="236"/>
      <c r="L342" s="151" t="s">
        <v>352</v>
      </c>
    </row>
    <row r="343" spans="1:17" x14ac:dyDescent="0.35">
      <c r="B343" s="588">
        <f>('баланс тритий'!B341+'баланс дейтерий'!B341)*'параметры для расчета'!C22%</f>
        <v>1.7524183757039276E+24</v>
      </c>
      <c r="C343" s="241"/>
      <c r="D343" s="10"/>
      <c r="E343" s="588">
        <f>B343/(2.6*10^20)</f>
        <v>6740.0706757843373</v>
      </c>
      <c r="F343" s="241"/>
      <c r="G343" s="10"/>
      <c r="H343" s="580">
        <f>B343*1/(6.02*10^23)</f>
        <v>2.9109939795746307</v>
      </c>
      <c r="I343" s="132"/>
      <c r="K343" s="111"/>
      <c r="L343" s="151" t="s">
        <v>305</v>
      </c>
    </row>
    <row r="344" spans="1:17" x14ac:dyDescent="0.35">
      <c r="A344" s="164" t="s">
        <v>180</v>
      </c>
      <c r="B344" s="416">
        <f>('баланс тритий'!B342+'баланс дейтерий'!B342)*'параметры для расчета'!C22%</f>
        <v>2.0936082683583793E+24</v>
      </c>
      <c r="C344" s="241"/>
      <c r="D344" s="10"/>
      <c r="E344" s="382">
        <f>B344*(1/2*1.38E-23*300)</f>
        <v>4333.7691155018456</v>
      </c>
      <c r="F344" s="1"/>
      <c r="G344" s="10"/>
      <c r="H344" s="431">
        <f>B344*1/(6.02*10^23)</f>
        <v>3.4777545986019596</v>
      </c>
      <c r="I344" s="436"/>
      <c r="J344" s="35"/>
      <c r="K344" s="271"/>
      <c r="L344" s="151" t="s">
        <v>306</v>
      </c>
    </row>
    <row r="345" spans="1:17" x14ac:dyDescent="0.35">
      <c r="B345" s="13"/>
      <c r="E345" s="13"/>
      <c r="H345" s="13"/>
    </row>
    <row r="346" spans="1:17" x14ac:dyDescent="0.35">
      <c r="A346" s="11" t="s">
        <v>252</v>
      </c>
    </row>
    <row r="347" spans="1:17" x14ac:dyDescent="0.35">
      <c r="A347" s="71" t="s">
        <v>351</v>
      </c>
      <c r="B347" s="243">
        <f>'баланс дейтерий'!B340</f>
        <v>1.2217872088775112E+26</v>
      </c>
      <c r="C347" s="59" t="s">
        <v>29</v>
      </c>
      <c r="D347" s="18" t="s">
        <v>37</v>
      </c>
      <c r="E347" s="243">
        <f>B347/(2.6*10^20)</f>
        <v>469918.15726058127</v>
      </c>
      <c r="F347" s="59" t="s">
        <v>28</v>
      </c>
      <c r="G347" s="18" t="s">
        <v>37</v>
      </c>
      <c r="H347" s="114">
        <f>B347*1/(6.02*10^23)</f>
        <v>202.95468586005174</v>
      </c>
      <c r="I347" s="132" t="s">
        <v>2</v>
      </c>
      <c r="J347" s="35"/>
      <c r="K347" s="611"/>
      <c r="L347" s="59"/>
    </row>
    <row r="348" spans="1:17" x14ac:dyDescent="0.35">
      <c r="B348" s="588">
        <f>'баланс дейтерий'!B341</f>
        <v>2.3898886671888641E+26</v>
      </c>
      <c r="E348" s="588">
        <f>B348/(2.6*10^20)</f>
        <v>919187.94891879382</v>
      </c>
      <c r="F348" s="59"/>
      <c r="G348" s="570"/>
      <c r="H348" s="580">
        <f>B348*1/(6.02*10^23)</f>
        <v>396.99147295496084</v>
      </c>
      <c r="J348" s="59"/>
      <c r="K348" s="59"/>
      <c r="L348" s="59"/>
    </row>
    <row r="349" spans="1:17" x14ac:dyDescent="0.35">
      <c r="A349" s="90" t="s">
        <v>178</v>
      </c>
      <c r="B349" s="416">
        <f>'баланс дейтерий'!B342</f>
        <v>3.5127622247796389E+26</v>
      </c>
      <c r="C349" s="59"/>
      <c r="D349" s="18"/>
      <c r="E349" s="190">
        <f>B349*(1/2*1.38E-23*300)</f>
        <v>727141.78052938532</v>
      </c>
      <c r="G349" s="18"/>
      <c r="H349" s="431">
        <f>B349*1/(6.02*10^23)</f>
        <v>583.51531973083706</v>
      </c>
      <c r="I349" s="436"/>
      <c r="J349" s="59"/>
      <c r="K349" s="175"/>
      <c r="L349" s="59"/>
      <c r="P349" s="38"/>
    </row>
    <row r="350" spans="1:17" x14ac:dyDescent="0.35">
      <c r="B350" s="63"/>
      <c r="E350" s="13"/>
      <c r="H350" s="19"/>
      <c r="I350" s="19"/>
      <c r="J350" s="26"/>
      <c r="K350" s="35"/>
      <c r="L350" s="26"/>
      <c r="P350" s="38"/>
      <c r="Q350" s="90"/>
    </row>
    <row r="351" spans="1:17" x14ac:dyDescent="0.35">
      <c r="A351" s="71" t="s">
        <v>351</v>
      </c>
      <c r="B351" s="243">
        <f>'баланс тритий'!B340</f>
        <v>1.14372259659427E+26</v>
      </c>
      <c r="C351" s="59" t="s">
        <v>29</v>
      </c>
      <c r="D351" s="18" t="s">
        <v>37</v>
      </c>
      <c r="E351" s="243">
        <f>B351/(2.6*10^20)</f>
        <v>439893.30638241151</v>
      </c>
      <c r="F351" s="59" t="s">
        <v>28</v>
      </c>
      <c r="G351" s="18" t="s">
        <v>37</v>
      </c>
      <c r="H351" s="114">
        <f>B351*1/(6.02*10^23)</f>
        <v>189.987142291407</v>
      </c>
      <c r="I351" s="132" t="s">
        <v>2</v>
      </c>
      <c r="J351" s="35"/>
      <c r="K351" s="611"/>
      <c r="L351" s="59"/>
      <c r="Q351" s="91"/>
    </row>
    <row r="352" spans="1:17" x14ac:dyDescent="0.35">
      <c r="B352" s="588">
        <f>'баланс тритий'!B341</f>
        <v>1.1149480842189907E+26</v>
      </c>
      <c r="C352" s="59"/>
      <c r="D352" s="570"/>
      <c r="E352" s="588">
        <f>B352/(2.6*10^20)</f>
        <v>428826.18623807334</v>
      </c>
      <c r="F352" s="59"/>
      <c r="G352" s="570"/>
      <c r="H352" s="580">
        <f>B352*1/(6.02*10^23)</f>
        <v>185.20732295996524</v>
      </c>
      <c r="K352" s="111"/>
      <c r="Q352" s="26"/>
    </row>
    <row r="353" spans="1:17" x14ac:dyDescent="0.35">
      <c r="A353" s="164" t="s">
        <v>179</v>
      </c>
      <c r="B353" s="416">
        <f>'баланс тритий'!B342</f>
        <v>6.7445431193711993E+25</v>
      </c>
      <c r="C353" s="59"/>
      <c r="D353" s="18"/>
      <c r="E353" s="190">
        <f>B353*(1/2*1.38E-23*300)</f>
        <v>139612.04257098385</v>
      </c>
      <c r="G353" s="18"/>
      <c r="H353" s="431">
        <f>B353*1/(6.02*10^23)</f>
        <v>112.03559998955483</v>
      </c>
      <c r="I353" s="436"/>
      <c r="Q353" s="26"/>
    </row>
    <row r="354" spans="1:17" x14ac:dyDescent="0.35">
      <c r="B354" s="13"/>
      <c r="E354" s="13"/>
      <c r="H354" s="13"/>
      <c r="Q354" s="26"/>
    </row>
    <row r="355" spans="1:17" x14ac:dyDescent="0.35">
      <c r="B355" s="13"/>
      <c r="E355" s="13"/>
      <c r="H355" s="13"/>
      <c r="Q355" s="295"/>
    </row>
    <row r="356" spans="1:17" x14ac:dyDescent="0.35">
      <c r="A356" s="354" t="s">
        <v>196</v>
      </c>
      <c r="B356" s="68">
        <f>B12*365*24*60*60</f>
        <v>1.2384526756456324E+27</v>
      </c>
      <c r="C356" s="13" t="s">
        <v>42</v>
      </c>
      <c r="D356" s="18" t="s">
        <v>37</v>
      </c>
      <c r="E356" s="68">
        <f>B356*(1/2*1.38E-23*300)</f>
        <v>2563597.0385864591</v>
      </c>
      <c r="F356" s="13" t="s">
        <v>28</v>
      </c>
      <c r="G356" s="18" t="s">
        <v>37</v>
      </c>
      <c r="H356" s="480">
        <f>B356*1/(6.02*10^23)</f>
        <v>2057.2303582153363</v>
      </c>
      <c r="I356" s="436" t="s">
        <v>2</v>
      </c>
      <c r="J356" s="18" t="s">
        <v>8</v>
      </c>
      <c r="K356" s="515">
        <f>H356/1000</f>
        <v>2.0572303582153362</v>
      </c>
      <c r="L356" s="13" t="s">
        <v>47</v>
      </c>
      <c r="O356" s="26"/>
      <c r="P356" s="26"/>
      <c r="Q356" s="27"/>
    </row>
    <row r="357" spans="1:17" x14ac:dyDescent="0.35">
      <c r="B357" s="13"/>
      <c r="E357" s="13"/>
      <c r="H357" s="13"/>
      <c r="O357" s="26"/>
      <c r="P357" s="26"/>
      <c r="Q357" s="27"/>
    </row>
    <row r="358" spans="1:17" x14ac:dyDescent="0.35">
      <c r="B358" s="13"/>
      <c r="E358" s="13"/>
      <c r="H358" s="13"/>
      <c r="N358" s="148"/>
      <c r="O358" s="26"/>
      <c r="P358" s="26"/>
      <c r="Q358" s="44"/>
    </row>
    <row r="359" spans="1:17" x14ac:dyDescent="0.35">
      <c r="B359" s="13"/>
      <c r="E359" s="13"/>
      <c r="H359" s="13"/>
      <c r="N359" s="13"/>
      <c r="Q359" s="44"/>
    </row>
    <row r="360" spans="1:17" x14ac:dyDescent="0.35">
      <c r="B360" s="13"/>
      <c r="E360" s="13"/>
      <c r="H360" s="13"/>
      <c r="N360" s="13"/>
      <c r="Q360" s="44"/>
    </row>
    <row r="361" spans="1:17" x14ac:dyDescent="0.35">
      <c r="B361" s="13"/>
      <c r="E361" s="13"/>
      <c r="H361" s="13"/>
      <c r="Q361" s="18"/>
    </row>
    <row r="362" spans="1:17" x14ac:dyDescent="0.35">
      <c r="A362" s="79"/>
      <c r="B362" s="69"/>
      <c r="C362" s="26"/>
      <c r="D362" s="35"/>
      <c r="E362" s="69"/>
      <c r="F362" s="26"/>
      <c r="G362" s="35"/>
      <c r="H362" s="456"/>
      <c r="I362" s="136"/>
      <c r="J362" s="26"/>
      <c r="K362" s="350"/>
      <c r="L362" s="26"/>
      <c r="M362" s="38"/>
    </row>
    <row r="363" spans="1:17" x14ac:dyDescent="0.35">
      <c r="A363" s="329"/>
      <c r="B363" s="69"/>
      <c r="C363" s="26"/>
      <c r="D363" s="29"/>
      <c r="E363" s="435"/>
      <c r="F363" s="612"/>
      <c r="G363" s="35"/>
      <c r="H363" s="465"/>
      <c r="I363" s="136"/>
      <c r="J363" s="26"/>
      <c r="K363" s="351"/>
      <c r="L363" s="26"/>
    </row>
    <row r="364" spans="1:17" x14ac:dyDescent="0.35">
      <c r="A364" s="317"/>
      <c r="B364" s="249"/>
      <c r="C364" s="406"/>
      <c r="D364" s="130"/>
      <c r="E364" s="386"/>
      <c r="F364" s="26"/>
      <c r="G364" s="355"/>
      <c r="H364" s="161"/>
      <c r="I364" s="26"/>
      <c r="J364" s="26"/>
      <c r="K364" s="351"/>
    </row>
    <row r="365" spans="1:17" x14ac:dyDescent="0.35">
      <c r="A365" s="317"/>
      <c r="B365" s="249"/>
      <c r="C365" s="406"/>
      <c r="D365" s="130"/>
      <c r="E365" s="386"/>
      <c r="F365" s="26"/>
      <c r="G365" s="151"/>
      <c r="H365" s="161"/>
      <c r="I365" s="26"/>
      <c r="J365" s="26"/>
      <c r="K365" s="351"/>
      <c r="L365" s="26"/>
      <c r="P365" s="15"/>
    </row>
    <row r="366" spans="1:17" x14ac:dyDescent="0.35">
      <c r="B366" s="13"/>
      <c r="E366" s="13"/>
      <c r="H366" s="13"/>
      <c r="N366" s="13"/>
      <c r="Q366" s="26"/>
    </row>
    <row r="367" spans="1:17" x14ac:dyDescent="0.35">
      <c r="B367" s="13"/>
      <c r="E367" s="13"/>
      <c r="H367" s="13"/>
      <c r="N367" s="13"/>
      <c r="Q367" s="26"/>
    </row>
    <row r="368" spans="1:17" x14ac:dyDescent="0.35">
      <c r="B368" s="44"/>
      <c r="C368" s="389"/>
      <c r="E368" s="285"/>
      <c r="F368" s="26"/>
      <c r="G368" s="26"/>
      <c r="H368" s="461"/>
      <c r="I368" s="19"/>
      <c r="N368" s="369"/>
      <c r="O368" s="74"/>
      <c r="P368" s="19"/>
      <c r="Q368" s="26"/>
    </row>
    <row r="369" spans="1:17" x14ac:dyDescent="0.35">
      <c r="A369" s="357"/>
      <c r="B369" s="19"/>
      <c r="C369" s="19"/>
      <c r="D369" s="19"/>
      <c r="F369" s="19"/>
      <c r="G369" s="19"/>
      <c r="L369" s="19"/>
      <c r="M369" s="19"/>
      <c r="N369" s="187"/>
      <c r="O369" s="74"/>
      <c r="P369" s="19"/>
      <c r="Q369" s="26"/>
    </row>
    <row r="370" spans="1:17" x14ac:dyDescent="0.35">
      <c r="A370" s="19"/>
      <c r="B370" s="19"/>
      <c r="C370" s="19"/>
      <c r="D370" s="19"/>
      <c r="E370" s="406"/>
      <c r="F370" s="19"/>
      <c r="G370" s="19"/>
      <c r="J370" s="168"/>
      <c r="N370" s="19"/>
      <c r="O370" s="19"/>
      <c r="P370" s="19"/>
      <c r="Q370" s="26"/>
    </row>
    <row r="371" spans="1:17" x14ac:dyDescent="0.35">
      <c r="Q371" s="26"/>
    </row>
    <row r="372" spans="1:17" x14ac:dyDescent="0.35">
      <c r="Q372" s="26"/>
    </row>
    <row r="373" spans="1:17" x14ac:dyDescent="0.35">
      <c r="B373" s="13"/>
      <c r="E373" s="13"/>
      <c r="H373" s="13"/>
      <c r="N373" s="13"/>
      <c r="Q373" s="26"/>
    </row>
    <row r="374" spans="1:17" x14ac:dyDescent="0.35">
      <c r="B374" s="13"/>
      <c r="E374" s="13"/>
      <c r="H374" s="13"/>
      <c r="N374" s="13"/>
      <c r="Q374" s="26"/>
    </row>
    <row r="375" spans="1:17" x14ac:dyDescent="0.35">
      <c r="B375" s="13"/>
      <c r="E375" s="13"/>
      <c r="H375" s="13"/>
      <c r="N375" s="13"/>
      <c r="Q375" s="26"/>
    </row>
    <row r="376" spans="1:17" x14ac:dyDescent="0.35">
      <c r="B376" s="13"/>
      <c r="E376" s="13"/>
      <c r="H376" s="13"/>
      <c r="N376" s="13"/>
      <c r="Q376" s="26"/>
    </row>
    <row r="377" spans="1:17" x14ac:dyDescent="0.35">
      <c r="B377" s="13"/>
      <c r="E377" s="13"/>
      <c r="H377" s="13"/>
      <c r="N377" s="13"/>
      <c r="Q377" s="136"/>
    </row>
    <row r="378" spans="1:17" x14ac:dyDescent="0.35">
      <c r="B378" s="13"/>
      <c r="E378" s="13"/>
      <c r="H378" s="13"/>
      <c r="N378" s="13"/>
      <c r="Q378" s="26"/>
    </row>
    <row r="379" spans="1:17" x14ac:dyDescent="0.35">
      <c r="B379" s="13"/>
      <c r="E379" s="13"/>
      <c r="H379" s="13"/>
      <c r="N379" s="13"/>
      <c r="Q379" s="26"/>
    </row>
    <row r="380" spans="1:17" x14ac:dyDescent="0.35">
      <c r="B380" s="13"/>
      <c r="E380" s="13"/>
      <c r="H380" s="13"/>
      <c r="N380" s="13"/>
      <c r="Q380" s="26"/>
    </row>
    <row r="381" spans="1:17" x14ac:dyDescent="0.35">
      <c r="B381" s="13"/>
      <c r="E381" s="13"/>
      <c r="H381" s="13"/>
      <c r="N381" s="13"/>
      <c r="Q381" s="26"/>
    </row>
    <row r="382" spans="1:17" x14ac:dyDescent="0.35">
      <c r="B382" s="13"/>
      <c r="E382" s="13"/>
      <c r="H382" s="13"/>
      <c r="N382" s="13"/>
      <c r="Q382" s="26"/>
    </row>
    <row r="383" spans="1:17" x14ac:dyDescent="0.35">
      <c r="B383" s="13"/>
      <c r="E383" s="13"/>
      <c r="H383" s="13"/>
      <c r="N383" s="13"/>
      <c r="Q383" s="26"/>
    </row>
    <row r="384" spans="1:17" x14ac:dyDescent="0.35">
      <c r="B384" s="13"/>
      <c r="E384" s="13"/>
      <c r="H384" s="13"/>
      <c r="N384" s="13"/>
      <c r="Q384" s="26"/>
    </row>
    <row r="385" spans="2:17" x14ac:dyDescent="0.35">
      <c r="B385" s="13"/>
      <c r="E385" s="13"/>
      <c r="H385" s="13"/>
      <c r="N385" s="13"/>
      <c r="Q385" s="26"/>
    </row>
    <row r="386" spans="2:17" x14ac:dyDescent="0.35">
      <c r="B386" s="13"/>
      <c r="E386" s="13"/>
      <c r="H386" s="13"/>
      <c r="N386" s="13"/>
      <c r="Q386" s="26"/>
    </row>
    <row r="387" spans="2:17" x14ac:dyDescent="0.35">
      <c r="B387" s="13"/>
      <c r="E387" s="13"/>
      <c r="H387" s="13"/>
      <c r="N387" s="13"/>
      <c r="Q387" s="26"/>
    </row>
    <row r="388" spans="2:17" x14ac:dyDescent="0.35">
      <c r="B388" s="13"/>
      <c r="E388" s="13"/>
      <c r="H388" s="13"/>
      <c r="N388" s="13"/>
      <c r="Q388" s="136"/>
    </row>
    <row r="389" spans="2:17" x14ac:dyDescent="0.35">
      <c r="B389" s="13"/>
      <c r="E389" s="13"/>
      <c r="H389" s="13"/>
      <c r="N389" s="13"/>
      <c r="Q389" s="136"/>
    </row>
    <row r="390" spans="2:17" x14ac:dyDescent="0.35">
      <c r="B390" s="13"/>
      <c r="E390" s="13"/>
      <c r="H390" s="13"/>
      <c r="N390" s="13"/>
      <c r="Q390" s="136"/>
    </row>
    <row r="391" spans="2:17" x14ac:dyDescent="0.35">
      <c r="B391" s="13"/>
      <c r="E391" s="13"/>
      <c r="H391" s="13"/>
      <c r="N391" s="13"/>
      <c r="Q391" s="136"/>
    </row>
    <row r="392" spans="2:17" x14ac:dyDescent="0.35">
      <c r="B392" s="13"/>
      <c r="E392" s="13"/>
      <c r="H392" s="13"/>
      <c r="N392" s="13"/>
      <c r="Q392" s="136"/>
    </row>
    <row r="393" spans="2:17" x14ac:dyDescent="0.35">
      <c r="B393" s="13"/>
      <c r="E393" s="13"/>
      <c r="H393" s="13"/>
      <c r="N393" s="13"/>
      <c r="Q393" s="26"/>
    </row>
    <row r="394" spans="2:17" x14ac:dyDescent="0.35">
      <c r="B394" s="13"/>
      <c r="E394" s="13"/>
      <c r="H394" s="13"/>
      <c r="N394" s="13"/>
      <c r="Q394" s="26"/>
    </row>
    <row r="395" spans="2:17" x14ac:dyDescent="0.35">
      <c r="B395" s="13"/>
      <c r="E395" s="13"/>
      <c r="H395" s="13"/>
      <c r="N395" s="13"/>
      <c r="Q395" s="26"/>
    </row>
    <row r="396" spans="2:17" x14ac:dyDescent="0.35">
      <c r="B396" s="13"/>
      <c r="E396" s="13"/>
      <c r="H396" s="13"/>
      <c r="N396" s="13"/>
    </row>
    <row r="397" spans="2:17" x14ac:dyDescent="0.35">
      <c r="B397" s="13"/>
      <c r="E397" s="13"/>
      <c r="H397" s="13"/>
      <c r="N397" s="13"/>
    </row>
    <row r="398" spans="2:17" x14ac:dyDescent="0.35">
      <c r="B398" s="13"/>
      <c r="E398" s="13"/>
      <c r="H398" s="13"/>
      <c r="N398" s="13"/>
    </row>
    <row r="399" spans="2:17" x14ac:dyDescent="0.35">
      <c r="B399" s="13"/>
      <c r="E399" s="13"/>
      <c r="H399" s="13"/>
      <c r="N399" s="13"/>
    </row>
    <row r="400" spans="2:17" x14ac:dyDescent="0.35">
      <c r="B400" s="13"/>
      <c r="E400" s="13"/>
      <c r="H400" s="13"/>
      <c r="N400" s="13"/>
    </row>
    <row r="401" spans="1:16" x14ac:dyDescent="0.35">
      <c r="N401" s="148"/>
      <c r="O401" s="26"/>
      <c r="P401" s="26"/>
    </row>
    <row r="402" spans="1:16" x14ac:dyDescent="0.35">
      <c r="N402" s="148"/>
      <c r="O402" s="26"/>
      <c r="P402" s="26"/>
    </row>
    <row r="403" spans="1:16" x14ac:dyDescent="0.35">
      <c r="N403" s="148"/>
      <c r="O403" s="26"/>
      <c r="P403" s="26"/>
    </row>
    <row r="404" spans="1:16" x14ac:dyDescent="0.35">
      <c r="N404" s="148"/>
      <c r="O404" s="26"/>
      <c r="P404" s="26"/>
    </row>
    <row r="405" spans="1:16" x14ac:dyDescent="0.35">
      <c r="N405" s="148"/>
      <c r="O405" s="26"/>
      <c r="P405" s="26"/>
    </row>
    <row r="406" spans="1:16" x14ac:dyDescent="0.35">
      <c r="N406" s="148"/>
      <c r="O406" s="26"/>
      <c r="P406" s="26"/>
    </row>
    <row r="407" spans="1:16" x14ac:dyDescent="0.35">
      <c r="A407" s="26"/>
      <c r="B407" s="35"/>
      <c r="C407" s="26"/>
      <c r="D407" s="26"/>
      <c r="E407" s="44"/>
      <c r="F407" s="26"/>
      <c r="G407" s="26"/>
      <c r="H407" s="147"/>
      <c r="I407" s="26"/>
      <c r="J407" s="26"/>
      <c r="K407" s="26"/>
      <c r="L407" s="26"/>
      <c r="M407" s="26"/>
      <c r="N407" s="148"/>
      <c r="O407" s="26"/>
      <c r="P407" s="26"/>
    </row>
    <row r="408" spans="1:16" x14ac:dyDescent="0.35">
      <c r="A408" s="29"/>
      <c r="B408" s="155"/>
      <c r="C408" s="26"/>
      <c r="D408" s="26"/>
      <c r="E408" s="44"/>
      <c r="F408" s="26"/>
      <c r="G408" s="26"/>
      <c r="H408" s="147"/>
      <c r="I408" s="26"/>
      <c r="J408" s="26"/>
      <c r="K408" s="26"/>
      <c r="L408" s="26"/>
      <c r="M408" s="26"/>
      <c r="N408" s="148"/>
      <c r="O408" s="26"/>
      <c r="P408" s="26"/>
    </row>
    <row r="409" spans="1:16" x14ac:dyDescent="0.35">
      <c r="A409" s="29"/>
      <c r="B409" s="155"/>
      <c r="C409" s="26"/>
      <c r="D409" s="26"/>
      <c r="E409" s="44"/>
      <c r="F409" s="26"/>
      <c r="G409" s="26"/>
      <c r="H409" s="147"/>
      <c r="I409" s="26"/>
      <c r="J409" s="26"/>
      <c r="K409" s="26"/>
      <c r="L409" s="26"/>
      <c r="M409" s="26"/>
      <c r="N409" s="148"/>
      <c r="O409" s="26"/>
      <c r="P409" s="26"/>
    </row>
    <row r="410" spans="1:16" x14ac:dyDescent="0.35">
      <c r="A410" s="26"/>
      <c r="B410" s="35"/>
      <c r="C410" s="26"/>
      <c r="D410" s="26"/>
      <c r="E410" s="44"/>
      <c r="F410" s="26"/>
      <c r="G410" s="26"/>
      <c r="H410" s="147"/>
      <c r="I410" s="26"/>
      <c r="J410" s="26"/>
      <c r="K410" s="26"/>
      <c r="L410" s="26"/>
      <c r="M410" s="26"/>
      <c r="N410" s="148"/>
      <c r="O410" s="26"/>
      <c r="P410" s="26"/>
    </row>
    <row r="411" spans="1:16" x14ac:dyDescent="0.35">
      <c r="A411" s="29"/>
      <c r="B411" s="156"/>
      <c r="C411" s="26"/>
      <c r="D411" s="157"/>
      <c r="E411" s="158"/>
      <c r="F411" s="157"/>
      <c r="G411" s="26"/>
      <c r="H411" s="157"/>
      <c r="I411" s="26"/>
      <c r="J411" s="26"/>
      <c r="K411" s="26"/>
      <c r="L411" s="26"/>
      <c r="M411" s="26"/>
      <c r="N411" s="148"/>
      <c r="O411" s="26"/>
      <c r="P411" s="26"/>
    </row>
    <row r="412" spans="1:16" x14ac:dyDescent="0.35">
      <c r="A412" s="29"/>
      <c r="B412" s="156"/>
      <c r="C412" s="26"/>
      <c r="D412" s="157"/>
      <c r="E412" s="158"/>
      <c r="F412" s="157"/>
      <c r="G412" s="26"/>
      <c r="H412" s="157"/>
      <c r="I412" s="26"/>
      <c r="J412" s="26"/>
      <c r="K412" s="26"/>
      <c r="L412" s="26"/>
      <c r="M412" s="26"/>
      <c r="N412" s="148"/>
      <c r="O412" s="26"/>
      <c r="P412" s="26"/>
    </row>
    <row r="413" spans="1:16" x14ac:dyDescent="0.35">
      <c r="A413" s="29"/>
      <c r="B413" s="156"/>
      <c r="C413" s="26"/>
      <c r="D413" s="157"/>
      <c r="E413" s="158"/>
      <c r="F413" s="157"/>
      <c r="G413" s="26"/>
      <c r="H413" s="157"/>
      <c r="I413" s="26"/>
      <c r="J413" s="26"/>
      <c r="K413" s="26"/>
      <c r="L413" s="26"/>
      <c r="M413" s="26"/>
      <c r="N413" s="148"/>
      <c r="O413" s="26"/>
      <c r="P413" s="26"/>
    </row>
    <row r="414" spans="1:16" x14ac:dyDescent="0.35">
      <c r="A414" s="26"/>
      <c r="B414" s="35"/>
      <c r="C414" s="26"/>
      <c r="D414" s="26"/>
      <c r="E414" s="44"/>
      <c r="F414" s="26"/>
      <c r="G414" s="26"/>
      <c r="H414" s="147"/>
      <c r="I414" s="26"/>
      <c r="J414" s="26"/>
      <c r="K414" s="26"/>
      <c r="L414" s="26"/>
      <c r="M414" s="26"/>
      <c r="N414" s="148"/>
      <c r="O414" s="26"/>
      <c r="P414" s="26"/>
    </row>
    <row r="415" spans="1:16" x14ac:dyDescent="0.35">
      <c r="A415" s="95"/>
      <c r="B415" s="140"/>
      <c r="C415" s="159"/>
      <c r="D415" s="140"/>
      <c r="E415" s="69"/>
      <c r="F415" s="159"/>
      <c r="G415" s="140"/>
      <c r="H415" s="285"/>
      <c r="I415" s="28"/>
      <c r="J415" s="26"/>
      <c r="K415" s="26"/>
      <c r="L415" s="26"/>
      <c r="M415" s="26"/>
      <c r="N415" s="148"/>
      <c r="O415" s="26"/>
      <c r="P415" s="26"/>
    </row>
    <row r="416" spans="1:16" x14ac:dyDescent="0.35">
      <c r="A416" s="95"/>
      <c r="B416" s="140"/>
      <c r="C416" s="26"/>
      <c r="D416" s="35"/>
      <c r="E416" s="69"/>
      <c r="F416" s="26"/>
      <c r="G416" s="35"/>
      <c r="H416" s="285"/>
      <c r="I416" s="28"/>
      <c r="J416" s="26"/>
      <c r="K416" s="26"/>
      <c r="L416" s="26"/>
      <c r="M416" s="26"/>
      <c r="N416" s="148"/>
      <c r="O416" s="26"/>
      <c r="P416" s="26"/>
    </row>
    <row r="417" spans="1:17" x14ac:dyDescent="0.35">
      <c r="A417" s="95"/>
      <c r="B417" s="140"/>
      <c r="C417" s="26"/>
      <c r="D417" s="35"/>
      <c r="E417" s="69"/>
      <c r="F417" s="26"/>
      <c r="G417" s="35"/>
      <c r="H417" s="285"/>
      <c r="I417" s="28"/>
      <c r="J417" s="26"/>
      <c r="K417" s="26"/>
      <c r="L417" s="26"/>
      <c r="M417" s="26"/>
      <c r="N417" s="148"/>
      <c r="O417" s="26"/>
      <c r="P417" s="26"/>
      <c r="Q417" s="26"/>
    </row>
    <row r="418" spans="1:17" x14ac:dyDescent="0.35">
      <c r="A418" s="26"/>
      <c r="B418" s="35"/>
      <c r="C418" s="26"/>
      <c r="D418" s="26"/>
      <c r="E418" s="44"/>
      <c r="F418" s="26"/>
      <c r="G418" s="26"/>
      <c r="H418" s="147"/>
      <c r="I418" s="26"/>
      <c r="J418" s="26"/>
      <c r="K418" s="26"/>
      <c r="L418" s="26"/>
      <c r="M418" s="26"/>
      <c r="N418" s="148"/>
      <c r="O418" s="26"/>
      <c r="P418" s="26"/>
      <c r="Q418" s="26"/>
    </row>
    <row r="419" spans="1:17" x14ac:dyDescent="0.35">
      <c r="A419" s="26"/>
      <c r="B419" s="35"/>
      <c r="C419" s="26"/>
      <c r="D419" s="26"/>
      <c r="E419" s="44"/>
      <c r="F419" s="26"/>
      <c r="G419" s="26"/>
      <c r="H419" s="147"/>
      <c r="I419" s="26"/>
      <c r="J419" s="26"/>
      <c r="K419" s="26"/>
      <c r="L419" s="26"/>
      <c r="M419" s="26"/>
      <c r="N419" s="148"/>
      <c r="O419" s="26"/>
      <c r="P419" s="26"/>
      <c r="Q419" s="26"/>
    </row>
    <row r="420" spans="1:17" x14ac:dyDescent="0.35">
      <c r="A420" s="26"/>
      <c r="B420" s="35"/>
      <c r="C420" s="26"/>
      <c r="D420" s="26"/>
      <c r="E420" s="44"/>
      <c r="F420" s="26"/>
      <c r="G420" s="26"/>
      <c r="H420" s="147"/>
      <c r="I420" s="26"/>
      <c r="J420" s="26"/>
      <c r="K420" s="26"/>
      <c r="L420" s="26"/>
      <c r="M420" s="26"/>
      <c r="N420" s="148"/>
      <c r="O420" s="26"/>
      <c r="P420" s="26"/>
      <c r="Q420" s="26"/>
    </row>
    <row r="421" spans="1:17" x14ac:dyDescent="0.35">
      <c r="A421" s="160"/>
      <c r="B421" s="35"/>
      <c r="C421" s="26"/>
      <c r="D421" s="26"/>
      <c r="E421" s="44"/>
      <c r="F421" s="26"/>
      <c r="G421" s="26"/>
      <c r="H421" s="147"/>
      <c r="I421" s="26"/>
      <c r="J421" s="26"/>
      <c r="K421" s="26"/>
      <c r="L421" s="26"/>
      <c r="M421" s="26"/>
      <c r="N421" s="148"/>
      <c r="O421" s="26"/>
      <c r="P421" s="26"/>
      <c r="Q421" s="26"/>
    </row>
    <row r="422" spans="1:17" x14ac:dyDescent="0.35">
      <c r="A422" s="160"/>
      <c r="B422" s="35"/>
      <c r="C422" s="26"/>
      <c r="D422" s="26"/>
      <c r="E422" s="44"/>
      <c r="F422" s="26"/>
      <c r="G422" s="26"/>
      <c r="H422" s="147"/>
      <c r="I422" s="26"/>
      <c r="J422" s="26"/>
      <c r="K422" s="26"/>
      <c r="L422" s="26"/>
      <c r="M422" s="26"/>
      <c r="N422" s="148"/>
      <c r="O422" s="26"/>
      <c r="P422" s="26"/>
      <c r="Q422" s="26"/>
    </row>
    <row r="423" spans="1:17" x14ac:dyDescent="0.35">
      <c r="A423" s="160"/>
      <c r="B423" s="35"/>
      <c r="C423" s="26"/>
      <c r="D423" s="26"/>
      <c r="E423" s="44"/>
      <c r="F423" s="26"/>
      <c r="G423" s="26"/>
      <c r="H423" s="147"/>
      <c r="I423" s="26"/>
      <c r="J423" s="26"/>
      <c r="K423" s="26"/>
      <c r="L423" s="26"/>
      <c r="M423" s="26"/>
      <c r="N423" s="148"/>
      <c r="O423" s="26"/>
      <c r="P423" s="26"/>
      <c r="Q423" s="26"/>
    </row>
    <row r="424" spans="1:17" x14ac:dyDescent="0.35">
      <c r="A424" s="26"/>
      <c r="B424" s="35"/>
      <c r="C424" s="26"/>
      <c r="D424" s="26"/>
      <c r="E424" s="44"/>
      <c r="F424" s="26"/>
      <c r="G424" s="26"/>
      <c r="H424" s="147"/>
      <c r="I424" s="26"/>
      <c r="J424" s="26"/>
      <c r="K424" s="26"/>
      <c r="L424" s="26"/>
      <c r="M424" s="26"/>
      <c r="N424" s="148"/>
      <c r="O424" s="26"/>
      <c r="P424" s="26"/>
      <c r="Q424" s="26"/>
    </row>
    <row r="425" spans="1:17" x14ac:dyDescent="0.35">
      <c r="A425" s="26"/>
      <c r="B425" s="35"/>
      <c r="C425" s="26"/>
      <c r="D425" s="26"/>
      <c r="E425" s="44"/>
      <c r="F425" s="26"/>
      <c r="G425" s="26"/>
      <c r="H425" s="147"/>
      <c r="I425" s="26"/>
      <c r="J425" s="26"/>
      <c r="K425" s="26"/>
      <c r="L425" s="26"/>
      <c r="M425" s="26"/>
      <c r="N425" s="148"/>
      <c r="O425" s="26"/>
      <c r="P425" s="26"/>
      <c r="Q425" s="26"/>
    </row>
    <row r="426" spans="1:17" x14ac:dyDescent="0.35">
      <c r="A426" s="26"/>
      <c r="B426" s="35"/>
      <c r="C426" s="26"/>
      <c r="D426" s="26"/>
      <c r="E426" s="44"/>
      <c r="F426" s="26"/>
      <c r="G426" s="26"/>
      <c r="H426" s="147"/>
      <c r="I426" s="26"/>
      <c r="J426" s="26"/>
      <c r="K426" s="26"/>
      <c r="L426" s="26"/>
      <c r="M426" s="26"/>
      <c r="N426" s="148"/>
      <c r="O426" s="26"/>
      <c r="P426" s="26"/>
      <c r="Q426" s="26"/>
    </row>
    <row r="427" spans="1:17" x14ac:dyDescent="0.35">
      <c r="A427" s="26"/>
      <c r="B427" s="35"/>
      <c r="C427" s="26"/>
      <c r="D427" s="26"/>
      <c r="E427" s="44"/>
      <c r="F427" s="26"/>
      <c r="G427" s="26"/>
      <c r="H427" s="147"/>
      <c r="I427" s="26"/>
      <c r="J427" s="26"/>
      <c r="K427" s="26"/>
      <c r="L427" s="26"/>
      <c r="M427" s="26"/>
      <c r="N427" s="148"/>
      <c r="O427" s="26"/>
      <c r="P427" s="26"/>
      <c r="Q427" s="26"/>
    </row>
    <row r="428" spans="1:17" x14ac:dyDescent="0.35">
      <c r="A428" s="26"/>
      <c r="B428" s="35"/>
      <c r="C428" s="26"/>
      <c r="D428" s="26"/>
      <c r="E428" s="44"/>
      <c r="F428" s="26"/>
      <c r="G428" s="26"/>
      <c r="H428" s="147"/>
      <c r="I428" s="26"/>
      <c r="J428" s="26"/>
      <c r="K428" s="26"/>
      <c r="L428" s="26"/>
      <c r="M428" s="26"/>
      <c r="N428" s="148"/>
      <c r="O428" s="26"/>
      <c r="P428" s="26"/>
      <c r="Q428" s="26"/>
    </row>
    <row r="429" spans="1:17" x14ac:dyDescent="0.35">
      <c r="A429" s="26"/>
      <c r="B429" s="35"/>
      <c r="C429" s="26"/>
      <c r="D429" s="26"/>
      <c r="E429" s="44"/>
      <c r="F429" s="26"/>
      <c r="G429" s="26"/>
      <c r="H429" s="147"/>
      <c r="I429" s="26"/>
      <c r="J429" s="26"/>
      <c r="K429" s="26"/>
      <c r="L429" s="26"/>
      <c r="M429" s="26"/>
      <c r="N429" s="148"/>
      <c r="O429" s="26"/>
      <c r="P429" s="26"/>
      <c r="Q429" s="26"/>
    </row>
    <row r="430" spans="1:17" x14ac:dyDescent="0.35">
      <c r="A430" s="26"/>
      <c r="B430" s="35"/>
      <c r="C430" s="26"/>
      <c r="D430" s="26"/>
      <c r="E430" s="44"/>
      <c r="F430" s="26"/>
      <c r="G430" s="26"/>
      <c r="H430" s="147"/>
      <c r="I430" s="26"/>
      <c r="J430" s="26"/>
      <c r="K430" s="26"/>
      <c r="L430" s="26"/>
      <c r="M430" s="26"/>
      <c r="N430" s="148"/>
      <c r="O430" s="26"/>
      <c r="P430" s="26"/>
      <c r="Q430" s="26"/>
    </row>
    <row r="431" spans="1:17" x14ac:dyDescent="0.35">
      <c r="A431" s="26"/>
      <c r="B431" s="35"/>
      <c r="C431" s="26"/>
      <c r="D431" s="26"/>
      <c r="E431" s="44"/>
      <c r="F431" s="26"/>
      <c r="G431" s="26"/>
      <c r="H431" s="147"/>
      <c r="I431" s="26"/>
      <c r="J431" s="26"/>
      <c r="K431" s="26"/>
      <c r="L431" s="26"/>
      <c r="M431" s="26"/>
      <c r="N431" s="148"/>
      <c r="O431" s="26"/>
      <c r="P431" s="26"/>
      <c r="Q431" s="26"/>
    </row>
    <row r="432" spans="1:17" x14ac:dyDescent="0.35">
      <c r="A432" s="26"/>
      <c r="B432" s="161"/>
      <c r="C432" s="26"/>
      <c r="D432" s="26"/>
      <c r="E432" s="44"/>
      <c r="F432" s="26"/>
      <c r="G432" s="26"/>
      <c r="H432" s="147"/>
      <c r="I432" s="26"/>
      <c r="J432" s="26"/>
      <c r="K432" s="26"/>
      <c r="L432" s="26"/>
      <c r="M432" s="26"/>
      <c r="N432" s="148"/>
      <c r="O432" s="26"/>
      <c r="P432" s="26"/>
      <c r="Q432" s="26"/>
    </row>
    <row r="433" spans="1:17" x14ac:dyDescent="0.35">
      <c r="A433" s="95"/>
      <c r="B433" s="69"/>
      <c r="C433" s="26"/>
      <c r="D433" s="35"/>
      <c r="E433" s="113"/>
      <c r="F433" s="26"/>
      <c r="G433" s="35"/>
      <c r="H433" s="285"/>
      <c r="I433" s="331"/>
      <c r="J433" s="35"/>
      <c r="K433" s="466"/>
      <c r="L433" s="26"/>
      <c r="M433" s="26"/>
      <c r="N433" s="148"/>
      <c r="O433" s="26"/>
      <c r="P433" s="26"/>
      <c r="Q433" s="26"/>
    </row>
    <row r="434" spans="1:17" x14ac:dyDescent="0.35">
      <c r="A434" s="95"/>
      <c r="B434" s="69"/>
      <c r="C434" s="26"/>
      <c r="D434" s="35"/>
      <c r="E434" s="113"/>
      <c r="F434" s="26"/>
      <c r="G434" s="35"/>
      <c r="H434" s="285"/>
      <c r="I434" s="331"/>
      <c r="J434" s="35"/>
      <c r="K434" s="466"/>
      <c r="L434" s="26"/>
      <c r="M434" s="26"/>
      <c r="N434" s="148"/>
      <c r="O434" s="26"/>
      <c r="P434" s="26"/>
      <c r="Q434" s="26"/>
    </row>
    <row r="435" spans="1:17" x14ac:dyDescent="0.35">
      <c r="A435" s="26"/>
      <c r="B435" s="35"/>
      <c r="C435" s="26"/>
      <c r="D435" s="26"/>
      <c r="E435" s="44"/>
      <c r="F435" s="26"/>
      <c r="G435" s="26"/>
      <c r="H435" s="147"/>
      <c r="I435" s="26"/>
      <c r="J435" s="26"/>
      <c r="K435" s="26"/>
      <c r="L435" s="26"/>
      <c r="M435" s="26"/>
      <c r="N435" s="148"/>
      <c r="O435" s="26"/>
      <c r="P435" s="26"/>
      <c r="Q435" s="26"/>
    </row>
    <row r="436" spans="1:17" x14ac:dyDescent="0.35">
      <c r="A436" s="26"/>
      <c r="B436" s="35"/>
      <c r="C436" s="26"/>
      <c r="D436" s="26"/>
      <c r="E436" s="44"/>
      <c r="F436" s="26"/>
      <c r="G436" s="26"/>
      <c r="H436" s="147"/>
      <c r="I436" s="26"/>
      <c r="J436" s="26"/>
      <c r="K436" s="26"/>
      <c r="L436" s="26"/>
      <c r="M436" s="26"/>
      <c r="N436" s="148"/>
      <c r="O436" s="26"/>
      <c r="P436" s="26"/>
      <c r="Q436" s="26"/>
    </row>
    <row r="437" spans="1:17" x14ac:dyDescent="0.35">
      <c r="A437" s="26"/>
      <c r="B437" s="35"/>
      <c r="C437" s="26"/>
      <c r="D437" s="26"/>
      <c r="E437" s="44"/>
      <c r="F437" s="26"/>
      <c r="G437" s="26"/>
      <c r="H437" s="147"/>
      <c r="I437" s="26"/>
      <c r="J437" s="26"/>
      <c r="K437" s="26"/>
      <c r="L437" s="26"/>
      <c r="M437" s="26"/>
      <c r="N437" s="148"/>
      <c r="O437" s="26"/>
      <c r="P437" s="26"/>
      <c r="Q437" s="26"/>
    </row>
    <row r="438" spans="1:17" x14ac:dyDescent="0.35">
      <c r="A438" s="95"/>
      <c r="B438" s="69"/>
      <c r="C438" s="26"/>
      <c r="D438" s="35"/>
      <c r="E438" s="113"/>
      <c r="F438" s="26"/>
      <c r="G438" s="35"/>
      <c r="H438" s="285"/>
      <c r="I438" s="331"/>
      <c r="J438" s="35"/>
      <c r="K438" s="466"/>
      <c r="L438" s="26"/>
      <c r="M438" s="26"/>
      <c r="N438" s="148"/>
      <c r="O438" s="26"/>
      <c r="P438" s="26"/>
      <c r="Q438" s="26"/>
    </row>
    <row r="439" spans="1:17" x14ac:dyDescent="0.35">
      <c r="A439" s="95"/>
      <c r="B439" s="69"/>
      <c r="C439" s="26"/>
      <c r="D439" s="35"/>
      <c r="E439" s="113"/>
      <c r="F439" s="26"/>
      <c r="G439" s="35"/>
      <c r="H439" s="285"/>
      <c r="I439" s="331"/>
      <c r="J439" s="35"/>
      <c r="K439" s="466"/>
      <c r="L439" s="26"/>
      <c r="M439" s="26"/>
      <c r="N439" s="148"/>
      <c r="O439" s="26"/>
      <c r="P439" s="26"/>
      <c r="Q439" s="26"/>
    </row>
    <row r="440" spans="1:17" x14ac:dyDescent="0.35">
      <c r="A440" s="95"/>
      <c r="B440" s="69"/>
      <c r="C440" s="26"/>
      <c r="D440" s="35"/>
      <c r="E440" s="113"/>
      <c r="F440" s="26"/>
      <c r="G440" s="35"/>
      <c r="H440" s="285"/>
      <c r="I440" s="331"/>
      <c r="J440" s="35"/>
      <c r="K440" s="466"/>
      <c r="L440" s="26"/>
      <c r="M440" s="26"/>
      <c r="N440" s="148"/>
      <c r="O440" s="26"/>
      <c r="P440" s="26"/>
      <c r="Q440" s="26"/>
    </row>
    <row r="441" spans="1:17" x14ac:dyDescent="0.35">
      <c r="A441" s="26"/>
      <c r="B441" s="35"/>
      <c r="C441" s="26"/>
      <c r="D441" s="26"/>
      <c r="E441" s="44"/>
      <c r="F441" s="26"/>
      <c r="G441" s="26"/>
      <c r="H441" s="147"/>
      <c r="I441" s="26"/>
      <c r="J441" s="26"/>
      <c r="K441" s="26"/>
      <c r="L441" s="26"/>
      <c r="M441" s="26"/>
      <c r="N441" s="148"/>
      <c r="O441" s="26"/>
      <c r="P441" s="26"/>
      <c r="Q441" s="26"/>
    </row>
    <row r="442" spans="1:17" x14ac:dyDescent="0.35">
      <c r="A442" s="26"/>
      <c r="B442" s="35"/>
      <c r="C442" s="26"/>
      <c r="D442" s="26"/>
      <c r="E442" s="44"/>
      <c r="F442" s="26"/>
      <c r="G442" s="26"/>
      <c r="H442" s="147"/>
      <c r="I442" s="26"/>
      <c r="J442" s="26"/>
      <c r="K442" s="26"/>
      <c r="L442" s="26"/>
      <c r="M442" s="26"/>
      <c r="N442" s="148"/>
      <c r="O442" s="26"/>
      <c r="P442" s="26"/>
      <c r="Q442" s="26"/>
    </row>
    <row r="443" spans="1:17" x14ac:dyDescent="0.35">
      <c r="A443" s="26"/>
      <c r="B443" s="35"/>
      <c r="C443" s="26"/>
      <c r="D443" s="26"/>
      <c r="E443" s="44"/>
      <c r="F443" s="26"/>
      <c r="G443" s="26"/>
      <c r="H443" s="147"/>
      <c r="I443" s="26"/>
      <c r="J443" s="26"/>
      <c r="K443" s="26"/>
      <c r="L443" s="26"/>
      <c r="M443" s="26"/>
      <c r="N443" s="148"/>
      <c r="O443" s="26"/>
      <c r="P443" s="26"/>
      <c r="Q443" s="26"/>
    </row>
    <row r="444" spans="1:17" x14ac:dyDescent="0.35">
      <c r="A444" s="26"/>
      <c r="B444" s="35"/>
      <c r="C444" s="26"/>
      <c r="D444" s="26"/>
      <c r="E444" s="44"/>
      <c r="F444" s="26"/>
      <c r="G444" s="26"/>
      <c r="H444" s="147"/>
      <c r="I444" s="26"/>
      <c r="J444" s="26"/>
      <c r="K444" s="26"/>
      <c r="L444" s="26"/>
      <c r="M444" s="26"/>
      <c r="N444" s="148"/>
      <c r="O444" s="26"/>
      <c r="P444" s="26"/>
      <c r="Q444" s="26"/>
    </row>
    <row r="445" spans="1:17" x14ac:dyDescent="0.35">
      <c r="A445" s="26"/>
      <c r="B445" s="35"/>
      <c r="C445" s="26"/>
      <c r="D445" s="26"/>
      <c r="E445" s="44"/>
      <c r="F445" s="26"/>
      <c r="G445" s="26"/>
      <c r="H445" s="147"/>
      <c r="I445" s="26"/>
      <c r="J445" s="26"/>
      <c r="K445" s="26"/>
      <c r="L445" s="26"/>
      <c r="M445" s="26"/>
      <c r="N445" s="148"/>
      <c r="O445" s="26"/>
      <c r="P445" s="26"/>
      <c r="Q445" s="26"/>
    </row>
    <row r="446" spans="1:17" x14ac:dyDescent="0.35">
      <c r="A446" s="26"/>
      <c r="B446" s="35"/>
      <c r="C446" s="26"/>
      <c r="D446" s="26"/>
      <c r="E446" s="44"/>
      <c r="F446" s="26"/>
      <c r="G446" s="26"/>
      <c r="H446" s="147"/>
      <c r="I446" s="26"/>
      <c r="J446" s="26"/>
      <c r="K446" s="26"/>
      <c r="L446" s="26"/>
      <c r="M446" s="26"/>
      <c r="N446" s="148"/>
      <c r="O446" s="26"/>
      <c r="P446" s="26"/>
      <c r="Q446" s="26"/>
    </row>
    <row r="447" spans="1:17" x14ac:dyDescent="0.35">
      <c r="A447" s="26"/>
      <c r="B447" s="35"/>
      <c r="C447" s="26"/>
      <c r="D447" s="26"/>
      <c r="E447" s="44"/>
      <c r="F447" s="26"/>
      <c r="G447" s="26"/>
      <c r="H447" s="147"/>
      <c r="I447" s="26"/>
      <c r="J447" s="26"/>
      <c r="K447" s="26"/>
      <c r="L447" s="26"/>
      <c r="M447" s="26"/>
      <c r="N447" s="148"/>
      <c r="O447" s="26"/>
      <c r="P447" s="26"/>
      <c r="Q447" s="26"/>
    </row>
    <row r="448" spans="1:17" x14ac:dyDescent="0.35">
      <c r="A448" s="26"/>
      <c r="B448" s="35"/>
      <c r="C448" s="26"/>
      <c r="D448" s="26"/>
      <c r="E448" s="44"/>
      <c r="F448" s="26"/>
      <c r="G448" s="26"/>
      <c r="H448" s="147"/>
      <c r="I448" s="26"/>
      <c r="J448" s="26"/>
      <c r="K448" s="26"/>
      <c r="L448" s="26"/>
      <c r="M448" s="26"/>
      <c r="N448" s="148"/>
      <c r="O448" s="26"/>
      <c r="P448" s="26"/>
      <c r="Q448" s="26"/>
    </row>
    <row r="449" spans="1:17" x14ac:dyDescent="0.35">
      <c r="A449" s="26"/>
      <c r="B449" s="35"/>
      <c r="C449" s="26"/>
      <c r="D449" s="26"/>
      <c r="E449" s="44"/>
      <c r="F449" s="26"/>
      <c r="G449" s="26"/>
      <c r="H449" s="147"/>
      <c r="I449" s="26"/>
      <c r="J449" s="26"/>
      <c r="K449" s="26"/>
      <c r="L449" s="26"/>
      <c r="M449" s="26"/>
      <c r="N449" s="148"/>
      <c r="O449" s="26"/>
      <c r="P449" s="26"/>
      <c r="Q449" s="26"/>
    </row>
    <row r="450" spans="1:17" x14ac:dyDescent="0.35">
      <c r="A450" s="26"/>
      <c r="B450" s="35"/>
      <c r="C450" s="26"/>
      <c r="D450" s="26"/>
      <c r="E450" s="44"/>
      <c r="F450" s="26"/>
      <c r="G450" s="26"/>
      <c r="H450" s="147"/>
      <c r="I450" s="26"/>
      <c r="J450" s="26"/>
      <c r="K450" s="26"/>
      <c r="L450" s="26"/>
      <c r="M450" s="26"/>
      <c r="N450" s="148"/>
      <c r="O450" s="26"/>
      <c r="P450" s="26"/>
      <c r="Q450" s="26"/>
    </row>
    <row r="451" spans="1:17" x14ac:dyDescent="0.35">
      <c r="A451" s="26"/>
      <c r="B451" s="35"/>
      <c r="C451" s="26"/>
      <c r="D451" s="26"/>
      <c r="E451" s="44"/>
      <c r="F451" s="26"/>
      <c r="G451" s="26"/>
      <c r="H451" s="147"/>
      <c r="I451" s="26"/>
      <c r="J451" s="26"/>
      <c r="K451" s="26"/>
      <c r="L451" s="26"/>
      <c r="M451" s="26"/>
      <c r="N451" s="148"/>
      <c r="O451" s="26"/>
      <c r="P451" s="26"/>
      <c r="Q451" s="26"/>
    </row>
    <row r="452" spans="1:17" x14ac:dyDescent="0.35">
      <c r="A452" s="26"/>
      <c r="B452" s="35"/>
      <c r="C452" s="26"/>
      <c r="D452" s="26"/>
      <c r="E452" s="44"/>
      <c r="F452" s="26"/>
      <c r="G452" s="26"/>
      <c r="H452" s="147"/>
      <c r="I452" s="26"/>
      <c r="J452" s="26"/>
      <c r="K452" s="26"/>
      <c r="L452" s="26"/>
      <c r="M452" s="26"/>
      <c r="N452" s="148"/>
      <c r="O452" s="26"/>
      <c r="P452" s="26"/>
      <c r="Q452" s="26"/>
    </row>
    <row r="453" spans="1:17" x14ac:dyDescent="0.35">
      <c r="A453" s="26"/>
      <c r="B453" s="35"/>
      <c r="C453" s="26"/>
      <c r="D453" s="26"/>
      <c r="E453" s="44"/>
      <c r="F453" s="26"/>
      <c r="G453" s="26"/>
      <c r="H453" s="147"/>
      <c r="I453" s="26"/>
      <c r="J453" s="26"/>
      <c r="K453" s="26"/>
      <c r="L453" s="26"/>
      <c r="M453" s="26"/>
      <c r="N453" s="148"/>
      <c r="O453" s="26"/>
      <c r="P453" s="26"/>
      <c r="Q453" s="26"/>
    </row>
    <row r="454" spans="1:17" x14ac:dyDescent="0.35">
      <c r="A454" s="26"/>
      <c r="B454" s="35"/>
      <c r="C454" s="26"/>
      <c r="D454" s="26"/>
      <c r="E454" s="44"/>
      <c r="F454" s="26"/>
      <c r="G454" s="26"/>
      <c r="H454" s="147"/>
      <c r="I454" s="26"/>
      <c r="J454" s="26"/>
      <c r="K454" s="26"/>
      <c r="L454" s="26"/>
      <c r="M454" s="26"/>
      <c r="N454" s="148"/>
      <c r="O454" s="26"/>
      <c r="P454" s="26"/>
      <c r="Q454" s="26"/>
    </row>
    <row r="455" spans="1:17" x14ac:dyDescent="0.35">
      <c r="A455" s="26"/>
      <c r="B455" s="35"/>
      <c r="C455" s="26"/>
      <c r="D455" s="26"/>
      <c r="E455" s="44"/>
      <c r="F455" s="26"/>
      <c r="G455" s="26"/>
      <c r="H455" s="147"/>
      <c r="I455" s="26"/>
      <c r="J455" s="26"/>
      <c r="K455" s="26"/>
      <c r="L455" s="26"/>
      <c r="M455" s="26"/>
      <c r="N455" s="148"/>
      <c r="O455" s="26"/>
      <c r="P455" s="26"/>
      <c r="Q455" s="26"/>
    </row>
    <row r="456" spans="1:17" x14ac:dyDescent="0.35">
      <c r="A456" s="26"/>
      <c r="B456" s="35"/>
      <c r="C456" s="26"/>
      <c r="D456" s="26"/>
      <c r="E456" s="44"/>
      <c r="F456" s="26"/>
      <c r="G456" s="26"/>
      <c r="H456" s="147"/>
      <c r="I456" s="26"/>
      <c r="J456" s="26"/>
      <c r="K456" s="26"/>
      <c r="L456" s="26"/>
      <c r="M456" s="26"/>
      <c r="N456" s="148"/>
      <c r="O456" s="26"/>
      <c r="P456" s="26"/>
      <c r="Q456" s="26"/>
    </row>
    <row r="457" spans="1:17" x14ac:dyDescent="0.35">
      <c r="A457" s="26"/>
      <c r="B457" s="35"/>
      <c r="C457" s="26"/>
      <c r="D457" s="26"/>
      <c r="E457" s="44"/>
      <c r="F457" s="26"/>
      <c r="G457" s="26"/>
      <c r="H457" s="147"/>
      <c r="I457" s="26"/>
      <c r="J457" s="26"/>
      <c r="K457" s="26"/>
      <c r="L457" s="26"/>
      <c r="M457" s="26"/>
      <c r="N457" s="148"/>
      <c r="O457" s="26"/>
      <c r="P457" s="26"/>
      <c r="Q457" s="26"/>
    </row>
    <row r="458" spans="1:17" x14ac:dyDescent="0.35">
      <c r="A458" s="26"/>
      <c r="B458" s="35"/>
      <c r="C458" s="26"/>
      <c r="D458" s="26"/>
      <c r="E458" s="44"/>
      <c r="F458" s="26"/>
      <c r="G458" s="26"/>
      <c r="H458" s="147"/>
      <c r="I458" s="26"/>
      <c r="J458" s="26"/>
      <c r="K458" s="26"/>
      <c r="L458" s="26"/>
      <c r="M458" s="26"/>
      <c r="N458" s="148"/>
      <c r="O458" s="26"/>
      <c r="P458" s="26"/>
      <c r="Q458" s="26"/>
    </row>
    <row r="459" spans="1:17" x14ac:dyDescent="0.35">
      <c r="A459" s="26"/>
      <c r="B459" s="35"/>
      <c r="C459" s="26"/>
      <c r="D459" s="26"/>
      <c r="E459" s="44"/>
      <c r="F459" s="26"/>
      <c r="G459" s="26"/>
      <c r="H459" s="147"/>
      <c r="I459" s="26"/>
      <c r="J459" s="26"/>
      <c r="K459" s="26"/>
      <c r="L459" s="26"/>
      <c r="M459" s="26"/>
      <c r="N459" s="148"/>
      <c r="O459" s="26"/>
      <c r="P459" s="26"/>
      <c r="Q459" s="26"/>
    </row>
    <row r="460" spans="1:17" x14ac:dyDescent="0.35">
      <c r="A460" s="26"/>
      <c r="B460" s="35"/>
      <c r="C460" s="26"/>
      <c r="D460" s="26"/>
      <c r="E460" s="44"/>
      <c r="F460" s="26"/>
      <c r="G460" s="26"/>
      <c r="H460" s="147"/>
      <c r="I460" s="26"/>
      <c r="J460" s="26"/>
      <c r="K460" s="26"/>
      <c r="L460" s="26"/>
      <c r="M460" s="26"/>
      <c r="N460" s="148"/>
      <c r="O460" s="26"/>
      <c r="P460" s="26"/>
      <c r="Q460" s="26"/>
    </row>
    <row r="461" spans="1:17" x14ac:dyDescent="0.35">
      <c r="A461" s="26"/>
      <c r="B461" s="35"/>
      <c r="C461" s="26"/>
      <c r="D461" s="26"/>
      <c r="E461" s="44"/>
      <c r="F461" s="26"/>
      <c r="G461" s="26"/>
      <c r="H461" s="147"/>
      <c r="I461" s="26"/>
      <c r="J461" s="26"/>
      <c r="K461" s="26"/>
      <c r="L461" s="26"/>
      <c r="M461" s="26"/>
      <c r="N461" s="148"/>
      <c r="O461" s="26"/>
      <c r="P461" s="26"/>
      <c r="Q461" s="26"/>
    </row>
    <row r="462" spans="1:17" x14ac:dyDescent="0.35">
      <c r="A462" s="26"/>
      <c r="B462" s="35"/>
      <c r="C462" s="26"/>
      <c r="D462" s="26"/>
      <c r="E462" s="44"/>
      <c r="F462" s="26"/>
      <c r="G462" s="26"/>
      <c r="H462" s="147"/>
      <c r="I462" s="26"/>
      <c r="J462" s="26"/>
      <c r="K462" s="26"/>
      <c r="L462" s="26"/>
      <c r="M462" s="26"/>
      <c r="N462" s="148"/>
      <c r="O462" s="26"/>
      <c r="P462" s="26"/>
      <c r="Q462" s="26"/>
    </row>
    <row r="463" spans="1:17" x14ac:dyDescent="0.35">
      <c r="A463" s="26"/>
      <c r="B463" s="35"/>
      <c r="C463" s="26"/>
      <c r="D463" s="26"/>
      <c r="E463" s="44"/>
      <c r="F463" s="26"/>
      <c r="G463" s="26"/>
      <c r="H463" s="147"/>
      <c r="I463" s="26"/>
      <c r="J463" s="26"/>
      <c r="K463" s="26"/>
      <c r="L463" s="26"/>
      <c r="M463" s="26"/>
      <c r="N463" s="148"/>
      <c r="O463" s="26"/>
      <c r="P463" s="26"/>
      <c r="Q463" s="26"/>
    </row>
    <row r="464" spans="1:17" x14ac:dyDescent="0.35">
      <c r="A464" s="26"/>
      <c r="B464" s="35"/>
      <c r="C464" s="26"/>
      <c r="D464" s="26"/>
      <c r="E464" s="44"/>
      <c r="F464" s="26"/>
      <c r="G464" s="26"/>
      <c r="H464" s="147"/>
      <c r="I464" s="26"/>
      <c r="J464" s="26"/>
      <c r="K464" s="26"/>
      <c r="L464" s="26"/>
      <c r="M464" s="26"/>
      <c r="N464" s="148"/>
      <c r="O464" s="26"/>
      <c r="P464" s="26"/>
      <c r="Q464" s="26"/>
    </row>
    <row r="465" spans="1:17" x14ac:dyDescent="0.35">
      <c r="A465" s="26"/>
      <c r="B465" s="35"/>
      <c r="C465" s="26"/>
      <c r="D465" s="26"/>
      <c r="E465" s="44"/>
      <c r="F465" s="26"/>
      <c r="G465" s="26"/>
      <c r="H465" s="147"/>
      <c r="I465" s="26"/>
      <c r="J465" s="26"/>
      <c r="K465" s="26"/>
      <c r="L465" s="26"/>
      <c r="M465" s="26"/>
      <c r="N465" s="148"/>
      <c r="O465" s="26"/>
      <c r="P465" s="26"/>
      <c r="Q465" s="26"/>
    </row>
    <row r="466" spans="1:17" x14ac:dyDescent="0.35">
      <c r="A466" s="26"/>
      <c r="B466" s="35"/>
      <c r="C466" s="26"/>
      <c r="D466" s="26"/>
      <c r="E466" s="44"/>
      <c r="F466" s="26"/>
      <c r="G466" s="26"/>
      <c r="H466" s="147"/>
      <c r="I466" s="26"/>
      <c r="J466" s="26"/>
      <c r="K466" s="26"/>
      <c r="L466" s="26"/>
      <c r="M466" s="26"/>
      <c r="N466" s="148"/>
      <c r="O466" s="26"/>
      <c r="P466" s="26"/>
      <c r="Q466" s="26"/>
    </row>
    <row r="467" spans="1:17" x14ac:dyDescent="0.35">
      <c r="A467" s="26"/>
      <c r="B467" s="35"/>
      <c r="C467" s="26"/>
      <c r="D467" s="26"/>
      <c r="E467" s="44"/>
      <c r="F467" s="26"/>
      <c r="G467" s="26"/>
      <c r="H467" s="147"/>
      <c r="I467" s="26"/>
      <c r="J467" s="26"/>
      <c r="K467" s="26"/>
      <c r="L467" s="26"/>
      <c r="M467" s="26"/>
      <c r="N467" s="148"/>
      <c r="O467" s="26"/>
      <c r="P467" s="26"/>
      <c r="Q467" s="26"/>
    </row>
    <row r="468" spans="1:17" x14ac:dyDescent="0.35">
      <c r="A468" s="26"/>
      <c r="B468" s="35"/>
      <c r="C468" s="26"/>
      <c r="D468" s="26"/>
      <c r="E468" s="44"/>
      <c r="F468" s="26"/>
      <c r="G468" s="26"/>
      <c r="H468" s="147"/>
      <c r="I468" s="26"/>
      <c r="J468" s="26"/>
      <c r="K468" s="26"/>
      <c r="L468" s="26"/>
      <c r="M468" s="26"/>
      <c r="N468" s="148"/>
      <c r="O468" s="26"/>
      <c r="P468" s="26"/>
      <c r="Q468" s="26"/>
    </row>
    <row r="469" spans="1:17" x14ac:dyDescent="0.35">
      <c r="A469" s="26"/>
      <c r="B469" s="35"/>
      <c r="C469" s="26"/>
      <c r="D469" s="26"/>
      <c r="E469" s="44"/>
      <c r="F469" s="26"/>
      <c r="G469" s="26"/>
      <c r="H469" s="147"/>
      <c r="I469" s="26"/>
      <c r="J469" s="26"/>
      <c r="K469" s="26"/>
      <c r="L469" s="26"/>
      <c r="M469" s="26"/>
      <c r="N469" s="148"/>
      <c r="O469" s="26"/>
      <c r="P469" s="26"/>
      <c r="Q469" s="26"/>
    </row>
    <row r="470" spans="1:17" x14ac:dyDescent="0.35">
      <c r="A470" s="26"/>
      <c r="B470" s="35"/>
      <c r="C470" s="26"/>
      <c r="D470" s="26"/>
      <c r="E470" s="44"/>
      <c r="F470" s="26"/>
      <c r="G470" s="26"/>
      <c r="H470" s="147"/>
      <c r="I470" s="26"/>
      <c r="J470" s="26"/>
      <c r="K470" s="26"/>
      <c r="L470" s="26"/>
      <c r="M470" s="26"/>
      <c r="N470" s="148"/>
      <c r="O470" s="26"/>
      <c r="P470" s="26"/>
      <c r="Q470" s="26"/>
    </row>
    <row r="471" spans="1:17" x14ac:dyDescent="0.35">
      <c r="A471" s="26"/>
      <c r="B471" s="35"/>
      <c r="C471" s="26"/>
      <c r="D471" s="26"/>
      <c r="E471" s="44"/>
      <c r="F471" s="26"/>
      <c r="G471" s="26"/>
      <c r="H471" s="147"/>
      <c r="I471" s="26"/>
      <c r="J471" s="26"/>
      <c r="K471" s="26"/>
      <c r="L471" s="26"/>
      <c r="M471" s="26"/>
      <c r="N471" s="148"/>
      <c r="O471" s="26"/>
      <c r="P471" s="26"/>
      <c r="Q471" s="26"/>
    </row>
    <row r="472" spans="1:17" x14ac:dyDescent="0.35">
      <c r="A472" s="26"/>
      <c r="B472" s="35"/>
      <c r="C472" s="26"/>
      <c r="D472" s="26"/>
      <c r="E472" s="44"/>
      <c r="F472" s="26"/>
      <c r="G472" s="26"/>
      <c r="H472" s="147"/>
      <c r="I472" s="26"/>
      <c r="J472" s="26"/>
      <c r="K472" s="26"/>
      <c r="L472" s="26"/>
      <c r="M472" s="26"/>
      <c r="N472" s="148"/>
      <c r="O472" s="26"/>
      <c r="P472" s="26"/>
      <c r="Q472" s="26"/>
    </row>
    <row r="473" spans="1:17" x14ac:dyDescent="0.35">
      <c r="A473" s="26"/>
      <c r="B473" s="35"/>
      <c r="C473" s="26"/>
      <c r="D473" s="26"/>
      <c r="E473" s="44"/>
      <c r="F473" s="26"/>
      <c r="G473" s="26"/>
      <c r="H473" s="147"/>
      <c r="I473" s="26"/>
      <c r="J473" s="26"/>
      <c r="K473" s="26"/>
      <c r="L473" s="26"/>
      <c r="M473" s="26"/>
      <c r="N473" s="148"/>
      <c r="O473" s="26"/>
      <c r="P473" s="26"/>
      <c r="Q473" s="26"/>
    </row>
    <row r="474" spans="1:17" x14ac:dyDescent="0.35">
      <c r="A474" s="26"/>
      <c r="B474" s="35"/>
      <c r="C474" s="26"/>
      <c r="D474" s="26"/>
      <c r="E474" s="44"/>
      <c r="F474" s="26"/>
      <c r="G474" s="26"/>
      <c r="H474" s="147"/>
      <c r="I474" s="26"/>
      <c r="J474" s="26"/>
      <c r="K474" s="26"/>
      <c r="L474" s="26"/>
      <c r="M474" s="26"/>
      <c r="N474" s="148"/>
      <c r="O474" s="26"/>
      <c r="P474" s="26"/>
      <c r="Q474" s="26"/>
    </row>
    <row r="475" spans="1:17" x14ac:dyDescent="0.35">
      <c r="A475" s="26"/>
      <c r="B475" s="35"/>
      <c r="C475" s="26"/>
      <c r="D475" s="26"/>
      <c r="E475" s="44"/>
      <c r="F475" s="26"/>
      <c r="G475" s="26"/>
      <c r="H475" s="147"/>
      <c r="I475" s="26"/>
      <c r="J475" s="26"/>
      <c r="K475" s="26"/>
      <c r="L475" s="26"/>
      <c r="M475" s="26"/>
      <c r="N475" s="148"/>
      <c r="O475" s="26"/>
      <c r="P475" s="26"/>
      <c r="Q475" s="26"/>
    </row>
    <row r="476" spans="1:17" x14ac:dyDescent="0.35">
      <c r="A476" s="26"/>
      <c r="B476" s="35"/>
      <c r="C476" s="26"/>
      <c r="D476" s="26"/>
      <c r="E476" s="44"/>
      <c r="F476" s="26"/>
      <c r="G476" s="26"/>
      <c r="H476" s="147"/>
      <c r="I476" s="26"/>
      <c r="J476" s="26"/>
      <c r="K476" s="26"/>
      <c r="L476" s="26"/>
      <c r="M476" s="26"/>
      <c r="N476" s="148"/>
      <c r="O476" s="26"/>
      <c r="P476" s="26"/>
      <c r="Q476" s="26"/>
    </row>
    <row r="477" spans="1:17" x14ac:dyDescent="0.35">
      <c r="A477" s="26"/>
      <c r="B477" s="35"/>
      <c r="C477" s="26"/>
      <c r="D477" s="26"/>
      <c r="E477" s="44"/>
      <c r="F477" s="26"/>
      <c r="G477" s="26"/>
      <c r="H477" s="147"/>
      <c r="I477" s="26"/>
      <c r="J477" s="26"/>
      <c r="K477" s="26"/>
      <c r="L477" s="26"/>
      <c r="M477" s="26"/>
      <c r="N477" s="148"/>
      <c r="O477" s="26"/>
      <c r="P477" s="26"/>
      <c r="Q477" s="26"/>
    </row>
    <row r="478" spans="1:17" x14ac:dyDescent="0.35">
      <c r="A478" s="26"/>
      <c r="B478" s="35"/>
      <c r="C478" s="26"/>
      <c r="D478" s="26"/>
      <c r="E478" s="44"/>
      <c r="F478" s="26"/>
      <c r="G478" s="26"/>
      <c r="H478" s="147"/>
      <c r="I478" s="26"/>
      <c r="J478" s="26"/>
      <c r="K478" s="26"/>
      <c r="L478" s="26"/>
      <c r="M478" s="26"/>
      <c r="N478" s="148"/>
      <c r="O478" s="26"/>
      <c r="P478" s="26"/>
      <c r="Q478" s="26"/>
    </row>
    <row r="479" spans="1:17" x14ac:dyDescent="0.35">
      <c r="A479" s="26"/>
      <c r="B479" s="35"/>
      <c r="C479" s="26"/>
      <c r="D479" s="26"/>
      <c r="E479" s="44"/>
      <c r="F479" s="26"/>
      <c r="G479" s="26"/>
      <c r="H479" s="147"/>
      <c r="I479" s="26"/>
      <c r="J479" s="26"/>
      <c r="K479" s="26"/>
      <c r="L479" s="26"/>
      <c r="M479" s="26"/>
      <c r="N479" s="148"/>
      <c r="O479" s="26"/>
      <c r="P479" s="26"/>
      <c r="Q479" s="26"/>
    </row>
    <row r="480" spans="1:17" x14ac:dyDescent="0.35">
      <c r="A480" s="26"/>
      <c r="B480" s="35"/>
      <c r="C480" s="26"/>
      <c r="D480" s="26"/>
      <c r="E480" s="44"/>
      <c r="F480" s="26"/>
      <c r="G480" s="26"/>
      <c r="H480" s="147"/>
      <c r="I480" s="26"/>
      <c r="J480" s="26"/>
      <c r="K480" s="26"/>
      <c r="L480" s="26"/>
      <c r="M480" s="26"/>
      <c r="N480" s="148"/>
      <c r="O480" s="26"/>
      <c r="P480" s="26"/>
      <c r="Q480" s="26"/>
    </row>
    <row r="481" spans="1:17" x14ac:dyDescent="0.35">
      <c r="A481" s="26"/>
      <c r="B481" s="35"/>
      <c r="C481" s="26"/>
      <c r="D481" s="26"/>
      <c r="E481" s="44"/>
      <c r="F481" s="26"/>
      <c r="G481" s="26"/>
      <c r="H481" s="147"/>
      <c r="I481" s="26"/>
      <c r="J481" s="26"/>
      <c r="K481" s="26"/>
      <c r="L481" s="26"/>
      <c r="M481" s="26"/>
      <c r="N481" s="148"/>
      <c r="O481" s="26"/>
      <c r="P481" s="26"/>
      <c r="Q481" s="26"/>
    </row>
    <row r="482" spans="1:17" x14ac:dyDescent="0.35">
      <c r="A482" s="26"/>
      <c r="B482" s="35"/>
      <c r="C482" s="26"/>
      <c r="D482" s="26"/>
      <c r="E482" s="44"/>
      <c r="F482" s="26"/>
      <c r="G482" s="26"/>
      <c r="H482" s="147"/>
      <c r="I482" s="26"/>
      <c r="J482" s="26"/>
      <c r="K482" s="26"/>
      <c r="L482" s="26"/>
      <c r="M482" s="26"/>
      <c r="N482" s="148"/>
      <c r="O482" s="26"/>
      <c r="P482" s="26"/>
      <c r="Q482" s="26"/>
    </row>
    <row r="483" spans="1:17" x14ac:dyDescent="0.35">
      <c r="A483" s="26"/>
      <c r="B483" s="35"/>
      <c r="C483" s="26"/>
      <c r="D483" s="26"/>
      <c r="E483" s="44"/>
      <c r="F483" s="26"/>
      <c r="G483" s="26"/>
      <c r="H483" s="147"/>
      <c r="I483" s="26"/>
      <c r="J483" s="26"/>
      <c r="K483" s="26"/>
      <c r="L483" s="26"/>
      <c r="M483" s="26"/>
      <c r="N483" s="148"/>
      <c r="O483" s="26"/>
      <c r="P483" s="26"/>
      <c r="Q483" s="26"/>
    </row>
    <row r="484" spans="1:17" x14ac:dyDescent="0.35">
      <c r="A484" s="26"/>
      <c r="B484" s="35"/>
      <c r="C484" s="26"/>
      <c r="D484" s="26"/>
      <c r="E484" s="44"/>
      <c r="F484" s="26"/>
      <c r="G484" s="26"/>
      <c r="H484" s="147"/>
      <c r="I484" s="26"/>
      <c r="J484" s="26"/>
      <c r="K484" s="26"/>
      <c r="L484" s="26"/>
      <c r="M484" s="26"/>
      <c r="N484" s="148"/>
      <c r="O484" s="26"/>
      <c r="P484" s="26"/>
      <c r="Q484" s="26"/>
    </row>
    <row r="485" spans="1:17" x14ac:dyDescent="0.35">
      <c r="A485" s="26"/>
      <c r="B485" s="35"/>
      <c r="C485" s="26"/>
      <c r="D485" s="26"/>
      <c r="E485" s="44"/>
      <c r="F485" s="26"/>
      <c r="G485" s="26"/>
      <c r="H485" s="147"/>
      <c r="I485" s="26"/>
      <c r="J485" s="26"/>
      <c r="K485" s="26"/>
      <c r="L485" s="26"/>
      <c r="M485" s="26"/>
      <c r="N485" s="148"/>
      <c r="O485" s="26"/>
      <c r="P485" s="26"/>
      <c r="Q485" s="26"/>
    </row>
    <row r="486" spans="1:17" x14ac:dyDescent="0.35">
      <c r="A486" s="26"/>
      <c r="B486" s="35"/>
      <c r="C486" s="26"/>
      <c r="D486" s="26"/>
      <c r="E486" s="44"/>
      <c r="F486" s="26"/>
      <c r="G486" s="26"/>
      <c r="H486" s="147"/>
      <c r="I486" s="26"/>
      <c r="J486" s="26"/>
      <c r="K486" s="26"/>
      <c r="L486" s="26"/>
      <c r="M486" s="26"/>
      <c r="N486" s="148"/>
      <c r="O486" s="26"/>
      <c r="P486" s="26"/>
      <c r="Q486" s="26"/>
    </row>
    <row r="487" spans="1:17" x14ac:dyDescent="0.35">
      <c r="A487" s="26"/>
      <c r="B487" s="35"/>
      <c r="C487" s="26"/>
      <c r="D487" s="26"/>
      <c r="E487" s="44"/>
      <c r="F487" s="26"/>
      <c r="G487" s="26"/>
      <c r="H487" s="147"/>
      <c r="I487" s="26"/>
      <c r="J487" s="26"/>
      <c r="K487" s="26"/>
      <c r="L487" s="26"/>
      <c r="M487" s="26"/>
      <c r="N487" s="148"/>
      <c r="O487" s="26"/>
      <c r="P487" s="26"/>
      <c r="Q487" s="26"/>
    </row>
    <row r="488" spans="1:17" x14ac:dyDescent="0.35">
      <c r="A488" s="26"/>
      <c r="B488" s="35"/>
      <c r="C488" s="26"/>
      <c r="D488" s="26"/>
      <c r="E488" s="44"/>
      <c r="F488" s="26"/>
      <c r="G488" s="26"/>
      <c r="H488" s="147"/>
      <c r="I488" s="26"/>
      <c r="J488" s="26"/>
      <c r="K488" s="26"/>
      <c r="L488" s="26"/>
      <c r="M488" s="26"/>
      <c r="N488" s="148"/>
      <c r="O488" s="26"/>
      <c r="P488" s="26"/>
      <c r="Q488" s="26"/>
    </row>
    <row r="489" spans="1:17" x14ac:dyDescent="0.35">
      <c r="A489" s="26"/>
      <c r="B489" s="35"/>
      <c r="C489" s="26"/>
      <c r="D489" s="26"/>
      <c r="E489" s="44"/>
      <c r="F489" s="26"/>
      <c r="G489" s="26"/>
      <c r="H489" s="147"/>
      <c r="I489" s="26"/>
      <c r="J489" s="26"/>
      <c r="K489" s="26"/>
      <c r="L489" s="26"/>
      <c r="M489" s="26"/>
      <c r="N489" s="148"/>
      <c r="O489" s="26"/>
      <c r="P489" s="26"/>
      <c r="Q489" s="26"/>
    </row>
    <row r="490" spans="1:17" x14ac:dyDescent="0.35">
      <c r="A490" s="26"/>
      <c r="B490" s="35"/>
      <c r="C490" s="26"/>
      <c r="D490" s="26"/>
      <c r="E490" s="44"/>
      <c r="F490" s="26"/>
      <c r="G490" s="26"/>
      <c r="H490" s="147"/>
      <c r="I490" s="26"/>
      <c r="J490" s="26"/>
      <c r="K490" s="26"/>
      <c r="L490" s="26"/>
      <c r="M490" s="26"/>
      <c r="N490" s="148"/>
      <c r="O490" s="26"/>
      <c r="P490" s="26"/>
      <c r="Q490" s="26"/>
    </row>
    <row r="491" spans="1:17" x14ac:dyDescent="0.35">
      <c r="A491" s="26"/>
      <c r="B491" s="35"/>
      <c r="C491" s="26"/>
      <c r="D491" s="26"/>
      <c r="E491" s="44"/>
      <c r="F491" s="26"/>
      <c r="G491" s="26"/>
      <c r="H491" s="147"/>
      <c r="I491" s="26"/>
      <c r="J491" s="26"/>
      <c r="K491" s="26"/>
      <c r="L491" s="26"/>
      <c r="M491" s="26"/>
      <c r="N491" s="148"/>
      <c r="O491" s="26"/>
      <c r="P491" s="26"/>
      <c r="Q491" s="26"/>
    </row>
    <row r="492" spans="1:17" x14ac:dyDescent="0.35">
      <c r="A492" s="26"/>
      <c r="B492" s="35"/>
      <c r="C492" s="26"/>
      <c r="D492" s="26"/>
      <c r="E492" s="44"/>
      <c r="F492" s="26"/>
      <c r="G492" s="26"/>
      <c r="H492" s="147"/>
      <c r="I492" s="26"/>
      <c r="J492" s="26"/>
      <c r="K492" s="26"/>
      <c r="L492" s="26"/>
      <c r="M492" s="26"/>
      <c r="N492" s="148"/>
      <c r="O492" s="26"/>
      <c r="P492" s="26"/>
      <c r="Q492" s="26"/>
    </row>
    <row r="493" spans="1:17" x14ac:dyDescent="0.35">
      <c r="A493" s="26"/>
      <c r="B493" s="35"/>
      <c r="C493" s="26"/>
      <c r="D493" s="26"/>
      <c r="E493" s="44"/>
      <c r="F493" s="26"/>
      <c r="G493" s="26"/>
      <c r="H493" s="147"/>
      <c r="I493" s="26"/>
      <c r="J493" s="26"/>
      <c r="K493" s="26"/>
      <c r="L493" s="26"/>
      <c r="M493" s="26"/>
      <c r="N493" s="148"/>
      <c r="O493" s="26"/>
      <c r="P493" s="26"/>
      <c r="Q493" s="26"/>
    </row>
    <row r="494" spans="1:17" x14ac:dyDescent="0.35">
      <c r="A494" s="26"/>
      <c r="B494" s="35"/>
      <c r="C494" s="26"/>
      <c r="D494" s="26"/>
      <c r="E494" s="44"/>
      <c r="F494" s="26"/>
      <c r="G494" s="26"/>
      <c r="H494" s="147"/>
      <c r="I494" s="26"/>
      <c r="J494" s="26"/>
      <c r="K494" s="26"/>
      <c r="L494" s="26"/>
      <c r="M494" s="26"/>
      <c r="N494" s="148"/>
      <c r="O494" s="26"/>
      <c r="P494" s="26"/>
      <c r="Q494" s="26"/>
    </row>
    <row r="495" spans="1:17" x14ac:dyDescent="0.35">
      <c r="A495" s="26"/>
      <c r="B495" s="35"/>
      <c r="C495" s="26"/>
      <c r="D495" s="26"/>
      <c r="E495" s="44"/>
      <c r="F495" s="26"/>
      <c r="G495" s="26"/>
      <c r="H495" s="147"/>
      <c r="I495" s="26"/>
      <c r="J495" s="26"/>
      <c r="K495" s="26"/>
      <c r="L495" s="26"/>
      <c r="M495" s="26"/>
      <c r="N495" s="148"/>
      <c r="O495" s="26"/>
      <c r="P495" s="26"/>
      <c r="Q495" s="26"/>
    </row>
    <row r="496" spans="1:17" x14ac:dyDescent="0.35">
      <c r="A496" s="26"/>
      <c r="B496" s="35"/>
      <c r="C496" s="26"/>
      <c r="D496" s="26"/>
      <c r="E496" s="44"/>
      <c r="F496" s="26"/>
      <c r="G496" s="26"/>
      <c r="H496" s="147"/>
      <c r="I496" s="26"/>
      <c r="J496" s="26"/>
      <c r="K496" s="26"/>
      <c r="L496" s="26"/>
      <c r="M496" s="26"/>
      <c r="N496" s="148"/>
      <c r="O496" s="26"/>
      <c r="P496" s="26"/>
      <c r="Q496" s="26"/>
    </row>
    <row r="497" spans="1:17" x14ac:dyDescent="0.35">
      <c r="A497" s="26"/>
      <c r="B497" s="35"/>
      <c r="C497" s="26"/>
      <c r="D497" s="26"/>
      <c r="E497" s="44"/>
      <c r="F497" s="26"/>
      <c r="G497" s="26"/>
      <c r="H497" s="147"/>
      <c r="I497" s="26"/>
      <c r="J497" s="26"/>
      <c r="K497" s="26"/>
      <c r="L497" s="26"/>
      <c r="M497" s="26"/>
      <c r="N497" s="148"/>
      <c r="O497" s="26"/>
      <c r="P497" s="26"/>
      <c r="Q497" s="26"/>
    </row>
    <row r="498" spans="1:17" x14ac:dyDescent="0.35">
      <c r="A498" s="26"/>
      <c r="B498" s="35"/>
      <c r="C498" s="26"/>
      <c r="D498" s="26"/>
      <c r="E498" s="44"/>
      <c r="F498" s="26"/>
      <c r="G498" s="26"/>
      <c r="H498" s="147"/>
      <c r="I498" s="26"/>
      <c r="J498" s="26"/>
      <c r="K498" s="26"/>
      <c r="L498" s="26"/>
      <c r="M498" s="26"/>
      <c r="N498" s="148"/>
      <c r="O498" s="26"/>
      <c r="P498" s="26"/>
      <c r="Q498" s="26"/>
    </row>
    <row r="499" spans="1:17" x14ac:dyDescent="0.35">
      <c r="A499" s="26"/>
      <c r="B499" s="35"/>
      <c r="C499" s="26"/>
      <c r="D499" s="26"/>
      <c r="E499" s="44"/>
      <c r="F499" s="26"/>
      <c r="G499" s="26"/>
      <c r="H499" s="147"/>
      <c r="I499" s="26"/>
      <c r="J499" s="26"/>
      <c r="K499" s="26"/>
      <c r="L499" s="26"/>
      <c r="M499" s="26"/>
      <c r="N499" s="148"/>
      <c r="O499" s="26"/>
      <c r="P499" s="26"/>
      <c r="Q499" s="26"/>
    </row>
    <row r="500" spans="1:17" x14ac:dyDescent="0.35">
      <c r="A500" s="26"/>
      <c r="B500" s="35"/>
      <c r="C500" s="26"/>
      <c r="D500" s="26"/>
      <c r="E500" s="44"/>
      <c r="F500" s="26"/>
      <c r="G500" s="26"/>
      <c r="H500" s="147"/>
      <c r="I500" s="26"/>
      <c r="J500" s="26"/>
      <c r="K500" s="26"/>
      <c r="L500" s="26"/>
      <c r="M500" s="26"/>
      <c r="N500" s="148"/>
      <c r="O500" s="26"/>
      <c r="P500" s="26"/>
      <c r="Q500" s="26"/>
    </row>
    <row r="501" spans="1:17" x14ac:dyDescent="0.35">
      <c r="A501" s="26"/>
      <c r="B501" s="35"/>
      <c r="C501" s="26"/>
      <c r="D501" s="26"/>
      <c r="E501" s="44"/>
      <c r="F501" s="26"/>
      <c r="G501" s="26"/>
      <c r="H501" s="147"/>
      <c r="I501" s="26"/>
      <c r="J501" s="26"/>
      <c r="K501" s="26"/>
      <c r="L501" s="26"/>
      <c r="M501" s="26"/>
      <c r="N501" s="148"/>
      <c r="O501" s="26"/>
      <c r="P501" s="26"/>
      <c r="Q501" s="26"/>
    </row>
    <row r="502" spans="1:17" x14ac:dyDescent="0.35">
      <c r="A502" s="26"/>
      <c r="B502" s="35"/>
      <c r="C502" s="26"/>
      <c r="D502" s="26"/>
      <c r="E502" s="44"/>
      <c r="F502" s="26"/>
      <c r="G502" s="26"/>
      <c r="H502" s="147"/>
      <c r="I502" s="26"/>
      <c r="J502" s="26"/>
      <c r="K502" s="26"/>
      <c r="L502" s="26"/>
      <c r="M502" s="26"/>
      <c r="N502" s="148"/>
      <c r="O502" s="26"/>
      <c r="P502" s="26"/>
      <c r="Q502" s="26"/>
    </row>
    <row r="503" spans="1:17" x14ac:dyDescent="0.35">
      <c r="A503" s="26"/>
      <c r="B503" s="35"/>
      <c r="C503" s="26"/>
      <c r="D503" s="26"/>
      <c r="E503" s="44"/>
      <c r="F503" s="26"/>
      <c r="G503" s="26"/>
      <c r="H503" s="147"/>
      <c r="I503" s="26"/>
      <c r="J503" s="26"/>
      <c r="K503" s="26"/>
      <c r="L503" s="26"/>
      <c r="M503" s="26"/>
      <c r="N503" s="148"/>
      <c r="O503" s="26"/>
      <c r="P503" s="26"/>
      <c r="Q503" s="26"/>
    </row>
    <row r="504" spans="1:17" x14ac:dyDescent="0.35">
      <c r="A504" s="26"/>
      <c r="B504" s="35"/>
      <c r="C504" s="26"/>
      <c r="D504" s="26"/>
      <c r="E504" s="44"/>
      <c r="F504" s="26"/>
      <c r="G504" s="26"/>
      <c r="H504" s="147"/>
      <c r="I504" s="26"/>
      <c r="J504" s="26"/>
      <c r="K504" s="26"/>
      <c r="L504" s="26"/>
      <c r="M504" s="26"/>
      <c r="N504" s="148"/>
      <c r="O504" s="26"/>
      <c r="P504" s="26"/>
      <c r="Q504" s="26"/>
    </row>
    <row r="505" spans="1:17" x14ac:dyDescent="0.35">
      <c r="A505" s="26"/>
      <c r="B505" s="35"/>
      <c r="C505" s="26"/>
      <c r="D505" s="26"/>
      <c r="E505" s="44"/>
      <c r="F505" s="26"/>
      <c r="G505" s="26"/>
      <c r="H505" s="147"/>
      <c r="I505" s="26"/>
      <c r="J505" s="26"/>
      <c r="K505" s="26"/>
      <c r="L505" s="26"/>
      <c r="M505" s="26"/>
      <c r="N505" s="148"/>
      <c r="O505" s="26"/>
      <c r="P505" s="26"/>
      <c r="Q505" s="26"/>
    </row>
    <row r="506" spans="1:17" x14ac:dyDescent="0.35">
      <c r="A506" s="26"/>
      <c r="B506" s="35"/>
      <c r="C506" s="26"/>
      <c r="D506" s="26"/>
      <c r="E506" s="44"/>
      <c r="F506" s="26"/>
      <c r="G506" s="26"/>
      <c r="H506" s="147"/>
      <c r="I506" s="26"/>
      <c r="J506" s="26"/>
      <c r="K506" s="26"/>
      <c r="L506" s="26"/>
      <c r="M506" s="26"/>
      <c r="N506" s="148"/>
      <c r="O506" s="26"/>
      <c r="P506" s="26"/>
      <c r="Q506" s="26"/>
    </row>
    <row r="507" spans="1:17" x14ac:dyDescent="0.35">
      <c r="A507" s="26"/>
      <c r="B507" s="35"/>
      <c r="C507" s="26"/>
      <c r="D507" s="26"/>
      <c r="E507" s="44"/>
      <c r="F507" s="26"/>
      <c r="G507" s="26"/>
      <c r="H507" s="147"/>
      <c r="I507" s="26"/>
      <c r="J507" s="26"/>
      <c r="K507" s="26"/>
      <c r="L507" s="26"/>
      <c r="M507" s="26"/>
      <c r="N507" s="148"/>
      <c r="O507" s="26"/>
      <c r="P507" s="26"/>
      <c r="Q507" s="26"/>
    </row>
    <row r="508" spans="1:17" x14ac:dyDescent="0.35">
      <c r="A508" s="26"/>
      <c r="B508" s="35"/>
      <c r="C508" s="26"/>
      <c r="D508" s="26"/>
      <c r="E508" s="44"/>
      <c r="F508" s="26"/>
      <c r="G508" s="26"/>
      <c r="H508" s="147"/>
      <c r="I508" s="26"/>
      <c r="J508" s="26"/>
      <c r="K508" s="26"/>
      <c r="L508" s="26"/>
      <c r="M508" s="26"/>
      <c r="N508" s="148"/>
      <c r="O508" s="26"/>
      <c r="P508" s="26"/>
      <c r="Q508" s="26"/>
    </row>
    <row r="509" spans="1:17" x14ac:dyDescent="0.35">
      <c r="A509" s="26"/>
      <c r="B509" s="35"/>
      <c r="C509" s="26"/>
      <c r="D509" s="26"/>
      <c r="E509" s="44"/>
      <c r="F509" s="26"/>
      <c r="G509" s="26"/>
      <c r="H509" s="147"/>
      <c r="I509" s="26"/>
      <c r="J509" s="26"/>
      <c r="K509" s="26"/>
      <c r="L509" s="26"/>
      <c r="M509" s="26"/>
      <c r="N509" s="148"/>
      <c r="O509" s="26"/>
      <c r="P509" s="26"/>
      <c r="Q509" s="26"/>
    </row>
    <row r="510" spans="1:17" x14ac:dyDescent="0.35">
      <c r="A510" s="26"/>
      <c r="B510" s="35"/>
      <c r="C510" s="26"/>
      <c r="D510" s="26"/>
      <c r="E510" s="44"/>
      <c r="F510" s="26"/>
      <c r="G510" s="26"/>
      <c r="H510" s="147"/>
      <c r="I510" s="26"/>
      <c r="J510" s="26"/>
      <c r="K510" s="26"/>
      <c r="L510" s="26"/>
      <c r="M510" s="26"/>
      <c r="N510" s="148"/>
      <c r="O510" s="26"/>
      <c r="P510" s="26"/>
      <c r="Q510" s="26"/>
    </row>
    <row r="511" spans="1:17" x14ac:dyDescent="0.35">
      <c r="A511" s="26"/>
      <c r="B511" s="35"/>
      <c r="C511" s="26"/>
      <c r="D511" s="26"/>
      <c r="E511" s="44"/>
      <c r="F511" s="26"/>
      <c r="G511" s="26"/>
      <c r="H511" s="147"/>
      <c r="I511" s="26"/>
      <c r="J511" s="26"/>
      <c r="K511" s="26"/>
      <c r="L511" s="26"/>
      <c r="M511" s="26"/>
      <c r="N511" s="148"/>
      <c r="O511" s="26"/>
      <c r="P511" s="26"/>
      <c r="Q511" s="26"/>
    </row>
    <row r="512" spans="1:17" x14ac:dyDescent="0.35">
      <c r="A512" s="26"/>
      <c r="B512" s="35"/>
      <c r="C512" s="26"/>
      <c r="D512" s="26"/>
      <c r="E512" s="44"/>
      <c r="F512" s="26"/>
      <c r="G512" s="26"/>
      <c r="H512" s="147"/>
      <c r="I512" s="26"/>
      <c r="J512" s="26"/>
      <c r="K512" s="26"/>
      <c r="L512" s="26"/>
      <c r="M512" s="26"/>
      <c r="N512" s="148"/>
      <c r="O512" s="26"/>
      <c r="P512" s="26"/>
      <c r="Q512" s="26"/>
    </row>
    <row r="513" spans="1:17" x14ac:dyDescent="0.35">
      <c r="A513" s="26"/>
      <c r="B513" s="35"/>
      <c r="C513" s="26"/>
      <c r="D513" s="26"/>
      <c r="E513" s="44"/>
      <c r="F513" s="26"/>
      <c r="G513" s="26"/>
      <c r="H513" s="147"/>
      <c r="I513" s="26"/>
      <c r="J513" s="26"/>
      <c r="K513" s="26"/>
      <c r="L513" s="26"/>
      <c r="M513" s="26"/>
      <c r="N513" s="148"/>
      <c r="O513" s="26"/>
      <c r="P513" s="26"/>
      <c r="Q513" s="26"/>
    </row>
    <row r="514" spans="1:17" x14ac:dyDescent="0.35">
      <c r="A514" s="26"/>
      <c r="B514" s="35"/>
      <c r="C514" s="26"/>
      <c r="D514" s="26"/>
      <c r="E514" s="44"/>
      <c r="F514" s="26"/>
      <c r="G514" s="26"/>
      <c r="H514" s="147"/>
      <c r="I514" s="26"/>
      <c r="J514" s="26"/>
      <c r="K514" s="26"/>
      <c r="L514" s="26"/>
      <c r="M514" s="26"/>
      <c r="N514" s="148"/>
      <c r="O514" s="26"/>
      <c r="P514" s="26"/>
      <c r="Q514" s="26"/>
    </row>
    <row r="515" spans="1:17" x14ac:dyDescent="0.35">
      <c r="A515" s="26"/>
      <c r="B515" s="35"/>
      <c r="C515" s="26"/>
      <c r="D515" s="26"/>
      <c r="E515" s="44"/>
      <c r="F515" s="26"/>
      <c r="G515" s="26"/>
      <c r="H515" s="147"/>
      <c r="I515" s="26"/>
      <c r="J515" s="26"/>
      <c r="K515" s="26"/>
      <c r="L515" s="26"/>
      <c r="M515" s="26"/>
      <c r="N515" s="148"/>
      <c r="O515" s="26"/>
      <c r="P515" s="26"/>
      <c r="Q515" s="26"/>
    </row>
    <row r="516" spans="1:17" x14ac:dyDescent="0.35">
      <c r="A516" s="26"/>
      <c r="B516" s="35"/>
      <c r="C516" s="26"/>
      <c r="D516" s="26"/>
      <c r="E516" s="44"/>
      <c r="F516" s="26"/>
      <c r="G516" s="26"/>
      <c r="H516" s="147"/>
      <c r="I516" s="26"/>
      <c r="J516" s="26"/>
      <c r="K516" s="26"/>
      <c r="L516" s="26"/>
      <c r="M516" s="26"/>
      <c r="N516" s="148"/>
      <c r="O516" s="26"/>
      <c r="P516" s="26"/>
      <c r="Q516" s="26"/>
    </row>
    <row r="517" spans="1:17" x14ac:dyDescent="0.35">
      <c r="A517" s="26"/>
      <c r="B517" s="35"/>
      <c r="C517" s="26"/>
      <c r="D517" s="26"/>
      <c r="E517" s="44"/>
      <c r="F517" s="26"/>
      <c r="G517" s="26"/>
      <c r="H517" s="147"/>
      <c r="I517" s="26"/>
      <c r="J517" s="26"/>
      <c r="K517" s="26"/>
      <c r="L517" s="26"/>
      <c r="M517" s="26"/>
      <c r="N517" s="148"/>
      <c r="O517" s="26"/>
      <c r="P517" s="26"/>
      <c r="Q517" s="26"/>
    </row>
    <row r="518" spans="1:17" x14ac:dyDescent="0.35">
      <c r="A518" s="26"/>
      <c r="B518" s="35"/>
      <c r="C518" s="26"/>
      <c r="D518" s="26"/>
      <c r="E518" s="44"/>
      <c r="F518" s="26"/>
      <c r="G518" s="26"/>
      <c r="H518" s="147"/>
      <c r="I518" s="26"/>
      <c r="J518" s="26"/>
      <c r="K518" s="26"/>
      <c r="L518" s="26"/>
      <c r="M518" s="26"/>
      <c r="N518" s="148"/>
      <c r="O518" s="26"/>
      <c r="P518" s="26"/>
      <c r="Q518" s="26"/>
    </row>
    <row r="519" spans="1:17" x14ac:dyDescent="0.35">
      <c r="A519" s="26"/>
      <c r="B519" s="35"/>
      <c r="C519" s="26"/>
      <c r="D519" s="26"/>
      <c r="E519" s="44"/>
      <c r="F519" s="26"/>
      <c r="G519" s="26"/>
      <c r="H519" s="147"/>
      <c r="I519" s="26"/>
      <c r="J519" s="26"/>
      <c r="K519" s="26"/>
      <c r="L519" s="26"/>
      <c r="M519" s="26"/>
      <c r="N519" s="148"/>
      <c r="O519" s="26"/>
      <c r="P519" s="26"/>
      <c r="Q519" s="26"/>
    </row>
    <row r="520" spans="1:17" x14ac:dyDescent="0.35">
      <c r="A520" s="26"/>
      <c r="B520" s="35"/>
      <c r="C520" s="26"/>
      <c r="D520" s="26"/>
      <c r="E520" s="44"/>
      <c r="F520" s="26"/>
      <c r="G520" s="26"/>
      <c r="H520" s="147"/>
      <c r="I520" s="26"/>
      <c r="J520" s="26"/>
      <c r="K520" s="26"/>
      <c r="L520" s="26"/>
      <c r="M520" s="26"/>
      <c r="N520" s="148"/>
      <c r="O520" s="26"/>
      <c r="P520" s="26"/>
      <c r="Q520" s="26"/>
    </row>
    <row r="521" spans="1:17" x14ac:dyDescent="0.35">
      <c r="A521" s="26"/>
      <c r="B521" s="35"/>
      <c r="C521" s="26"/>
      <c r="D521" s="26"/>
      <c r="E521" s="44"/>
      <c r="F521" s="26"/>
      <c r="G521" s="26"/>
      <c r="H521" s="147"/>
      <c r="I521" s="26"/>
      <c r="J521" s="26"/>
      <c r="K521" s="26"/>
      <c r="L521" s="26"/>
      <c r="M521" s="26"/>
      <c r="N521" s="148"/>
      <c r="O521" s="26"/>
      <c r="P521" s="26"/>
      <c r="Q521" s="26"/>
    </row>
    <row r="522" spans="1:17" x14ac:dyDescent="0.35">
      <c r="A522" s="26"/>
      <c r="B522" s="35"/>
      <c r="C522" s="26"/>
      <c r="D522" s="26"/>
      <c r="E522" s="44"/>
      <c r="F522" s="26"/>
      <c r="G522" s="26"/>
      <c r="H522" s="147"/>
      <c r="I522" s="26"/>
      <c r="J522" s="26"/>
      <c r="K522" s="26"/>
      <c r="L522" s="26"/>
      <c r="M522" s="26"/>
      <c r="N522" s="148"/>
      <c r="O522" s="26"/>
      <c r="P522" s="26"/>
      <c r="Q522" s="26"/>
    </row>
    <row r="523" spans="1:17" x14ac:dyDescent="0.35">
      <c r="A523" s="26"/>
      <c r="B523" s="35"/>
      <c r="C523" s="26"/>
      <c r="D523" s="26"/>
      <c r="E523" s="44"/>
      <c r="F523" s="26"/>
      <c r="G523" s="26"/>
      <c r="H523" s="147"/>
      <c r="I523" s="26"/>
      <c r="J523" s="26"/>
      <c r="K523" s="26"/>
      <c r="L523" s="26"/>
      <c r="M523" s="26"/>
      <c r="N523" s="148"/>
      <c r="O523" s="26"/>
      <c r="P523" s="26"/>
      <c r="Q523" s="26"/>
    </row>
    <row r="524" spans="1:17" x14ac:dyDescent="0.35">
      <c r="A524" s="26"/>
      <c r="B524" s="35"/>
      <c r="C524" s="26"/>
      <c r="D524" s="26"/>
      <c r="E524" s="44"/>
      <c r="F524" s="26"/>
      <c r="G524" s="26"/>
      <c r="H524" s="147"/>
      <c r="I524" s="26"/>
      <c r="J524" s="26"/>
      <c r="K524" s="26"/>
      <c r="L524" s="26"/>
      <c r="M524" s="26"/>
      <c r="N524" s="148"/>
      <c r="O524" s="26"/>
      <c r="P524" s="26"/>
      <c r="Q524" s="26"/>
    </row>
    <row r="525" spans="1:17" x14ac:dyDescent="0.35">
      <c r="A525" s="26"/>
      <c r="B525" s="35"/>
      <c r="C525" s="26"/>
      <c r="D525" s="26"/>
      <c r="E525" s="44"/>
      <c r="F525" s="26"/>
      <c r="G525" s="26"/>
      <c r="H525" s="147"/>
      <c r="I525" s="26"/>
      <c r="J525" s="26"/>
      <c r="K525" s="26"/>
      <c r="L525" s="26"/>
      <c r="M525" s="26"/>
      <c r="N525" s="148"/>
      <c r="O525" s="26"/>
      <c r="P525" s="26"/>
      <c r="Q525" s="26"/>
    </row>
    <row r="526" spans="1:17" x14ac:dyDescent="0.35">
      <c r="A526" s="26"/>
      <c r="B526" s="35"/>
      <c r="C526" s="26"/>
      <c r="D526" s="26"/>
      <c r="E526" s="44"/>
      <c r="F526" s="26"/>
      <c r="G526" s="26"/>
      <c r="H526" s="147"/>
      <c r="I526" s="26"/>
      <c r="J526" s="26"/>
      <c r="K526" s="26"/>
      <c r="L526" s="26"/>
      <c r="M526" s="26"/>
      <c r="N526" s="148"/>
      <c r="O526" s="26"/>
      <c r="P526" s="26"/>
      <c r="Q526" s="26"/>
    </row>
    <row r="527" spans="1:17" x14ac:dyDescent="0.35">
      <c r="A527" s="26"/>
      <c r="B527" s="35"/>
      <c r="C527" s="26"/>
      <c r="D527" s="26"/>
      <c r="E527" s="44"/>
      <c r="F527" s="26"/>
      <c r="G527" s="26"/>
      <c r="H527" s="147"/>
      <c r="I527" s="26"/>
      <c r="J527" s="26"/>
      <c r="K527" s="26"/>
      <c r="L527" s="26"/>
      <c r="M527" s="26"/>
      <c r="N527" s="148"/>
      <c r="O527" s="26"/>
      <c r="P527" s="26"/>
      <c r="Q527" s="26"/>
    </row>
    <row r="528" spans="1:17" x14ac:dyDescent="0.35">
      <c r="A528" s="26"/>
      <c r="B528" s="35"/>
      <c r="C528" s="26"/>
      <c r="D528" s="26"/>
      <c r="E528" s="44"/>
      <c r="F528" s="26"/>
      <c r="G528" s="26"/>
      <c r="H528" s="147"/>
      <c r="I528" s="26"/>
      <c r="J528" s="26"/>
      <c r="K528" s="26"/>
      <c r="L528" s="26"/>
      <c r="M528" s="26"/>
      <c r="N528" s="148"/>
      <c r="O528" s="26"/>
      <c r="P528" s="26"/>
      <c r="Q528" s="26"/>
    </row>
    <row r="529" spans="1:17" x14ac:dyDescent="0.35">
      <c r="A529" s="26"/>
      <c r="B529" s="35"/>
      <c r="C529" s="26"/>
      <c r="D529" s="26"/>
      <c r="E529" s="44"/>
      <c r="F529" s="26"/>
      <c r="G529" s="26"/>
      <c r="H529" s="147"/>
      <c r="I529" s="26"/>
      <c r="J529" s="26"/>
      <c r="K529" s="26"/>
      <c r="L529" s="26"/>
      <c r="M529" s="26"/>
      <c r="N529" s="148"/>
      <c r="O529" s="26"/>
      <c r="P529" s="26"/>
      <c r="Q529" s="26"/>
    </row>
    <row r="530" spans="1:17" x14ac:dyDescent="0.35">
      <c r="A530" s="26"/>
      <c r="B530" s="35"/>
      <c r="C530" s="26"/>
      <c r="D530" s="26"/>
      <c r="E530" s="44"/>
      <c r="F530" s="26"/>
      <c r="G530" s="26"/>
      <c r="H530" s="147"/>
      <c r="I530" s="26"/>
      <c r="J530" s="26"/>
      <c r="K530" s="26"/>
      <c r="L530" s="26"/>
      <c r="M530" s="26"/>
      <c r="N530" s="148"/>
      <c r="O530" s="26"/>
      <c r="P530" s="26"/>
      <c r="Q530" s="26"/>
    </row>
    <row r="531" spans="1:17" x14ac:dyDescent="0.35">
      <c r="A531" s="26"/>
      <c r="B531" s="35"/>
      <c r="C531" s="26"/>
      <c r="D531" s="26"/>
      <c r="E531" s="44"/>
      <c r="F531" s="26"/>
      <c r="G531" s="26"/>
      <c r="H531" s="147"/>
      <c r="I531" s="26"/>
      <c r="J531" s="26"/>
      <c r="K531" s="26"/>
      <c r="L531" s="26"/>
      <c r="M531" s="26"/>
      <c r="N531" s="148"/>
      <c r="O531" s="26"/>
      <c r="P531" s="26"/>
      <c r="Q531" s="26"/>
    </row>
    <row r="532" spans="1:17" x14ac:dyDescent="0.35">
      <c r="A532" s="26"/>
      <c r="B532" s="35"/>
      <c r="C532" s="26"/>
      <c r="D532" s="26"/>
      <c r="E532" s="44"/>
      <c r="F532" s="26"/>
      <c r="G532" s="26"/>
      <c r="H532" s="147"/>
      <c r="I532" s="26"/>
      <c r="J532" s="26"/>
      <c r="K532" s="26"/>
      <c r="L532" s="26"/>
      <c r="M532" s="26"/>
      <c r="N532" s="148"/>
      <c r="O532" s="26"/>
      <c r="P532" s="26"/>
      <c r="Q532" s="26"/>
    </row>
    <row r="533" spans="1:17" x14ac:dyDescent="0.35">
      <c r="A533" s="26"/>
      <c r="B533" s="35"/>
      <c r="C533" s="26"/>
      <c r="D533" s="26"/>
      <c r="E533" s="44"/>
      <c r="F533" s="26"/>
      <c r="G533" s="26"/>
      <c r="H533" s="147"/>
      <c r="I533" s="26"/>
      <c r="J533" s="26"/>
      <c r="K533" s="26"/>
      <c r="L533" s="26"/>
      <c r="M533" s="26"/>
      <c r="N533" s="148"/>
      <c r="O533" s="26"/>
      <c r="P533" s="26"/>
      <c r="Q533" s="26"/>
    </row>
    <row r="534" spans="1:17" x14ac:dyDescent="0.35">
      <c r="A534" s="26"/>
      <c r="B534" s="35"/>
      <c r="C534" s="26"/>
      <c r="D534" s="26"/>
      <c r="E534" s="44"/>
      <c r="F534" s="26"/>
      <c r="G534" s="26"/>
      <c r="H534" s="147"/>
      <c r="I534" s="26"/>
      <c r="J534" s="26"/>
      <c r="K534" s="26"/>
      <c r="L534" s="26"/>
      <c r="M534" s="26"/>
      <c r="N534" s="148"/>
      <c r="O534" s="26"/>
      <c r="P534" s="26"/>
      <c r="Q534" s="26"/>
    </row>
    <row r="535" spans="1:17" x14ac:dyDescent="0.35">
      <c r="A535" s="26"/>
      <c r="B535" s="35"/>
      <c r="C535" s="26"/>
      <c r="D535" s="26"/>
      <c r="E535" s="44"/>
      <c r="F535" s="26"/>
      <c r="G535" s="26"/>
      <c r="H535" s="147"/>
      <c r="I535" s="26"/>
      <c r="J535" s="26"/>
      <c r="K535" s="26"/>
      <c r="L535" s="26"/>
      <c r="M535" s="26"/>
      <c r="N535" s="148"/>
      <c r="O535" s="26"/>
      <c r="P535" s="26"/>
      <c r="Q535" s="26"/>
    </row>
    <row r="536" spans="1:17" x14ac:dyDescent="0.35">
      <c r="A536" s="26"/>
      <c r="B536" s="35"/>
      <c r="C536" s="26"/>
      <c r="D536" s="26"/>
      <c r="E536" s="44"/>
      <c r="F536" s="26"/>
      <c r="G536" s="26"/>
      <c r="H536" s="147"/>
      <c r="I536" s="26"/>
      <c r="J536" s="26"/>
      <c r="K536" s="26"/>
      <c r="L536" s="26"/>
      <c r="M536" s="26"/>
      <c r="N536" s="148"/>
      <c r="O536" s="26"/>
      <c r="P536" s="26"/>
      <c r="Q536" s="26"/>
    </row>
    <row r="537" spans="1:17" x14ac:dyDescent="0.35">
      <c r="A537" s="26"/>
      <c r="B537" s="35"/>
      <c r="C537" s="26"/>
      <c r="D537" s="26"/>
      <c r="E537" s="44"/>
      <c r="F537" s="26"/>
      <c r="G537" s="26"/>
      <c r="H537" s="147"/>
      <c r="I537" s="26"/>
      <c r="J537" s="26"/>
      <c r="K537" s="26"/>
      <c r="L537" s="26"/>
      <c r="M537" s="26"/>
      <c r="N537" s="148"/>
      <c r="O537" s="26"/>
      <c r="P537" s="26"/>
      <c r="Q537" s="26"/>
    </row>
    <row r="538" spans="1:17" x14ac:dyDescent="0.35">
      <c r="A538" s="26"/>
      <c r="B538" s="35"/>
      <c r="C538" s="26"/>
      <c r="D538" s="26"/>
      <c r="E538" s="44"/>
      <c r="F538" s="26"/>
      <c r="G538" s="26"/>
      <c r="H538" s="147"/>
      <c r="I538" s="26"/>
      <c r="J538" s="26"/>
      <c r="K538" s="26"/>
      <c r="L538" s="26"/>
      <c r="M538" s="26"/>
      <c r="N538" s="148"/>
      <c r="O538" s="26"/>
      <c r="P538" s="26"/>
      <c r="Q538" s="26"/>
    </row>
    <row r="539" spans="1:17" x14ac:dyDescent="0.35">
      <c r="A539" s="26"/>
      <c r="B539" s="35"/>
      <c r="C539" s="26"/>
      <c r="D539" s="26"/>
      <c r="E539" s="44"/>
      <c r="F539" s="26"/>
      <c r="G539" s="26"/>
      <c r="H539" s="147"/>
      <c r="I539" s="26"/>
      <c r="J539" s="26"/>
      <c r="K539" s="26"/>
      <c r="L539" s="26"/>
      <c r="M539" s="26"/>
      <c r="N539" s="148"/>
      <c r="O539" s="26"/>
      <c r="P539" s="26"/>
      <c r="Q539" s="26"/>
    </row>
    <row r="540" spans="1:17" x14ac:dyDescent="0.35">
      <c r="A540" s="26"/>
      <c r="B540" s="35"/>
      <c r="C540" s="26"/>
      <c r="D540" s="26"/>
      <c r="E540" s="44"/>
      <c r="F540" s="26"/>
      <c r="G540" s="26"/>
      <c r="H540" s="147"/>
      <c r="I540" s="26"/>
      <c r="J540" s="26"/>
      <c r="K540" s="26"/>
      <c r="L540" s="26"/>
      <c r="M540" s="26"/>
      <c r="N540" s="148"/>
      <c r="O540" s="26"/>
      <c r="P540" s="26"/>
      <c r="Q540" s="26"/>
    </row>
    <row r="541" spans="1:17" x14ac:dyDescent="0.35">
      <c r="A541" s="26"/>
      <c r="B541" s="35"/>
      <c r="C541" s="26"/>
      <c r="D541" s="26"/>
      <c r="E541" s="44"/>
      <c r="F541" s="26"/>
      <c r="G541" s="26"/>
      <c r="H541" s="147"/>
      <c r="I541" s="26"/>
      <c r="J541" s="26"/>
      <c r="K541" s="26"/>
      <c r="L541" s="26"/>
      <c r="M541" s="26"/>
      <c r="N541" s="148"/>
      <c r="O541" s="26"/>
      <c r="P541" s="26"/>
      <c r="Q541" s="26"/>
    </row>
    <row r="542" spans="1:17" x14ac:dyDescent="0.35">
      <c r="A542" s="26"/>
      <c r="B542" s="35"/>
      <c r="C542" s="26"/>
      <c r="D542" s="26"/>
      <c r="E542" s="44"/>
      <c r="F542" s="26"/>
      <c r="G542" s="26"/>
      <c r="H542" s="147"/>
      <c r="I542" s="26"/>
      <c r="J542" s="26"/>
      <c r="K542" s="26"/>
      <c r="L542" s="26"/>
      <c r="M542" s="26"/>
      <c r="N542" s="148"/>
      <c r="O542" s="26"/>
      <c r="P542" s="26"/>
      <c r="Q542" s="26"/>
    </row>
    <row r="543" spans="1:17" x14ac:dyDescent="0.35">
      <c r="A543" s="26"/>
      <c r="B543" s="35"/>
      <c r="C543" s="26"/>
      <c r="D543" s="26"/>
      <c r="E543" s="44"/>
      <c r="F543" s="26"/>
      <c r="G543" s="26"/>
      <c r="H543" s="147"/>
      <c r="I543" s="26"/>
      <c r="J543" s="26"/>
      <c r="K543" s="26"/>
      <c r="L543" s="26"/>
      <c r="M543" s="26"/>
      <c r="N543" s="148"/>
      <c r="O543" s="26"/>
      <c r="P543" s="26"/>
      <c r="Q543" s="26"/>
    </row>
    <row r="544" spans="1:17" x14ac:dyDescent="0.35">
      <c r="A544" s="26"/>
      <c r="B544" s="35"/>
      <c r="C544" s="26"/>
      <c r="D544" s="26"/>
      <c r="E544" s="44"/>
      <c r="F544" s="26"/>
      <c r="G544" s="26"/>
      <c r="H544" s="147"/>
      <c r="I544" s="26"/>
      <c r="J544" s="26"/>
      <c r="K544" s="26"/>
      <c r="L544" s="26"/>
      <c r="M544" s="26"/>
      <c r="N544" s="148"/>
      <c r="O544" s="26"/>
      <c r="P544" s="26"/>
      <c r="Q544" s="26"/>
    </row>
    <row r="545" spans="1:17" x14ac:dyDescent="0.35">
      <c r="A545" s="26"/>
      <c r="B545" s="35"/>
      <c r="C545" s="26"/>
      <c r="D545" s="26"/>
      <c r="E545" s="44"/>
      <c r="F545" s="26"/>
      <c r="G545" s="26"/>
      <c r="H545" s="147"/>
      <c r="I545" s="26"/>
      <c r="J545" s="26"/>
      <c r="K545" s="26"/>
      <c r="L545" s="26"/>
      <c r="M545" s="26"/>
      <c r="N545" s="148"/>
      <c r="O545" s="26"/>
      <c r="P545" s="26"/>
      <c r="Q545" s="26"/>
    </row>
    <row r="546" spans="1:17" x14ac:dyDescent="0.35">
      <c r="A546" s="26"/>
      <c r="B546" s="35"/>
      <c r="C546" s="26"/>
      <c r="D546" s="26"/>
      <c r="E546" s="44"/>
      <c r="F546" s="26"/>
      <c r="G546" s="26"/>
      <c r="H546" s="147"/>
      <c r="I546" s="26"/>
      <c r="J546" s="26"/>
      <c r="K546" s="26"/>
      <c r="L546" s="26"/>
      <c r="M546" s="26"/>
      <c r="N546" s="148"/>
      <c r="O546" s="26"/>
      <c r="P546" s="26"/>
      <c r="Q546" s="26"/>
    </row>
    <row r="547" spans="1:17" x14ac:dyDescent="0.35">
      <c r="A547" s="26"/>
      <c r="B547" s="35"/>
      <c r="C547" s="26"/>
      <c r="D547" s="26"/>
      <c r="E547" s="44"/>
      <c r="F547" s="26"/>
      <c r="G547" s="26"/>
      <c r="H547" s="147"/>
      <c r="I547" s="26"/>
      <c r="J547" s="26"/>
      <c r="K547" s="26"/>
      <c r="L547" s="26"/>
      <c r="M547" s="26"/>
      <c r="N547" s="148"/>
      <c r="O547" s="26"/>
      <c r="P547" s="26"/>
      <c r="Q547" s="26"/>
    </row>
    <row r="548" spans="1:17" x14ac:dyDescent="0.35">
      <c r="A548" s="26"/>
      <c r="B548" s="35"/>
      <c r="C548" s="26"/>
      <c r="D548" s="26"/>
      <c r="E548" s="44"/>
      <c r="F548" s="26"/>
      <c r="G548" s="26"/>
      <c r="H548" s="147"/>
      <c r="I548" s="26"/>
      <c r="J548" s="26"/>
      <c r="K548" s="26"/>
      <c r="L548" s="26"/>
      <c r="M548" s="26"/>
      <c r="N548" s="148"/>
      <c r="O548" s="26"/>
      <c r="P548" s="26"/>
      <c r="Q548" s="26"/>
    </row>
    <row r="549" spans="1:17" x14ac:dyDescent="0.35">
      <c r="A549" s="26"/>
      <c r="B549" s="35"/>
      <c r="C549" s="26"/>
      <c r="D549" s="26"/>
      <c r="E549" s="44"/>
      <c r="F549" s="26"/>
      <c r="G549" s="26"/>
      <c r="H549" s="147"/>
      <c r="I549" s="26"/>
      <c r="J549" s="26"/>
      <c r="K549" s="26"/>
      <c r="L549" s="26"/>
      <c r="M549" s="26"/>
      <c r="N549" s="148"/>
      <c r="O549" s="26"/>
      <c r="P549" s="26"/>
      <c r="Q549" s="26"/>
    </row>
    <row r="550" spans="1:17" x14ac:dyDescent="0.35">
      <c r="A550" s="26"/>
      <c r="B550" s="35"/>
      <c r="C550" s="26"/>
      <c r="D550" s="26"/>
      <c r="E550" s="44"/>
      <c r="F550" s="26"/>
      <c r="G550" s="26"/>
      <c r="H550" s="147"/>
      <c r="I550" s="26"/>
      <c r="J550" s="26"/>
      <c r="K550" s="26"/>
      <c r="L550" s="26"/>
      <c r="M550" s="26"/>
      <c r="N550" s="148"/>
      <c r="O550" s="26"/>
      <c r="P550" s="26"/>
      <c r="Q550" s="26"/>
    </row>
    <row r="551" spans="1:17" x14ac:dyDescent="0.35">
      <c r="A551" s="26"/>
      <c r="B551" s="35"/>
      <c r="C551" s="26"/>
      <c r="D551" s="26"/>
      <c r="E551" s="44"/>
      <c r="F551" s="26"/>
      <c r="G551" s="26"/>
      <c r="H551" s="147"/>
      <c r="I551" s="26"/>
      <c r="J551" s="26"/>
      <c r="K551" s="26"/>
      <c r="L551" s="26"/>
      <c r="M551" s="26"/>
      <c r="N551" s="148"/>
      <c r="O551" s="26"/>
      <c r="P551" s="26"/>
      <c r="Q551" s="26"/>
    </row>
    <row r="552" spans="1:17" x14ac:dyDescent="0.35">
      <c r="A552" s="26"/>
      <c r="B552" s="35"/>
      <c r="C552" s="26"/>
      <c r="D552" s="26"/>
      <c r="E552" s="44"/>
      <c r="F552" s="26"/>
      <c r="G552" s="26"/>
      <c r="H552" s="147"/>
      <c r="I552" s="26"/>
      <c r="J552" s="26"/>
      <c r="K552" s="26"/>
      <c r="L552" s="26"/>
      <c r="M552" s="26"/>
      <c r="N552" s="148"/>
      <c r="O552" s="26"/>
      <c r="P552" s="26"/>
      <c r="Q552" s="26"/>
    </row>
    <row r="553" spans="1:17" x14ac:dyDescent="0.35">
      <c r="A553" s="26"/>
      <c r="B553" s="35"/>
      <c r="C553" s="26"/>
      <c r="D553" s="26"/>
      <c r="E553" s="44"/>
      <c r="F553" s="26"/>
      <c r="G553" s="26"/>
      <c r="H553" s="147"/>
      <c r="I553" s="26"/>
      <c r="J553" s="26"/>
      <c r="K553" s="26"/>
      <c r="L553" s="26"/>
      <c r="M553" s="26"/>
      <c r="N553" s="148"/>
      <c r="O553" s="26"/>
      <c r="P553" s="26"/>
      <c r="Q553" s="26"/>
    </row>
    <row r="554" spans="1:17" x14ac:dyDescent="0.35">
      <c r="A554" s="26"/>
      <c r="B554" s="35"/>
      <c r="C554" s="26"/>
      <c r="D554" s="26"/>
      <c r="E554" s="44"/>
      <c r="F554" s="26"/>
      <c r="G554" s="26"/>
      <c r="H554" s="147"/>
      <c r="I554" s="26"/>
      <c r="J554" s="26"/>
      <c r="K554" s="26"/>
      <c r="L554" s="26"/>
      <c r="M554" s="26"/>
      <c r="N554" s="148"/>
      <c r="O554" s="26"/>
      <c r="P554" s="26"/>
      <c r="Q554" s="26"/>
    </row>
    <row r="555" spans="1:17" x14ac:dyDescent="0.35">
      <c r="A555" s="26"/>
      <c r="B555" s="35"/>
      <c r="C555" s="26"/>
      <c r="D555" s="26"/>
      <c r="E555" s="44"/>
      <c r="F555" s="26"/>
      <c r="G555" s="26"/>
      <c r="H555" s="147"/>
      <c r="I555" s="26"/>
      <c r="J555" s="26"/>
      <c r="K555" s="26"/>
      <c r="L555" s="26"/>
      <c r="M555" s="26"/>
      <c r="N555" s="148"/>
      <c r="O555" s="26"/>
      <c r="P555" s="26"/>
      <c r="Q555" s="26"/>
    </row>
    <row r="556" spans="1:17" x14ac:dyDescent="0.35">
      <c r="A556" s="26"/>
      <c r="B556" s="35"/>
      <c r="C556" s="26"/>
      <c r="D556" s="26"/>
      <c r="E556" s="44"/>
      <c r="F556" s="26"/>
      <c r="G556" s="26"/>
      <c r="H556" s="147"/>
      <c r="I556" s="26"/>
      <c r="J556" s="26"/>
      <c r="K556" s="26"/>
      <c r="L556" s="26"/>
      <c r="M556" s="26"/>
      <c r="N556" s="148"/>
      <c r="O556" s="26"/>
      <c r="P556" s="26"/>
      <c r="Q556" s="26"/>
    </row>
    <row r="557" spans="1:17" x14ac:dyDescent="0.35">
      <c r="A557" s="26"/>
      <c r="B557" s="35"/>
      <c r="C557" s="26"/>
      <c r="D557" s="26"/>
      <c r="E557" s="44"/>
      <c r="F557" s="26"/>
      <c r="G557" s="26"/>
      <c r="H557" s="147"/>
      <c r="I557" s="26"/>
      <c r="J557" s="26"/>
      <c r="K557" s="26"/>
      <c r="L557" s="26"/>
      <c r="M557" s="26"/>
      <c r="N557" s="148"/>
      <c r="O557" s="26"/>
      <c r="P557" s="26"/>
      <c r="Q557" s="26"/>
    </row>
    <row r="558" spans="1:17" x14ac:dyDescent="0.35">
      <c r="A558" s="26"/>
      <c r="B558" s="35"/>
      <c r="C558" s="26"/>
      <c r="D558" s="26"/>
      <c r="E558" s="44"/>
      <c r="F558" s="26"/>
      <c r="G558" s="26"/>
      <c r="H558" s="147"/>
      <c r="I558" s="26"/>
      <c r="J558" s="26"/>
      <c r="K558" s="26"/>
      <c r="L558" s="26"/>
      <c r="M558" s="26"/>
      <c r="N558" s="148"/>
      <c r="O558" s="26"/>
      <c r="P558" s="26"/>
      <c r="Q558" s="26"/>
    </row>
    <row r="559" spans="1:17" x14ac:dyDescent="0.35">
      <c r="A559" s="26"/>
      <c r="B559" s="35"/>
      <c r="C559" s="26"/>
      <c r="D559" s="26"/>
      <c r="E559" s="44"/>
      <c r="F559" s="26"/>
      <c r="G559" s="26"/>
      <c r="H559" s="147"/>
      <c r="I559" s="26"/>
      <c r="J559" s="26"/>
      <c r="K559" s="26"/>
      <c r="L559" s="26"/>
      <c r="M559" s="26"/>
      <c r="N559" s="148"/>
      <c r="O559" s="26"/>
      <c r="P559" s="26"/>
      <c r="Q559" s="26"/>
    </row>
    <row r="560" spans="1:17" x14ac:dyDescent="0.35">
      <c r="A560" s="26"/>
      <c r="B560" s="35"/>
      <c r="C560" s="26"/>
      <c r="D560" s="26"/>
      <c r="E560" s="44"/>
      <c r="F560" s="26"/>
      <c r="G560" s="26"/>
      <c r="H560" s="147"/>
      <c r="I560" s="26"/>
      <c r="J560" s="26"/>
      <c r="K560" s="26"/>
      <c r="L560" s="26"/>
      <c r="M560" s="26"/>
      <c r="N560" s="148"/>
      <c r="O560" s="26"/>
      <c r="P560" s="26"/>
      <c r="Q560" s="26"/>
    </row>
    <row r="561" spans="1:17" x14ac:dyDescent="0.35">
      <c r="A561" s="26"/>
      <c r="B561" s="35"/>
      <c r="C561" s="26"/>
      <c r="D561" s="26"/>
      <c r="E561" s="44"/>
      <c r="F561" s="26"/>
      <c r="G561" s="26"/>
      <c r="H561" s="147"/>
      <c r="I561" s="26"/>
      <c r="J561" s="26"/>
      <c r="K561" s="26"/>
      <c r="L561" s="26"/>
      <c r="M561" s="26"/>
      <c r="N561" s="148"/>
      <c r="O561" s="26"/>
      <c r="P561" s="26"/>
      <c r="Q561" s="26"/>
    </row>
    <row r="562" spans="1:17" x14ac:dyDescent="0.35">
      <c r="A562" s="26"/>
      <c r="B562" s="35"/>
      <c r="C562" s="26"/>
      <c r="D562" s="26"/>
      <c r="E562" s="44"/>
      <c r="F562" s="26"/>
      <c r="G562" s="26"/>
      <c r="H562" s="147"/>
      <c r="I562" s="26"/>
      <c r="J562" s="26"/>
      <c r="K562" s="26"/>
      <c r="L562" s="26"/>
      <c r="M562" s="26"/>
      <c r="N562" s="148"/>
      <c r="O562" s="26"/>
      <c r="P562" s="26"/>
      <c r="Q562" s="26"/>
    </row>
    <row r="563" spans="1:17" x14ac:dyDescent="0.35">
      <c r="A563" s="26"/>
      <c r="B563" s="35"/>
      <c r="C563" s="26"/>
      <c r="D563" s="26"/>
      <c r="E563" s="44"/>
      <c r="F563" s="26"/>
      <c r="G563" s="26"/>
      <c r="H563" s="147"/>
      <c r="I563" s="26"/>
      <c r="J563" s="26"/>
      <c r="K563" s="26"/>
      <c r="L563" s="26"/>
      <c r="M563" s="26"/>
      <c r="N563" s="148"/>
      <c r="O563" s="26"/>
      <c r="P563" s="26"/>
      <c r="Q563" s="26"/>
    </row>
    <row r="564" spans="1:17" x14ac:dyDescent="0.35">
      <c r="A564" s="26"/>
      <c r="B564" s="35"/>
      <c r="C564" s="26"/>
      <c r="D564" s="26"/>
      <c r="E564" s="44"/>
      <c r="F564" s="26"/>
      <c r="G564" s="26"/>
      <c r="H564" s="147"/>
      <c r="I564" s="26"/>
      <c r="J564" s="26"/>
      <c r="K564" s="26"/>
      <c r="L564" s="26"/>
      <c r="M564" s="26"/>
      <c r="N564" s="148"/>
      <c r="O564" s="26"/>
      <c r="P564" s="26"/>
      <c r="Q564" s="26"/>
    </row>
    <row r="565" spans="1:17" x14ac:dyDescent="0.35">
      <c r="A565" s="26"/>
      <c r="B565" s="35"/>
      <c r="C565" s="26"/>
      <c r="D565" s="26"/>
      <c r="E565" s="44"/>
      <c r="F565" s="26"/>
      <c r="G565" s="26"/>
      <c r="H565" s="147"/>
      <c r="I565" s="26"/>
      <c r="J565" s="26"/>
      <c r="K565" s="26"/>
      <c r="L565" s="26"/>
      <c r="M565" s="26"/>
      <c r="N565" s="148"/>
      <c r="O565" s="26"/>
      <c r="P565" s="26"/>
      <c r="Q565" s="26"/>
    </row>
    <row r="566" spans="1:17" x14ac:dyDescent="0.35">
      <c r="A566" s="26"/>
      <c r="B566" s="35"/>
      <c r="C566" s="26"/>
      <c r="D566" s="26"/>
      <c r="E566" s="44"/>
      <c r="F566" s="26"/>
      <c r="G566" s="26"/>
      <c r="H566" s="147"/>
      <c r="I566" s="26"/>
      <c r="J566" s="26"/>
      <c r="K566" s="26"/>
      <c r="L566" s="26"/>
      <c r="M566" s="26"/>
      <c r="N566" s="148"/>
      <c r="O566" s="26"/>
      <c r="P566" s="26"/>
      <c r="Q566" s="26"/>
    </row>
    <row r="567" spans="1:17" x14ac:dyDescent="0.35">
      <c r="A567" s="26"/>
      <c r="B567" s="35"/>
      <c r="C567" s="26"/>
      <c r="D567" s="26"/>
      <c r="E567" s="44"/>
      <c r="F567" s="26"/>
      <c r="G567" s="26"/>
      <c r="H567" s="147"/>
      <c r="I567" s="26"/>
      <c r="J567" s="26"/>
      <c r="K567" s="26"/>
      <c r="L567" s="26"/>
      <c r="M567" s="26"/>
      <c r="N567" s="148"/>
      <c r="O567" s="26"/>
      <c r="P567" s="26"/>
      <c r="Q567" s="26"/>
    </row>
    <row r="568" spans="1:17" x14ac:dyDescent="0.35">
      <c r="A568" s="26"/>
      <c r="B568" s="35"/>
      <c r="C568" s="26"/>
      <c r="D568" s="26"/>
      <c r="E568" s="44"/>
      <c r="F568" s="26"/>
      <c r="G568" s="26"/>
      <c r="H568" s="147"/>
      <c r="I568" s="26"/>
      <c r="J568" s="26"/>
      <c r="K568" s="26"/>
      <c r="L568" s="26"/>
      <c r="M568" s="26"/>
      <c r="N568" s="148"/>
      <c r="O568" s="26"/>
      <c r="P568" s="26"/>
      <c r="Q568" s="26"/>
    </row>
    <row r="569" spans="1:17" x14ac:dyDescent="0.35">
      <c r="A569" s="26"/>
      <c r="B569" s="35"/>
      <c r="C569" s="26"/>
      <c r="D569" s="26"/>
      <c r="E569" s="44"/>
      <c r="F569" s="26"/>
      <c r="G569" s="26"/>
      <c r="H569" s="147"/>
      <c r="I569" s="26"/>
      <c r="J569" s="26"/>
      <c r="K569" s="26"/>
      <c r="L569" s="26"/>
      <c r="M569" s="26"/>
      <c r="N569" s="148"/>
      <c r="O569" s="26"/>
      <c r="P569" s="26"/>
      <c r="Q569" s="26"/>
    </row>
    <row r="570" spans="1:17" x14ac:dyDescent="0.35">
      <c r="A570" s="26"/>
      <c r="B570" s="35"/>
      <c r="C570" s="26"/>
      <c r="D570" s="26"/>
      <c r="E570" s="44"/>
      <c r="F570" s="26"/>
      <c r="G570" s="26"/>
      <c r="H570" s="147"/>
      <c r="I570" s="26"/>
      <c r="J570" s="26"/>
      <c r="K570" s="26"/>
      <c r="L570" s="26"/>
      <c r="M570" s="26"/>
      <c r="N570" s="148"/>
      <c r="O570" s="26"/>
      <c r="P570" s="26"/>
      <c r="Q570" s="26"/>
    </row>
    <row r="571" spans="1:17" x14ac:dyDescent="0.35">
      <c r="A571" s="26"/>
      <c r="B571" s="35"/>
      <c r="C571" s="26"/>
      <c r="D571" s="26"/>
      <c r="E571" s="44"/>
      <c r="F571" s="26"/>
      <c r="G571" s="26"/>
      <c r="H571" s="147"/>
      <c r="I571" s="26"/>
      <c r="J571" s="26"/>
      <c r="K571" s="26"/>
      <c r="L571" s="26"/>
      <c r="M571" s="26"/>
      <c r="N571" s="148"/>
      <c r="O571" s="26"/>
      <c r="P571" s="26"/>
      <c r="Q571" s="26"/>
    </row>
    <row r="572" spans="1:17" x14ac:dyDescent="0.35">
      <c r="A572" s="26"/>
      <c r="B572" s="35"/>
      <c r="C572" s="26"/>
      <c r="D572" s="26"/>
      <c r="E572" s="44"/>
      <c r="F572" s="26"/>
      <c r="G572" s="26"/>
      <c r="H572" s="147"/>
      <c r="I572" s="26"/>
      <c r="J572" s="26"/>
      <c r="K572" s="26"/>
      <c r="L572" s="26"/>
      <c r="M572" s="26"/>
      <c r="N572" s="148"/>
      <c r="O572" s="26"/>
      <c r="P572" s="26"/>
      <c r="Q572" s="26"/>
    </row>
    <row r="573" spans="1:17" x14ac:dyDescent="0.35">
      <c r="A573" s="26"/>
      <c r="B573" s="35"/>
      <c r="C573" s="26"/>
      <c r="D573" s="26"/>
      <c r="E573" s="44"/>
      <c r="F573" s="26"/>
      <c r="G573" s="26"/>
      <c r="H573" s="147"/>
      <c r="I573" s="26"/>
      <c r="J573" s="26"/>
      <c r="K573" s="26"/>
      <c r="L573" s="26"/>
      <c r="M573" s="26"/>
      <c r="N573" s="148"/>
      <c r="O573" s="26"/>
      <c r="P573" s="26"/>
      <c r="Q573" s="26"/>
    </row>
    <row r="574" spans="1:17" x14ac:dyDescent="0.35">
      <c r="A574" s="26"/>
      <c r="B574" s="35"/>
      <c r="C574" s="26"/>
      <c r="D574" s="26"/>
      <c r="E574" s="44"/>
      <c r="F574" s="26"/>
      <c r="G574" s="26"/>
      <c r="H574" s="147"/>
      <c r="I574" s="26"/>
      <c r="J574" s="26"/>
      <c r="K574" s="26"/>
      <c r="L574" s="26"/>
      <c r="M574" s="26"/>
      <c r="N574" s="148"/>
      <c r="O574" s="26"/>
      <c r="P574" s="26"/>
      <c r="Q574" s="26"/>
    </row>
    <row r="575" spans="1:17" x14ac:dyDescent="0.35">
      <c r="A575" s="26"/>
      <c r="B575" s="35"/>
      <c r="C575" s="26"/>
      <c r="D575" s="26"/>
      <c r="E575" s="44"/>
      <c r="F575" s="26"/>
      <c r="G575" s="26"/>
      <c r="H575" s="147"/>
      <c r="I575" s="26"/>
      <c r="J575" s="26"/>
      <c r="K575" s="26"/>
      <c r="L575" s="26"/>
      <c r="M575" s="26"/>
      <c r="N575" s="148"/>
      <c r="O575" s="26"/>
      <c r="P575" s="26"/>
      <c r="Q575" s="26"/>
    </row>
    <row r="576" spans="1:17" x14ac:dyDescent="0.35">
      <c r="A576" s="26"/>
      <c r="B576" s="35"/>
      <c r="C576" s="26"/>
      <c r="D576" s="26"/>
      <c r="E576" s="44"/>
      <c r="F576" s="26"/>
      <c r="G576" s="26"/>
      <c r="H576" s="147"/>
      <c r="I576" s="26"/>
      <c r="J576" s="26"/>
      <c r="K576" s="26"/>
      <c r="L576" s="26"/>
      <c r="M576" s="26"/>
      <c r="N576" s="148"/>
      <c r="O576" s="26"/>
      <c r="P576" s="26"/>
      <c r="Q576" s="26"/>
    </row>
    <row r="577" spans="1:17" x14ac:dyDescent="0.35">
      <c r="A577" s="26"/>
      <c r="B577" s="35"/>
      <c r="C577" s="26"/>
      <c r="D577" s="26"/>
      <c r="E577" s="44"/>
      <c r="F577" s="26"/>
      <c r="G577" s="26"/>
      <c r="H577" s="147"/>
      <c r="I577" s="26"/>
      <c r="J577" s="26"/>
      <c r="K577" s="26"/>
      <c r="L577" s="26"/>
      <c r="M577" s="26"/>
      <c r="N577" s="148"/>
      <c r="O577" s="26"/>
      <c r="P577" s="26"/>
      <c r="Q577" s="26"/>
    </row>
    <row r="578" spans="1:17" x14ac:dyDescent="0.35">
      <c r="A578" s="26"/>
      <c r="B578" s="35"/>
      <c r="C578" s="26"/>
      <c r="D578" s="26"/>
      <c r="E578" s="44"/>
      <c r="F578" s="26"/>
      <c r="G578" s="26"/>
      <c r="H578" s="147"/>
      <c r="I578" s="26"/>
      <c r="J578" s="26"/>
      <c r="K578" s="26"/>
      <c r="L578" s="26"/>
      <c r="M578" s="26"/>
      <c r="N578" s="148"/>
      <c r="O578" s="26"/>
      <c r="P578" s="26"/>
      <c r="Q578" s="26"/>
    </row>
    <row r="579" spans="1:17" x14ac:dyDescent="0.35">
      <c r="A579" s="26"/>
      <c r="B579" s="35"/>
      <c r="C579" s="26"/>
      <c r="D579" s="26"/>
      <c r="E579" s="44"/>
      <c r="F579" s="26"/>
      <c r="G579" s="26"/>
      <c r="H579" s="147"/>
      <c r="I579" s="26"/>
      <c r="J579" s="26"/>
      <c r="K579" s="26"/>
      <c r="L579" s="26"/>
      <c r="M579" s="26"/>
      <c r="N579" s="148"/>
      <c r="O579" s="26"/>
      <c r="P579" s="26"/>
      <c r="Q579" s="26"/>
    </row>
    <row r="580" spans="1:17" x14ac:dyDescent="0.35">
      <c r="A580" s="26"/>
      <c r="B580" s="35"/>
      <c r="C580" s="26"/>
      <c r="D580" s="26"/>
      <c r="E580" s="44"/>
      <c r="F580" s="26"/>
      <c r="G580" s="26"/>
      <c r="H580" s="147"/>
      <c r="I580" s="26"/>
      <c r="J580" s="26"/>
      <c r="K580" s="26"/>
      <c r="L580" s="26"/>
      <c r="M580" s="26"/>
      <c r="N580" s="148"/>
      <c r="O580" s="26"/>
      <c r="P580" s="26"/>
      <c r="Q580" s="26"/>
    </row>
    <row r="581" spans="1:17" x14ac:dyDescent="0.35">
      <c r="A581" s="26"/>
      <c r="B581" s="35"/>
      <c r="C581" s="26"/>
      <c r="D581" s="26"/>
      <c r="E581" s="44"/>
      <c r="F581" s="26"/>
      <c r="G581" s="26"/>
      <c r="H581" s="147"/>
      <c r="I581" s="26"/>
      <c r="J581" s="26"/>
      <c r="K581" s="26"/>
      <c r="L581" s="26"/>
      <c r="M581" s="26"/>
      <c r="N581" s="148"/>
      <c r="O581" s="26"/>
      <c r="P581" s="26"/>
      <c r="Q581" s="26"/>
    </row>
    <row r="582" spans="1:17" x14ac:dyDescent="0.35">
      <c r="A582" s="26"/>
      <c r="B582" s="35"/>
      <c r="C582" s="26"/>
      <c r="D582" s="26"/>
      <c r="E582" s="44"/>
      <c r="F582" s="26"/>
      <c r="G582" s="26"/>
      <c r="H582" s="147"/>
      <c r="I582" s="26"/>
      <c r="J582" s="26"/>
      <c r="K582" s="26"/>
      <c r="L582" s="26"/>
      <c r="M582" s="26"/>
      <c r="N582" s="148"/>
      <c r="O582" s="26"/>
      <c r="P582" s="26"/>
      <c r="Q582" s="26"/>
    </row>
    <row r="583" spans="1:17" x14ac:dyDescent="0.35">
      <c r="A583" s="26"/>
      <c r="B583" s="35"/>
      <c r="C583" s="26"/>
      <c r="D583" s="26"/>
      <c r="E583" s="44"/>
      <c r="F583" s="26"/>
      <c r="G583" s="26"/>
      <c r="H583" s="147"/>
      <c r="I583" s="26"/>
      <c r="J583" s="26"/>
      <c r="K583" s="26"/>
      <c r="L583" s="26"/>
      <c r="M583" s="26"/>
      <c r="N583" s="148"/>
      <c r="O583" s="26"/>
      <c r="P583" s="26"/>
      <c r="Q583" s="26"/>
    </row>
    <row r="584" spans="1:17" x14ac:dyDescent="0.35">
      <c r="A584" s="26"/>
      <c r="B584" s="35"/>
      <c r="C584" s="26"/>
      <c r="D584" s="26"/>
      <c r="E584" s="44"/>
      <c r="F584" s="26"/>
      <c r="G584" s="26"/>
      <c r="H584" s="147"/>
      <c r="I584" s="26"/>
      <c r="J584" s="26"/>
      <c r="K584" s="26"/>
      <c r="L584" s="26"/>
      <c r="M584" s="26"/>
      <c r="N584" s="148"/>
      <c r="O584" s="26"/>
      <c r="P584" s="26"/>
      <c r="Q584" s="26"/>
    </row>
    <row r="585" spans="1:17" x14ac:dyDescent="0.35">
      <c r="A585" s="26"/>
      <c r="B585" s="35"/>
      <c r="C585" s="26"/>
      <c r="D585" s="26"/>
      <c r="E585" s="44"/>
      <c r="F585" s="26"/>
      <c r="G585" s="26"/>
      <c r="H585" s="147"/>
      <c r="I585" s="26"/>
      <c r="J585" s="26"/>
      <c r="K585" s="26"/>
      <c r="L585" s="26"/>
      <c r="M585" s="26"/>
      <c r="N585" s="148"/>
      <c r="O585" s="26"/>
      <c r="P585" s="26"/>
      <c r="Q585" s="26"/>
    </row>
    <row r="586" spans="1:17" x14ac:dyDescent="0.35">
      <c r="A586" s="26"/>
      <c r="B586" s="35"/>
      <c r="C586" s="26"/>
      <c r="D586" s="26"/>
      <c r="E586" s="44"/>
      <c r="F586" s="26"/>
      <c r="G586" s="26"/>
      <c r="H586" s="147"/>
      <c r="I586" s="26"/>
      <c r="J586" s="26"/>
      <c r="K586" s="26"/>
      <c r="L586" s="26"/>
      <c r="M586" s="26"/>
      <c r="N586" s="148"/>
      <c r="O586" s="26"/>
      <c r="P586" s="26"/>
      <c r="Q586" s="26"/>
    </row>
    <row r="587" spans="1:17" x14ac:dyDescent="0.35">
      <c r="A587" s="26"/>
      <c r="B587" s="35"/>
      <c r="C587" s="26"/>
      <c r="D587" s="26"/>
      <c r="E587" s="44"/>
      <c r="F587" s="26"/>
      <c r="G587" s="26"/>
      <c r="H587" s="147"/>
      <c r="I587" s="26"/>
      <c r="J587" s="26"/>
      <c r="K587" s="26"/>
      <c r="L587" s="26"/>
      <c r="M587" s="26"/>
      <c r="N587" s="148"/>
      <c r="O587" s="26"/>
      <c r="P587" s="26"/>
      <c r="Q587" s="26"/>
    </row>
    <row r="588" spans="1:17" x14ac:dyDescent="0.35">
      <c r="A588" s="26"/>
      <c r="B588" s="35"/>
      <c r="C588" s="26"/>
      <c r="D588" s="26"/>
      <c r="E588" s="44"/>
      <c r="F588" s="26"/>
      <c r="G588" s="26"/>
      <c r="H588" s="147"/>
      <c r="I588" s="26"/>
      <c r="J588" s="26"/>
      <c r="K588" s="26"/>
      <c r="L588" s="26"/>
      <c r="M588" s="26"/>
      <c r="N588" s="148"/>
      <c r="O588" s="26"/>
      <c r="P588" s="26"/>
      <c r="Q588" s="26"/>
    </row>
    <row r="589" spans="1:17" x14ac:dyDescent="0.35">
      <c r="A589" s="26"/>
      <c r="B589" s="35"/>
      <c r="C589" s="26"/>
      <c r="D589" s="26"/>
      <c r="E589" s="44"/>
      <c r="F589" s="26"/>
      <c r="G589" s="26"/>
      <c r="H589" s="147"/>
      <c r="I589" s="26"/>
      <c r="J589" s="26"/>
      <c r="K589" s="26"/>
      <c r="L589" s="26"/>
      <c r="M589" s="26"/>
      <c r="N589" s="148"/>
      <c r="O589" s="26"/>
      <c r="P589" s="26"/>
      <c r="Q589" s="26"/>
    </row>
    <row r="590" spans="1:17" x14ac:dyDescent="0.35">
      <c r="A590" s="26"/>
      <c r="B590" s="35"/>
      <c r="C590" s="26"/>
      <c r="D590" s="26"/>
      <c r="E590" s="44"/>
      <c r="F590" s="26"/>
      <c r="G590" s="26"/>
      <c r="H590" s="147"/>
      <c r="I590" s="26"/>
      <c r="J590" s="26"/>
      <c r="K590" s="26"/>
      <c r="L590" s="26"/>
      <c r="M590" s="26"/>
      <c r="N590" s="148"/>
      <c r="O590" s="26"/>
      <c r="P590" s="26"/>
      <c r="Q590" s="26"/>
    </row>
    <row r="591" spans="1:17" x14ac:dyDescent="0.35">
      <c r="A591" s="26"/>
      <c r="B591" s="35"/>
      <c r="C591" s="26"/>
      <c r="D591" s="26"/>
      <c r="E591" s="44"/>
      <c r="F591" s="26"/>
      <c r="G591" s="26"/>
      <c r="H591" s="147"/>
      <c r="I591" s="26"/>
      <c r="J591" s="26"/>
      <c r="K591" s="26"/>
      <c r="L591" s="26"/>
      <c r="M591" s="26"/>
      <c r="N591" s="148"/>
      <c r="O591" s="26"/>
      <c r="P591" s="26"/>
      <c r="Q591" s="26"/>
    </row>
    <row r="592" spans="1:17" x14ac:dyDescent="0.35">
      <c r="A592" s="26"/>
      <c r="B592" s="35"/>
      <c r="C592" s="26"/>
      <c r="D592" s="26"/>
      <c r="E592" s="44"/>
      <c r="F592" s="26"/>
      <c r="G592" s="26"/>
      <c r="H592" s="147"/>
      <c r="I592" s="26"/>
      <c r="J592" s="26"/>
      <c r="K592" s="26"/>
      <c r="L592" s="26"/>
      <c r="M592" s="26"/>
      <c r="N592" s="148"/>
      <c r="O592" s="26"/>
      <c r="P592" s="26"/>
      <c r="Q592" s="26"/>
    </row>
    <row r="593" spans="1:17" x14ac:dyDescent="0.35">
      <c r="A593" s="26"/>
      <c r="B593" s="35"/>
      <c r="C593" s="26"/>
      <c r="D593" s="26"/>
      <c r="E593" s="44"/>
      <c r="F593" s="26"/>
      <c r="G593" s="26"/>
      <c r="H593" s="147"/>
      <c r="I593" s="26"/>
      <c r="J593" s="26"/>
      <c r="K593" s="26"/>
      <c r="L593" s="26"/>
      <c r="M593" s="26"/>
      <c r="N593" s="148"/>
      <c r="O593" s="26"/>
      <c r="P593" s="26"/>
      <c r="Q593" s="26"/>
    </row>
    <row r="594" spans="1:17" x14ac:dyDescent="0.35">
      <c r="A594" s="26"/>
      <c r="B594" s="35"/>
      <c r="C594" s="26"/>
      <c r="D594" s="26"/>
      <c r="E594" s="44"/>
      <c r="F594" s="26"/>
      <c r="G594" s="26"/>
      <c r="H594" s="147"/>
      <c r="I594" s="26"/>
      <c r="J594" s="26"/>
      <c r="K594" s="26"/>
      <c r="L594" s="26"/>
      <c r="M594" s="26"/>
      <c r="N594" s="148"/>
      <c r="O594" s="26"/>
      <c r="P594" s="26"/>
      <c r="Q594" s="26"/>
    </row>
    <row r="595" spans="1:17" x14ac:dyDescent="0.35">
      <c r="A595" s="26"/>
      <c r="B595" s="35"/>
      <c r="C595" s="26"/>
      <c r="D595" s="26"/>
      <c r="E595" s="44"/>
      <c r="F595" s="26"/>
      <c r="G595" s="26"/>
      <c r="H595" s="147"/>
      <c r="I595" s="26"/>
      <c r="J595" s="26"/>
      <c r="K595" s="26"/>
      <c r="L595" s="26"/>
      <c r="M595" s="26"/>
      <c r="N595" s="148"/>
      <c r="O595" s="26"/>
      <c r="P595" s="26"/>
      <c r="Q595" s="26"/>
    </row>
    <row r="596" spans="1:17" x14ac:dyDescent="0.35">
      <c r="A596" s="26"/>
      <c r="B596" s="35"/>
      <c r="C596" s="26"/>
      <c r="D596" s="26"/>
      <c r="E596" s="44"/>
      <c r="F596" s="26"/>
      <c r="G596" s="26"/>
      <c r="H596" s="147"/>
      <c r="I596" s="26"/>
      <c r="J596" s="26"/>
      <c r="K596" s="26"/>
      <c r="L596" s="26"/>
      <c r="M596" s="26"/>
      <c r="N596" s="148"/>
      <c r="O596" s="26"/>
      <c r="P596" s="26"/>
      <c r="Q596" s="26"/>
    </row>
    <row r="597" spans="1:17" x14ac:dyDescent="0.35">
      <c r="A597" s="26"/>
      <c r="B597" s="35"/>
      <c r="C597" s="26"/>
      <c r="D597" s="26"/>
      <c r="E597" s="44"/>
      <c r="F597" s="26"/>
      <c r="G597" s="26"/>
      <c r="H597" s="147"/>
      <c r="I597" s="26"/>
      <c r="J597" s="26"/>
      <c r="K597" s="26"/>
      <c r="L597" s="26"/>
      <c r="M597" s="26"/>
      <c r="N597" s="148"/>
      <c r="O597" s="26"/>
      <c r="P597" s="26"/>
      <c r="Q597" s="26"/>
    </row>
    <row r="598" spans="1:17" x14ac:dyDescent="0.35">
      <c r="A598" s="26"/>
      <c r="B598" s="35"/>
      <c r="C598" s="26"/>
      <c r="D598" s="26"/>
      <c r="E598" s="44"/>
      <c r="F598" s="26"/>
      <c r="G598" s="26"/>
      <c r="H598" s="147"/>
      <c r="I598" s="26"/>
      <c r="J598" s="26"/>
      <c r="K598" s="26"/>
      <c r="L598" s="26"/>
      <c r="M598" s="26"/>
      <c r="N598" s="148"/>
      <c r="O598" s="26"/>
      <c r="P598" s="26"/>
      <c r="Q598" s="26"/>
    </row>
    <row r="599" spans="1:17" x14ac:dyDescent="0.35">
      <c r="A599" s="26"/>
      <c r="B599" s="35"/>
      <c r="C599" s="26"/>
      <c r="D599" s="26"/>
      <c r="E599" s="44"/>
      <c r="F599" s="26"/>
      <c r="G599" s="26"/>
      <c r="H599" s="147"/>
      <c r="I599" s="26"/>
      <c r="J599" s="26"/>
      <c r="K599" s="26"/>
      <c r="L599" s="26"/>
      <c r="M599" s="26"/>
      <c r="N599" s="148"/>
      <c r="O599" s="26"/>
      <c r="P599" s="26"/>
      <c r="Q599" s="26"/>
    </row>
    <row r="600" spans="1:17" x14ac:dyDescent="0.35">
      <c r="A600" s="26"/>
      <c r="B600" s="35"/>
      <c r="C600" s="26"/>
      <c r="D600" s="26"/>
      <c r="E600" s="44"/>
      <c r="F600" s="26"/>
      <c r="G600" s="26"/>
      <c r="H600" s="147"/>
      <c r="I600" s="26"/>
      <c r="J600" s="26"/>
      <c r="K600" s="26"/>
      <c r="L600" s="26"/>
      <c r="M600" s="26"/>
      <c r="N600" s="148"/>
      <c r="O600" s="26"/>
      <c r="P600" s="26"/>
      <c r="Q600" s="26"/>
    </row>
    <row r="601" spans="1:17" x14ac:dyDescent="0.35">
      <c r="A601" s="26"/>
      <c r="B601" s="35"/>
      <c r="C601" s="26"/>
      <c r="D601" s="26"/>
      <c r="E601" s="44"/>
      <c r="F601" s="26"/>
      <c r="G601" s="26"/>
      <c r="H601" s="147"/>
      <c r="I601" s="26"/>
      <c r="J601" s="26"/>
      <c r="K601" s="26"/>
      <c r="L601" s="26"/>
      <c r="M601" s="26"/>
      <c r="N601" s="148"/>
      <c r="O601" s="26"/>
      <c r="P601" s="26"/>
      <c r="Q601" s="26"/>
    </row>
    <row r="602" spans="1:17" x14ac:dyDescent="0.35">
      <c r="A602" s="26"/>
      <c r="B602" s="35"/>
      <c r="C602" s="26"/>
      <c r="D602" s="26"/>
      <c r="E602" s="44"/>
      <c r="F602" s="26"/>
      <c r="G602" s="26"/>
      <c r="H602" s="147"/>
      <c r="I602" s="26"/>
      <c r="J602" s="26"/>
      <c r="K602" s="26"/>
      <c r="L602" s="26"/>
      <c r="M602" s="26"/>
      <c r="N602" s="148"/>
      <c r="O602" s="26"/>
      <c r="P602" s="26"/>
      <c r="Q602" s="26"/>
    </row>
    <row r="603" spans="1:17" x14ac:dyDescent="0.35">
      <c r="A603" s="26"/>
      <c r="B603" s="35"/>
      <c r="C603" s="26"/>
      <c r="D603" s="26"/>
      <c r="E603" s="44"/>
      <c r="F603" s="26"/>
      <c r="G603" s="26"/>
      <c r="H603" s="147"/>
      <c r="I603" s="26"/>
      <c r="J603" s="26"/>
      <c r="K603" s="26"/>
      <c r="L603" s="26"/>
      <c r="M603" s="26"/>
      <c r="N603" s="148"/>
      <c r="O603" s="26"/>
      <c r="P603" s="26"/>
      <c r="Q603" s="26"/>
    </row>
    <row r="604" spans="1:17" x14ac:dyDescent="0.35">
      <c r="A604" s="26"/>
      <c r="B604" s="35"/>
      <c r="C604" s="26"/>
      <c r="D604" s="26"/>
      <c r="E604" s="44"/>
      <c r="F604" s="26"/>
      <c r="G604" s="26"/>
      <c r="H604" s="147"/>
      <c r="I604" s="26"/>
      <c r="J604" s="26"/>
      <c r="K604" s="26"/>
      <c r="L604" s="26"/>
      <c r="M604" s="26"/>
      <c r="N604" s="148"/>
      <c r="O604" s="26"/>
      <c r="P604" s="26"/>
      <c r="Q604" s="26"/>
    </row>
    <row r="605" spans="1:17" x14ac:dyDescent="0.35">
      <c r="A605" s="26"/>
      <c r="B605" s="35"/>
      <c r="C605" s="26"/>
      <c r="D605" s="26"/>
      <c r="E605" s="44"/>
      <c r="F605" s="26"/>
      <c r="G605" s="26"/>
      <c r="H605" s="147"/>
      <c r="I605" s="26"/>
      <c r="J605" s="26"/>
      <c r="K605" s="26"/>
      <c r="L605" s="26"/>
      <c r="M605" s="26"/>
      <c r="N605" s="148"/>
      <c r="O605" s="26"/>
      <c r="P605" s="26"/>
      <c r="Q605" s="26"/>
    </row>
    <row r="606" spans="1:17" x14ac:dyDescent="0.35">
      <c r="A606" s="26"/>
      <c r="B606" s="35"/>
      <c r="C606" s="26"/>
      <c r="D606" s="26"/>
      <c r="E606" s="44"/>
      <c r="F606" s="26"/>
      <c r="G606" s="26"/>
      <c r="H606" s="147"/>
      <c r="I606" s="26"/>
      <c r="J606" s="26"/>
      <c r="K606" s="26"/>
      <c r="L606" s="26"/>
      <c r="M606" s="26"/>
      <c r="N606" s="148"/>
      <c r="O606" s="26"/>
      <c r="P606" s="26"/>
      <c r="Q606" s="26"/>
    </row>
    <row r="607" spans="1:17" x14ac:dyDescent="0.35">
      <c r="A607" s="26"/>
      <c r="B607" s="35"/>
      <c r="C607" s="26"/>
      <c r="D607" s="26"/>
      <c r="E607" s="44"/>
      <c r="F607" s="26"/>
      <c r="G607" s="26"/>
      <c r="H607" s="147"/>
      <c r="I607" s="26"/>
      <c r="J607" s="26"/>
      <c r="K607" s="26"/>
      <c r="L607" s="26"/>
      <c r="M607" s="26"/>
      <c r="N607" s="148"/>
      <c r="O607" s="26"/>
      <c r="P607" s="26"/>
      <c r="Q607" s="26"/>
    </row>
    <row r="608" spans="1:17" x14ac:dyDescent="0.35">
      <c r="A608" s="26"/>
      <c r="B608" s="35"/>
      <c r="C608" s="26"/>
      <c r="D608" s="26"/>
      <c r="E608" s="44"/>
      <c r="F608" s="26"/>
      <c r="G608" s="26"/>
      <c r="H608" s="147"/>
      <c r="I608" s="26"/>
      <c r="J608" s="26"/>
      <c r="K608" s="26"/>
      <c r="L608" s="26"/>
      <c r="M608" s="26"/>
      <c r="N608" s="148"/>
      <c r="O608" s="26"/>
      <c r="P608" s="26"/>
      <c r="Q608" s="26"/>
    </row>
    <row r="609" spans="1:17" x14ac:dyDescent="0.35">
      <c r="A609" s="26"/>
      <c r="B609" s="35"/>
      <c r="C609" s="26"/>
      <c r="D609" s="26"/>
      <c r="E609" s="44"/>
      <c r="F609" s="26"/>
      <c r="G609" s="26"/>
      <c r="H609" s="147"/>
      <c r="I609" s="26"/>
      <c r="J609" s="26"/>
      <c r="K609" s="26"/>
      <c r="L609" s="26"/>
      <c r="M609" s="26"/>
      <c r="N609" s="148"/>
      <c r="O609" s="26"/>
      <c r="P609" s="26"/>
      <c r="Q609" s="26"/>
    </row>
    <row r="610" spans="1:17" x14ac:dyDescent="0.35">
      <c r="A610" s="26"/>
      <c r="B610" s="35"/>
      <c r="C610" s="26"/>
      <c r="D610" s="26"/>
      <c r="E610" s="44"/>
      <c r="F610" s="26"/>
      <c r="G610" s="26"/>
      <c r="H610" s="147"/>
      <c r="I610" s="26"/>
      <c r="J610" s="26"/>
      <c r="K610" s="26"/>
      <c r="L610" s="26"/>
      <c r="M610" s="26"/>
      <c r="N610" s="148"/>
      <c r="O610" s="26"/>
      <c r="P610" s="26"/>
      <c r="Q610" s="26"/>
    </row>
    <row r="611" spans="1:17" x14ac:dyDescent="0.35">
      <c r="A611" s="26"/>
      <c r="B611" s="35"/>
      <c r="C611" s="26"/>
      <c r="D611" s="26"/>
      <c r="E611" s="44"/>
      <c r="F611" s="26"/>
      <c r="G611" s="26"/>
      <c r="H611" s="147"/>
      <c r="I611" s="26"/>
      <c r="J611" s="26"/>
      <c r="K611" s="26"/>
      <c r="L611" s="26"/>
      <c r="M611" s="26"/>
      <c r="N611" s="148"/>
      <c r="O611" s="26"/>
      <c r="P611" s="26"/>
      <c r="Q611" s="26"/>
    </row>
    <row r="612" spans="1:17" x14ac:dyDescent="0.35">
      <c r="A612" s="26"/>
      <c r="B612" s="35"/>
      <c r="C612" s="26"/>
      <c r="D612" s="26"/>
      <c r="E612" s="44"/>
      <c r="F612" s="26"/>
      <c r="G612" s="26"/>
      <c r="H612" s="147"/>
      <c r="I612" s="26"/>
      <c r="J612" s="26"/>
      <c r="K612" s="26"/>
      <c r="L612" s="26"/>
      <c r="M612" s="26"/>
      <c r="N612" s="148"/>
      <c r="O612" s="26"/>
      <c r="P612" s="26"/>
      <c r="Q612" s="26"/>
    </row>
    <row r="613" spans="1:17" x14ac:dyDescent="0.35">
      <c r="A613" s="26"/>
      <c r="B613" s="35"/>
      <c r="C613" s="26"/>
      <c r="D613" s="26"/>
      <c r="E613" s="44"/>
      <c r="F613" s="26"/>
      <c r="G613" s="26"/>
      <c r="H613" s="147"/>
      <c r="I613" s="26"/>
      <c r="J613" s="26"/>
      <c r="K613" s="26"/>
      <c r="L613" s="26"/>
      <c r="M613" s="26"/>
      <c r="N613" s="148"/>
      <c r="O613" s="26"/>
      <c r="P613" s="26"/>
      <c r="Q613" s="26"/>
    </row>
    <row r="614" spans="1:17" x14ac:dyDescent="0.35">
      <c r="A614" s="26"/>
      <c r="B614" s="35"/>
      <c r="C614" s="26"/>
      <c r="D614" s="26"/>
      <c r="E614" s="44"/>
      <c r="F614" s="26"/>
      <c r="G614" s="26"/>
      <c r="H614" s="147"/>
      <c r="I614" s="26"/>
      <c r="J614" s="26"/>
      <c r="K614" s="26"/>
      <c r="L614" s="26"/>
      <c r="M614" s="26"/>
      <c r="N614" s="148"/>
      <c r="O614" s="26"/>
      <c r="P614" s="26"/>
      <c r="Q614" s="26"/>
    </row>
    <row r="615" spans="1:17" x14ac:dyDescent="0.35">
      <c r="A615" s="26"/>
      <c r="B615" s="35"/>
      <c r="C615" s="26"/>
      <c r="D615" s="26"/>
      <c r="E615" s="44"/>
      <c r="F615" s="26"/>
      <c r="G615" s="26"/>
      <c r="H615" s="147"/>
      <c r="I615" s="26"/>
      <c r="J615" s="26"/>
      <c r="K615" s="26"/>
      <c r="L615" s="26"/>
      <c r="M615" s="26"/>
      <c r="N615" s="148"/>
      <c r="O615" s="26"/>
      <c r="P615" s="26"/>
      <c r="Q615" s="26"/>
    </row>
    <row r="616" spans="1:17" x14ac:dyDescent="0.35">
      <c r="A616" s="26"/>
      <c r="B616" s="35"/>
      <c r="C616" s="26"/>
      <c r="D616" s="26"/>
      <c r="E616" s="44"/>
      <c r="F616" s="26"/>
      <c r="G616" s="26"/>
      <c r="H616" s="147"/>
      <c r="I616" s="26"/>
      <c r="J616" s="26"/>
      <c r="K616" s="26"/>
      <c r="L616" s="26"/>
      <c r="M616" s="26"/>
      <c r="N616" s="148"/>
      <c r="O616" s="26"/>
      <c r="P616" s="26"/>
      <c r="Q616" s="26"/>
    </row>
    <row r="617" spans="1:17" x14ac:dyDescent="0.35">
      <c r="A617" s="26"/>
      <c r="B617" s="35"/>
      <c r="C617" s="26"/>
      <c r="D617" s="26"/>
      <c r="E617" s="44"/>
      <c r="F617" s="26"/>
      <c r="G617" s="26"/>
      <c r="H617" s="147"/>
      <c r="I617" s="26"/>
      <c r="J617" s="26"/>
      <c r="K617" s="26"/>
      <c r="L617" s="26"/>
      <c r="M617" s="26"/>
      <c r="N617" s="148"/>
      <c r="O617" s="26"/>
      <c r="P617" s="26"/>
      <c r="Q617" s="26"/>
    </row>
    <row r="618" spans="1:17" x14ac:dyDescent="0.35">
      <c r="A618" s="26"/>
      <c r="B618" s="35"/>
      <c r="C618" s="26"/>
      <c r="D618" s="26"/>
      <c r="E618" s="44"/>
      <c r="F618" s="26"/>
      <c r="G618" s="26"/>
      <c r="H618" s="147"/>
      <c r="I618" s="26"/>
      <c r="J618" s="26"/>
      <c r="K618" s="26"/>
      <c r="L618" s="26"/>
      <c r="M618" s="26"/>
      <c r="N618" s="148"/>
      <c r="O618" s="26"/>
      <c r="P618" s="26"/>
      <c r="Q618" s="26"/>
    </row>
    <row r="619" spans="1:17" x14ac:dyDescent="0.35">
      <c r="A619" s="26"/>
      <c r="B619" s="35"/>
      <c r="C619" s="26"/>
      <c r="D619" s="26"/>
      <c r="E619" s="44"/>
      <c r="F619" s="26"/>
      <c r="G619" s="26"/>
      <c r="H619" s="147"/>
      <c r="I619" s="26"/>
      <c r="J619" s="26"/>
      <c r="K619" s="26"/>
      <c r="L619" s="26"/>
      <c r="M619" s="26"/>
      <c r="N619" s="148"/>
      <c r="O619" s="26"/>
      <c r="P619" s="26"/>
      <c r="Q619" s="26"/>
    </row>
    <row r="620" spans="1:17" x14ac:dyDescent="0.35">
      <c r="A620" s="26"/>
      <c r="B620" s="35"/>
      <c r="C620" s="26"/>
      <c r="D620" s="26"/>
      <c r="E620" s="44"/>
      <c r="F620" s="26"/>
      <c r="G620" s="26"/>
      <c r="H620" s="147"/>
      <c r="I620" s="26"/>
      <c r="J620" s="26"/>
      <c r="K620" s="26"/>
      <c r="L620" s="26"/>
      <c r="M620" s="26"/>
      <c r="N620" s="148"/>
      <c r="O620" s="26"/>
      <c r="P620" s="26"/>
      <c r="Q620" s="26"/>
    </row>
    <row r="621" spans="1:17" x14ac:dyDescent="0.35">
      <c r="A621" s="26"/>
      <c r="B621" s="35"/>
      <c r="C621" s="26"/>
      <c r="D621" s="26"/>
      <c r="E621" s="44"/>
      <c r="F621" s="26"/>
      <c r="G621" s="26"/>
      <c r="H621" s="147"/>
      <c r="I621" s="26"/>
      <c r="J621" s="26"/>
      <c r="K621" s="26"/>
      <c r="L621" s="26"/>
      <c r="M621" s="26"/>
      <c r="N621" s="148"/>
      <c r="O621" s="26"/>
      <c r="P621" s="26"/>
      <c r="Q621" s="26"/>
    </row>
    <row r="622" spans="1:17" x14ac:dyDescent="0.35">
      <c r="A622" s="26"/>
      <c r="B622" s="35"/>
      <c r="C622" s="26"/>
      <c r="D622" s="26"/>
      <c r="E622" s="44"/>
      <c r="F622" s="26"/>
      <c r="G622" s="26"/>
      <c r="H622" s="147"/>
      <c r="I622" s="26"/>
      <c r="J622" s="26"/>
      <c r="K622" s="26"/>
      <c r="L622" s="26"/>
      <c r="M622" s="26"/>
      <c r="N622" s="148"/>
      <c r="O622" s="26"/>
      <c r="P622" s="26"/>
      <c r="Q622" s="26"/>
    </row>
    <row r="623" spans="1:17" x14ac:dyDescent="0.35">
      <c r="A623" s="26"/>
      <c r="B623" s="35"/>
      <c r="C623" s="26"/>
      <c r="D623" s="26"/>
      <c r="E623" s="44"/>
      <c r="F623" s="26"/>
      <c r="G623" s="26"/>
      <c r="H623" s="147"/>
      <c r="I623" s="26"/>
      <c r="J623" s="26"/>
      <c r="K623" s="26"/>
      <c r="L623" s="26"/>
      <c r="M623" s="26"/>
      <c r="N623" s="148"/>
      <c r="O623" s="26"/>
      <c r="P623" s="26"/>
      <c r="Q623" s="26"/>
    </row>
    <row r="624" spans="1:17" x14ac:dyDescent="0.35">
      <c r="A624" s="26"/>
      <c r="B624" s="35"/>
      <c r="C624" s="26"/>
      <c r="D624" s="26"/>
      <c r="E624" s="44"/>
      <c r="F624" s="26"/>
      <c r="G624" s="26"/>
      <c r="H624" s="147"/>
      <c r="I624" s="26"/>
      <c r="J624" s="26"/>
      <c r="K624" s="26"/>
      <c r="L624" s="26"/>
      <c r="M624" s="26"/>
      <c r="N624" s="148"/>
      <c r="O624" s="26"/>
      <c r="P624" s="26"/>
      <c r="Q624" s="26"/>
    </row>
    <row r="625" spans="1:17" x14ac:dyDescent="0.35">
      <c r="A625" s="26"/>
      <c r="B625" s="35"/>
      <c r="C625" s="26"/>
      <c r="D625" s="26"/>
      <c r="E625" s="44"/>
      <c r="F625" s="26"/>
      <c r="G625" s="26"/>
      <c r="H625" s="147"/>
      <c r="I625" s="26"/>
      <c r="J625" s="26"/>
      <c r="K625" s="26"/>
      <c r="L625" s="26"/>
      <c r="M625" s="26"/>
      <c r="N625" s="148"/>
      <c r="O625" s="26"/>
      <c r="P625" s="26"/>
      <c r="Q625" s="26"/>
    </row>
    <row r="626" spans="1:17" x14ac:dyDescent="0.35">
      <c r="A626" s="26"/>
      <c r="B626" s="35"/>
      <c r="C626" s="26"/>
      <c r="D626" s="26"/>
      <c r="E626" s="44"/>
      <c r="F626" s="26"/>
      <c r="G626" s="26"/>
      <c r="H626" s="147"/>
      <c r="I626" s="26"/>
      <c r="J626" s="26"/>
      <c r="K626" s="26"/>
      <c r="L626" s="26"/>
      <c r="M626" s="26"/>
      <c r="N626" s="148"/>
      <c r="O626" s="26"/>
      <c r="P626" s="26"/>
      <c r="Q626" s="26"/>
    </row>
    <row r="627" spans="1:17" x14ac:dyDescent="0.35">
      <c r="A627" s="26"/>
      <c r="B627" s="35"/>
      <c r="C627" s="26"/>
      <c r="D627" s="26"/>
      <c r="E627" s="44"/>
      <c r="F627" s="26"/>
      <c r="G627" s="26"/>
      <c r="H627" s="147"/>
      <c r="I627" s="26"/>
      <c r="J627" s="26"/>
      <c r="K627" s="26"/>
      <c r="L627" s="26"/>
      <c r="M627" s="26"/>
      <c r="N627" s="148"/>
      <c r="O627" s="26"/>
      <c r="P627" s="26"/>
      <c r="Q627" s="26"/>
    </row>
    <row r="628" spans="1:17" x14ac:dyDescent="0.35">
      <c r="A628" s="26"/>
      <c r="B628" s="35"/>
      <c r="C628" s="26"/>
      <c r="D628" s="26"/>
      <c r="E628" s="44"/>
      <c r="F628" s="26"/>
      <c r="G628" s="26"/>
      <c r="H628" s="147"/>
      <c r="I628" s="26"/>
      <c r="J628" s="26"/>
      <c r="K628" s="26"/>
      <c r="L628" s="26"/>
      <c r="M628" s="26"/>
      <c r="N628" s="148"/>
      <c r="O628" s="26"/>
      <c r="P628" s="26"/>
      <c r="Q628" s="26"/>
    </row>
    <row r="629" spans="1:17" x14ac:dyDescent="0.35">
      <c r="A629" s="26"/>
      <c r="B629" s="35"/>
      <c r="C629" s="26"/>
      <c r="D629" s="26"/>
      <c r="E629" s="44"/>
      <c r="F629" s="26"/>
      <c r="G629" s="26"/>
      <c r="H629" s="147"/>
      <c r="I629" s="26"/>
      <c r="J629" s="26"/>
      <c r="K629" s="26"/>
      <c r="L629" s="26"/>
      <c r="M629" s="26"/>
      <c r="N629" s="148"/>
      <c r="O629" s="26"/>
      <c r="P629" s="26"/>
      <c r="Q629" s="26"/>
    </row>
    <row r="630" spans="1:17" x14ac:dyDescent="0.35">
      <c r="A630" s="26"/>
      <c r="B630" s="35"/>
      <c r="C630" s="26"/>
      <c r="D630" s="26"/>
      <c r="E630" s="44"/>
      <c r="F630" s="26"/>
      <c r="G630" s="26"/>
      <c r="H630" s="147"/>
      <c r="I630" s="26"/>
      <c r="J630" s="26"/>
      <c r="K630" s="26"/>
      <c r="L630" s="26"/>
      <c r="M630" s="26"/>
      <c r="N630" s="148"/>
      <c r="O630" s="26"/>
      <c r="P630" s="26"/>
      <c r="Q630" s="26"/>
    </row>
    <row r="631" spans="1:17" x14ac:dyDescent="0.35">
      <c r="A631" s="26"/>
      <c r="B631" s="35"/>
      <c r="C631" s="26"/>
      <c r="D631" s="26"/>
      <c r="E631" s="44"/>
      <c r="F631" s="26"/>
      <c r="G631" s="26"/>
      <c r="H631" s="147"/>
      <c r="I631" s="26"/>
      <c r="J631" s="26"/>
      <c r="K631" s="26"/>
      <c r="L631" s="26"/>
      <c r="M631" s="26"/>
      <c r="N631" s="148"/>
      <c r="O631" s="26"/>
      <c r="P631" s="26"/>
      <c r="Q631" s="26"/>
    </row>
    <row r="632" spans="1:17" x14ac:dyDescent="0.35">
      <c r="A632" s="26"/>
      <c r="B632" s="35"/>
      <c r="C632" s="26"/>
      <c r="D632" s="26"/>
      <c r="E632" s="44"/>
      <c r="F632" s="26"/>
      <c r="G632" s="26"/>
      <c r="H632" s="147"/>
      <c r="I632" s="26"/>
      <c r="J632" s="26"/>
      <c r="K632" s="26"/>
      <c r="L632" s="26"/>
      <c r="M632" s="26"/>
      <c r="N632" s="148"/>
      <c r="O632" s="26"/>
      <c r="P632" s="26"/>
      <c r="Q632" s="26"/>
    </row>
    <row r="633" spans="1:17" x14ac:dyDescent="0.35">
      <c r="A633" s="26"/>
      <c r="B633" s="35"/>
      <c r="C633" s="26"/>
      <c r="D633" s="26"/>
      <c r="E633" s="44"/>
      <c r="F633" s="26"/>
      <c r="G633" s="26"/>
      <c r="H633" s="147"/>
      <c r="I633" s="26"/>
      <c r="J633" s="26"/>
      <c r="K633" s="26"/>
      <c r="L633" s="26"/>
      <c r="M633" s="26"/>
      <c r="N633" s="148"/>
      <c r="O633" s="26"/>
      <c r="P633" s="26"/>
      <c r="Q633" s="26"/>
    </row>
    <row r="634" spans="1:17" x14ac:dyDescent="0.35">
      <c r="A634" s="26"/>
      <c r="B634" s="35"/>
      <c r="C634" s="26"/>
      <c r="D634" s="26"/>
      <c r="E634" s="44"/>
      <c r="F634" s="26"/>
      <c r="G634" s="26"/>
      <c r="H634" s="147"/>
      <c r="I634" s="26"/>
      <c r="J634" s="26"/>
      <c r="K634" s="26"/>
      <c r="L634" s="26"/>
      <c r="M634" s="26"/>
      <c r="N634" s="148"/>
      <c r="O634" s="26"/>
      <c r="P634" s="26"/>
      <c r="Q634" s="26"/>
    </row>
    <row r="635" spans="1:17" x14ac:dyDescent="0.35">
      <c r="A635" s="26"/>
      <c r="B635" s="35"/>
      <c r="C635" s="26"/>
      <c r="D635" s="26"/>
      <c r="E635" s="44"/>
      <c r="F635" s="26"/>
      <c r="G635" s="26"/>
      <c r="H635" s="147"/>
      <c r="I635" s="26"/>
      <c r="J635" s="26"/>
      <c r="K635" s="26"/>
      <c r="L635" s="26"/>
      <c r="M635" s="26"/>
      <c r="N635" s="148"/>
      <c r="O635" s="26"/>
      <c r="P635" s="26"/>
      <c r="Q635" s="26"/>
    </row>
    <row r="636" spans="1:17" x14ac:dyDescent="0.35">
      <c r="A636" s="26"/>
      <c r="B636" s="35"/>
      <c r="C636" s="26"/>
      <c r="D636" s="26"/>
      <c r="E636" s="44"/>
      <c r="F636" s="26"/>
      <c r="G636" s="26"/>
      <c r="H636" s="147"/>
      <c r="I636" s="26"/>
      <c r="J636" s="26"/>
      <c r="K636" s="26"/>
      <c r="L636" s="26"/>
      <c r="M636" s="26"/>
      <c r="N636" s="148"/>
      <c r="O636" s="26"/>
      <c r="P636" s="26"/>
      <c r="Q636" s="26"/>
    </row>
    <row r="637" spans="1:17" x14ac:dyDescent="0.35">
      <c r="A637" s="26"/>
      <c r="B637" s="35"/>
      <c r="C637" s="26"/>
      <c r="D637" s="26"/>
      <c r="E637" s="44"/>
      <c r="F637" s="26"/>
      <c r="G637" s="26"/>
      <c r="H637" s="147"/>
      <c r="I637" s="26"/>
      <c r="J637" s="26"/>
      <c r="K637" s="26"/>
      <c r="L637" s="26"/>
      <c r="M637" s="26"/>
      <c r="N637" s="148"/>
      <c r="O637" s="26"/>
      <c r="P637" s="26"/>
      <c r="Q637" s="26"/>
    </row>
    <row r="638" spans="1:17" x14ac:dyDescent="0.35">
      <c r="A638" s="26"/>
      <c r="B638" s="35"/>
      <c r="C638" s="26"/>
      <c r="D638" s="26"/>
      <c r="E638" s="44"/>
      <c r="F638" s="26"/>
      <c r="G638" s="26"/>
      <c r="H638" s="147"/>
      <c r="I638" s="26"/>
      <c r="J638" s="26"/>
      <c r="K638" s="26"/>
      <c r="L638" s="26"/>
      <c r="M638" s="26"/>
      <c r="N638" s="148"/>
      <c r="O638" s="26"/>
      <c r="P638" s="26"/>
      <c r="Q638" s="26"/>
    </row>
    <row r="639" spans="1:17" x14ac:dyDescent="0.35">
      <c r="A639" s="26"/>
      <c r="B639" s="35"/>
      <c r="C639" s="26"/>
      <c r="D639" s="26"/>
      <c r="E639" s="44"/>
      <c r="F639" s="26"/>
      <c r="G639" s="26"/>
      <c r="H639" s="147"/>
      <c r="I639" s="26"/>
      <c r="J639" s="26"/>
      <c r="K639" s="26"/>
      <c r="L639" s="26"/>
      <c r="M639" s="26"/>
      <c r="N639" s="148"/>
      <c r="O639" s="26"/>
      <c r="P639" s="26"/>
      <c r="Q639" s="26"/>
    </row>
    <row r="640" spans="1:17" x14ac:dyDescent="0.35">
      <c r="A640" s="26"/>
      <c r="B640" s="35"/>
      <c r="C640" s="26"/>
      <c r="D640" s="26"/>
      <c r="E640" s="44"/>
      <c r="F640" s="26"/>
      <c r="G640" s="26"/>
      <c r="H640" s="147"/>
      <c r="I640" s="26"/>
      <c r="J640" s="26"/>
      <c r="K640" s="26"/>
      <c r="L640" s="26"/>
      <c r="M640" s="26"/>
      <c r="N640" s="148"/>
      <c r="O640" s="26"/>
      <c r="P640" s="26"/>
      <c r="Q640" s="26"/>
    </row>
    <row r="641" spans="1:17" x14ac:dyDescent="0.35">
      <c r="A641" s="26"/>
      <c r="B641" s="35"/>
      <c r="C641" s="26"/>
      <c r="D641" s="26"/>
      <c r="E641" s="44"/>
      <c r="F641" s="26"/>
      <c r="G641" s="26"/>
      <c r="H641" s="147"/>
      <c r="I641" s="26"/>
      <c r="J641" s="26"/>
      <c r="K641" s="26"/>
      <c r="L641" s="26"/>
      <c r="M641" s="26"/>
      <c r="N641" s="148"/>
      <c r="O641" s="26"/>
      <c r="P641" s="26"/>
      <c r="Q641" s="26"/>
    </row>
    <row r="642" spans="1:17" x14ac:dyDescent="0.35">
      <c r="A642" s="26"/>
      <c r="B642" s="35"/>
      <c r="C642" s="26"/>
      <c r="D642" s="26"/>
      <c r="E642" s="44"/>
      <c r="F642" s="26"/>
      <c r="G642" s="26"/>
      <c r="H642" s="147"/>
      <c r="I642" s="26"/>
      <c r="J642" s="26"/>
      <c r="K642" s="26"/>
      <c r="L642" s="26"/>
      <c r="M642" s="26"/>
      <c r="N642" s="148"/>
      <c r="O642" s="26"/>
      <c r="P642" s="26"/>
      <c r="Q642" s="26"/>
    </row>
    <row r="643" spans="1:17" x14ac:dyDescent="0.35">
      <c r="A643" s="26"/>
      <c r="B643" s="35"/>
      <c r="C643" s="26"/>
      <c r="D643" s="26"/>
      <c r="E643" s="44"/>
      <c r="F643" s="26"/>
      <c r="G643" s="26"/>
      <c r="H643" s="147"/>
      <c r="I643" s="26"/>
      <c r="J643" s="26"/>
      <c r="K643" s="26"/>
      <c r="L643" s="26"/>
      <c r="M643" s="26"/>
      <c r="N643" s="148"/>
      <c r="O643" s="26"/>
      <c r="P643" s="26"/>
      <c r="Q643" s="26"/>
    </row>
    <row r="644" spans="1:17" x14ac:dyDescent="0.35">
      <c r="A644" s="26"/>
      <c r="B644" s="35"/>
      <c r="C644" s="26"/>
      <c r="D644" s="26"/>
      <c r="E644" s="44"/>
      <c r="F644" s="26"/>
      <c r="G644" s="26"/>
      <c r="H644" s="147"/>
      <c r="I644" s="26"/>
      <c r="J644" s="26"/>
      <c r="K644" s="26"/>
      <c r="L644" s="26"/>
      <c r="M644" s="26"/>
      <c r="N644" s="148"/>
      <c r="O644" s="26"/>
      <c r="P644" s="26"/>
      <c r="Q644" s="26"/>
    </row>
    <row r="645" spans="1:17" x14ac:dyDescent="0.35">
      <c r="A645" s="26"/>
      <c r="B645" s="35"/>
      <c r="C645" s="26"/>
      <c r="D645" s="26"/>
      <c r="E645" s="44"/>
      <c r="F645" s="26"/>
      <c r="G645" s="26"/>
      <c r="H645" s="147"/>
      <c r="I645" s="26"/>
      <c r="J645" s="26"/>
      <c r="K645" s="26"/>
      <c r="L645" s="26"/>
      <c r="M645" s="26"/>
      <c r="N645" s="148"/>
      <c r="O645" s="26"/>
      <c r="P645" s="26"/>
      <c r="Q645" s="26"/>
    </row>
    <row r="646" spans="1:17" x14ac:dyDescent="0.35">
      <c r="A646" s="26"/>
      <c r="B646" s="35"/>
      <c r="C646" s="26"/>
      <c r="D646" s="26"/>
      <c r="E646" s="44"/>
      <c r="F646" s="26"/>
      <c r="G646" s="26"/>
      <c r="H646" s="147"/>
      <c r="I646" s="26"/>
      <c r="J646" s="26"/>
      <c r="K646" s="26"/>
      <c r="L646" s="26"/>
      <c r="M646" s="26"/>
      <c r="N646" s="148"/>
      <c r="O646" s="26"/>
      <c r="P646" s="26"/>
      <c r="Q646" s="26"/>
    </row>
    <row r="647" spans="1:17" x14ac:dyDescent="0.35">
      <c r="A647" s="26"/>
      <c r="B647" s="35"/>
      <c r="C647" s="26"/>
      <c r="D647" s="26"/>
      <c r="E647" s="44"/>
      <c r="F647" s="26"/>
      <c r="G647" s="26"/>
      <c r="H647" s="147"/>
      <c r="I647" s="26"/>
      <c r="J647" s="26"/>
      <c r="K647" s="26"/>
      <c r="L647" s="26"/>
      <c r="M647" s="26"/>
      <c r="N647" s="148"/>
      <c r="O647" s="26"/>
      <c r="P647" s="26"/>
      <c r="Q647" s="26"/>
    </row>
    <row r="648" spans="1:17" x14ac:dyDescent="0.35">
      <c r="A648" s="26"/>
      <c r="B648" s="35"/>
      <c r="C648" s="26"/>
      <c r="D648" s="26"/>
      <c r="E648" s="44"/>
      <c r="F648" s="26"/>
      <c r="G648" s="26"/>
      <c r="H648" s="147"/>
      <c r="I648" s="26"/>
      <c r="J648" s="26"/>
      <c r="K648" s="26"/>
      <c r="L648" s="26"/>
      <c r="M648" s="26"/>
      <c r="N648" s="148"/>
      <c r="O648" s="26"/>
      <c r="P648" s="26"/>
      <c r="Q648" s="26"/>
    </row>
    <row r="649" spans="1:17" x14ac:dyDescent="0.35">
      <c r="A649" s="26"/>
      <c r="B649" s="35"/>
      <c r="C649" s="26"/>
      <c r="D649" s="26"/>
      <c r="E649" s="44"/>
      <c r="F649" s="26"/>
      <c r="G649" s="26"/>
      <c r="H649" s="147"/>
      <c r="I649" s="26"/>
      <c r="J649" s="26"/>
      <c r="K649" s="26"/>
      <c r="L649" s="26"/>
      <c r="M649" s="26"/>
      <c r="N649" s="148"/>
      <c r="O649" s="26"/>
      <c r="P649" s="26"/>
      <c r="Q649" s="26"/>
    </row>
    <row r="650" spans="1:17" x14ac:dyDescent="0.35">
      <c r="A650" s="26"/>
      <c r="B650" s="35"/>
      <c r="C650" s="26"/>
      <c r="D650" s="26"/>
      <c r="E650" s="44"/>
      <c r="F650" s="26"/>
      <c r="G650" s="26"/>
      <c r="H650" s="147"/>
      <c r="I650" s="26"/>
      <c r="J650" s="26"/>
      <c r="K650" s="26"/>
      <c r="L650" s="26"/>
      <c r="M650" s="26"/>
      <c r="N650" s="148"/>
      <c r="O650" s="26"/>
      <c r="P650" s="26"/>
      <c r="Q650" s="26"/>
    </row>
    <row r="651" spans="1:17" x14ac:dyDescent="0.35">
      <c r="A651" s="26"/>
      <c r="B651" s="35"/>
      <c r="C651" s="26"/>
      <c r="D651" s="26"/>
      <c r="E651" s="44"/>
      <c r="F651" s="26"/>
      <c r="G651" s="26"/>
      <c r="H651" s="147"/>
      <c r="I651" s="26"/>
      <c r="J651" s="26"/>
      <c r="K651" s="26"/>
      <c r="L651" s="26"/>
      <c r="M651" s="26"/>
      <c r="N651" s="148"/>
      <c r="O651" s="26"/>
      <c r="P651" s="26"/>
      <c r="Q651" s="26"/>
    </row>
    <row r="652" spans="1:17" x14ac:dyDescent="0.35">
      <c r="A652" s="26"/>
      <c r="B652" s="35"/>
      <c r="C652" s="26"/>
      <c r="D652" s="26"/>
      <c r="E652" s="44"/>
      <c r="F652" s="26"/>
      <c r="G652" s="26"/>
      <c r="H652" s="147"/>
      <c r="I652" s="26"/>
      <c r="J652" s="26"/>
      <c r="K652" s="26"/>
      <c r="L652" s="26"/>
      <c r="M652" s="26"/>
      <c r="N652" s="148"/>
      <c r="O652" s="26"/>
      <c r="P652" s="26"/>
      <c r="Q652" s="26"/>
    </row>
    <row r="653" spans="1:17" x14ac:dyDescent="0.35">
      <c r="A653" s="26"/>
      <c r="B653" s="35"/>
      <c r="C653" s="26"/>
      <c r="D653" s="26"/>
      <c r="E653" s="44"/>
      <c r="F653" s="26"/>
      <c r="G653" s="26"/>
      <c r="H653" s="147"/>
      <c r="I653" s="26"/>
      <c r="J653" s="26"/>
      <c r="K653" s="26"/>
      <c r="L653" s="26"/>
      <c r="M653" s="26"/>
      <c r="N653" s="148"/>
      <c r="O653" s="26"/>
      <c r="P653" s="26"/>
      <c r="Q653" s="26"/>
    </row>
    <row r="654" spans="1:17" x14ac:dyDescent="0.35">
      <c r="A654" s="26"/>
      <c r="B654" s="35"/>
      <c r="C654" s="26"/>
      <c r="D654" s="26"/>
      <c r="E654" s="44"/>
      <c r="F654" s="26"/>
      <c r="G654" s="26"/>
      <c r="H654" s="147"/>
      <c r="I654" s="26"/>
      <c r="J654" s="26"/>
      <c r="K654" s="26"/>
      <c r="L654" s="26"/>
      <c r="M654" s="26"/>
      <c r="N654" s="148"/>
      <c r="O654" s="26"/>
      <c r="P654" s="26"/>
      <c r="Q654" s="26"/>
    </row>
    <row r="655" spans="1:17" x14ac:dyDescent="0.35">
      <c r="A655" s="26"/>
      <c r="B655" s="35"/>
      <c r="C655" s="26"/>
      <c r="D655" s="26"/>
      <c r="E655" s="44"/>
      <c r="F655" s="26"/>
      <c r="G655" s="26"/>
      <c r="H655" s="147"/>
      <c r="I655" s="26"/>
      <c r="J655" s="26"/>
      <c r="K655" s="26"/>
      <c r="L655" s="26"/>
      <c r="M655" s="26"/>
      <c r="N655" s="148"/>
      <c r="O655" s="26"/>
      <c r="P655" s="26"/>
      <c r="Q655" s="26"/>
    </row>
    <row r="656" spans="1:17" x14ac:dyDescent="0.35">
      <c r="A656" s="26"/>
      <c r="B656" s="35"/>
      <c r="C656" s="26"/>
      <c r="D656" s="26"/>
      <c r="E656" s="44"/>
      <c r="F656" s="26"/>
      <c r="G656" s="26"/>
      <c r="H656" s="147"/>
      <c r="I656" s="26"/>
      <c r="J656" s="26"/>
      <c r="K656" s="26"/>
      <c r="L656" s="26"/>
      <c r="M656" s="26"/>
      <c r="N656" s="148"/>
      <c r="O656" s="26"/>
      <c r="P656" s="26"/>
      <c r="Q656" s="26"/>
    </row>
    <row r="657" spans="1:17" x14ac:dyDescent="0.35">
      <c r="A657" s="26"/>
      <c r="B657" s="35"/>
      <c r="C657" s="26"/>
      <c r="D657" s="26"/>
      <c r="E657" s="44"/>
      <c r="F657" s="26"/>
      <c r="G657" s="26"/>
      <c r="H657" s="147"/>
      <c r="I657" s="26"/>
      <c r="J657" s="26"/>
      <c r="K657" s="26"/>
      <c r="L657" s="26"/>
      <c r="M657" s="26"/>
      <c r="N657" s="148"/>
      <c r="O657" s="26"/>
      <c r="P657" s="26"/>
      <c r="Q657" s="26"/>
    </row>
    <row r="658" spans="1:17" x14ac:dyDescent="0.35">
      <c r="A658" s="26"/>
      <c r="B658" s="35"/>
      <c r="C658" s="26"/>
      <c r="D658" s="26"/>
      <c r="E658" s="44"/>
      <c r="F658" s="26"/>
      <c r="G658" s="26"/>
      <c r="H658" s="147"/>
      <c r="I658" s="26"/>
      <c r="J658" s="26"/>
      <c r="K658" s="26"/>
      <c r="L658" s="26"/>
      <c r="M658" s="26"/>
      <c r="N658" s="148"/>
      <c r="O658" s="26"/>
      <c r="P658" s="26"/>
      <c r="Q658" s="26"/>
    </row>
    <row r="659" spans="1:17" x14ac:dyDescent="0.35">
      <c r="A659" s="26"/>
      <c r="B659" s="35"/>
      <c r="C659" s="26"/>
      <c r="D659" s="26"/>
      <c r="E659" s="44"/>
      <c r="F659" s="26"/>
      <c r="G659" s="26"/>
      <c r="H659" s="147"/>
      <c r="I659" s="26"/>
      <c r="J659" s="26"/>
      <c r="K659" s="26"/>
      <c r="L659" s="26"/>
      <c r="M659" s="26"/>
      <c r="N659" s="148"/>
      <c r="O659" s="26"/>
      <c r="P659" s="26"/>
      <c r="Q659" s="26"/>
    </row>
    <row r="660" spans="1:17" x14ac:dyDescent="0.35">
      <c r="A660" s="26"/>
      <c r="B660" s="35"/>
      <c r="C660" s="26"/>
      <c r="D660" s="26"/>
      <c r="E660" s="44"/>
      <c r="F660" s="26"/>
      <c r="G660" s="26"/>
      <c r="H660" s="147"/>
      <c r="I660" s="26"/>
      <c r="J660" s="26"/>
      <c r="K660" s="26"/>
      <c r="L660" s="26"/>
      <c r="M660" s="26"/>
      <c r="N660" s="148"/>
      <c r="O660" s="26"/>
      <c r="P660" s="26"/>
      <c r="Q660" s="26"/>
    </row>
    <row r="661" spans="1:17" x14ac:dyDescent="0.35">
      <c r="A661" s="26"/>
      <c r="B661" s="35"/>
      <c r="C661" s="26"/>
      <c r="D661" s="26"/>
      <c r="E661" s="44"/>
      <c r="F661" s="26"/>
      <c r="G661" s="26"/>
      <c r="H661" s="147"/>
      <c r="I661" s="26"/>
      <c r="J661" s="26"/>
      <c r="K661" s="26"/>
      <c r="L661" s="26"/>
      <c r="M661" s="26"/>
      <c r="N661" s="148"/>
      <c r="O661" s="26"/>
      <c r="P661" s="26"/>
      <c r="Q661" s="26"/>
    </row>
    <row r="662" spans="1:17" x14ac:dyDescent="0.35">
      <c r="A662" s="26"/>
      <c r="B662" s="35"/>
      <c r="C662" s="26"/>
      <c r="D662" s="26"/>
      <c r="E662" s="44"/>
      <c r="F662" s="26"/>
      <c r="G662" s="26"/>
      <c r="H662" s="147"/>
      <c r="I662" s="26"/>
      <c r="J662" s="26"/>
      <c r="K662" s="26"/>
      <c r="L662" s="26"/>
      <c r="M662" s="26"/>
      <c r="N662" s="148"/>
      <c r="O662" s="26"/>
      <c r="P662" s="26"/>
      <c r="Q662" s="26"/>
    </row>
    <row r="663" spans="1:17" x14ac:dyDescent="0.35">
      <c r="A663" s="26"/>
      <c r="B663" s="35"/>
      <c r="C663" s="26"/>
      <c r="D663" s="26"/>
      <c r="E663" s="44"/>
      <c r="F663" s="26"/>
      <c r="G663" s="26"/>
      <c r="H663" s="147"/>
      <c r="I663" s="26"/>
      <c r="J663" s="26"/>
      <c r="K663" s="26"/>
      <c r="L663" s="26"/>
      <c r="M663" s="26"/>
      <c r="N663" s="148"/>
      <c r="O663" s="26"/>
      <c r="P663" s="26"/>
      <c r="Q663" s="26"/>
    </row>
    <row r="664" spans="1:17" x14ac:dyDescent="0.35">
      <c r="A664" s="26"/>
      <c r="B664" s="35"/>
      <c r="C664" s="26"/>
      <c r="D664" s="26"/>
      <c r="E664" s="44"/>
      <c r="F664" s="26"/>
      <c r="G664" s="26"/>
      <c r="H664" s="147"/>
      <c r="I664" s="26"/>
      <c r="J664" s="26"/>
      <c r="K664" s="26"/>
      <c r="L664" s="26"/>
      <c r="M664" s="26"/>
      <c r="N664" s="148"/>
      <c r="O664" s="26"/>
      <c r="P664" s="26"/>
      <c r="Q664" s="26"/>
    </row>
    <row r="665" spans="1:17" x14ac:dyDescent="0.35">
      <c r="A665" s="26"/>
      <c r="B665" s="35"/>
      <c r="C665" s="26"/>
      <c r="D665" s="26"/>
      <c r="E665" s="44"/>
      <c r="F665" s="26"/>
      <c r="G665" s="26"/>
      <c r="H665" s="147"/>
      <c r="I665" s="26"/>
      <c r="J665" s="26"/>
      <c r="K665" s="26"/>
      <c r="L665" s="26"/>
      <c r="M665" s="26"/>
      <c r="N665" s="148"/>
      <c r="O665" s="26"/>
      <c r="P665" s="26"/>
      <c r="Q665" s="26"/>
    </row>
    <row r="666" spans="1:17" x14ac:dyDescent="0.35">
      <c r="A666" s="26"/>
      <c r="B666" s="35"/>
      <c r="C666" s="26"/>
      <c r="D666" s="26"/>
      <c r="E666" s="44"/>
      <c r="F666" s="26"/>
      <c r="G666" s="26"/>
      <c r="H666" s="147"/>
      <c r="I666" s="26"/>
      <c r="J666" s="26"/>
      <c r="K666" s="26"/>
      <c r="L666" s="26"/>
      <c r="M666" s="26"/>
      <c r="N666" s="148"/>
      <c r="O666" s="26"/>
      <c r="P666" s="26"/>
      <c r="Q666" s="26"/>
    </row>
    <row r="667" spans="1:17" x14ac:dyDescent="0.35">
      <c r="A667" s="26"/>
      <c r="B667" s="35"/>
      <c r="C667" s="26"/>
      <c r="D667" s="26"/>
      <c r="E667" s="44"/>
      <c r="F667" s="26"/>
      <c r="G667" s="26"/>
      <c r="H667" s="147"/>
      <c r="I667" s="26"/>
      <c r="J667" s="26"/>
      <c r="K667" s="26"/>
      <c r="L667" s="26"/>
      <c r="M667" s="26"/>
      <c r="N667" s="148"/>
      <c r="O667" s="26"/>
      <c r="P667" s="26"/>
      <c r="Q667" s="26"/>
    </row>
    <row r="668" spans="1:17" x14ac:dyDescent="0.35">
      <c r="A668" s="26"/>
      <c r="B668" s="35"/>
      <c r="C668" s="26"/>
      <c r="D668" s="26"/>
      <c r="E668" s="44"/>
      <c r="F668" s="26"/>
      <c r="G668" s="26"/>
      <c r="H668" s="147"/>
      <c r="I668" s="26"/>
      <c r="J668" s="26"/>
      <c r="K668" s="26"/>
      <c r="L668" s="26"/>
      <c r="M668" s="26"/>
      <c r="N668" s="148"/>
      <c r="O668" s="26"/>
      <c r="P668" s="26"/>
      <c r="Q668" s="26"/>
    </row>
    <row r="669" spans="1:17" x14ac:dyDescent="0.35">
      <c r="A669" s="26"/>
      <c r="B669" s="35"/>
      <c r="C669" s="26"/>
      <c r="D669" s="26"/>
      <c r="E669" s="44"/>
      <c r="F669" s="26"/>
      <c r="G669" s="26"/>
      <c r="H669" s="147"/>
      <c r="I669" s="26"/>
      <c r="J669" s="26"/>
      <c r="K669" s="26"/>
      <c r="L669" s="26"/>
      <c r="M669" s="26"/>
      <c r="N669" s="148"/>
      <c r="O669" s="26"/>
      <c r="P669" s="26"/>
      <c r="Q669" s="26"/>
    </row>
    <row r="670" spans="1:17" x14ac:dyDescent="0.35">
      <c r="A670" s="26"/>
      <c r="B670" s="35"/>
      <c r="C670" s="26"/>
      <c r="D670" s="26"/>
      <c r="E670" s="44"/>
      <c r="F670" s="26"/>
      <c r="G670" s="26"/>
      <c r="H670" s="147"/>
      <c r="I670" s="26"/>
      <c r="J670" s="26"/>
      <c r="K670" s="26"/>
      <c r="L670" s="26"/>
      <c r="M670" s="26"/>
      <c r="N670" s="148"/>
      <c r="O670" s="26"/>
      <c r="P670" s="26"/>
      <c r="Q670" s="26"/>
    </row>
    <row r="671" spans="1:17" x14ac:dyDescent="0.35">
      <c r="A671" s="26"/>
      <c r="B671" s="35"/>
      <c r="C671" s="26"/>
      <c r="D671" s="26"/>
      <c r="E671" s="44"/>
      <c r="F671" s="26"/>
      <c r="G671" s="26"/>
      <c r="H671" s="147"/>
      <c r="I671" s="26"/>
      <c r="J671" s="26"/>
      <c r="K671" s="26"/>
      <c r="L671" s="26"/>
      <c r="M671" s="26"/>
      <c r="N671" s="148"/>
      <c r="O671" s="26"/>
      <c r="P671" s="26"/>
      <c r="Q671" s="26"/>
    </row>
    <row r="672" spans="1:17" x14ac:dyDescent="0.35">
      <c r="A672" s="26"/>
      <c r="B672" s="35"/>
      <c r="C672" s="26"/>
      <c r="D672" s="26"/>
      <c r="E672" s="44"/>
      <c r="F672" s="26"/>
      <c r="G672" s="26"/>
      <c r="H672" s="147"/>
      <c r="I672" s="26"/>
      <c r="J672" s="26"/>
      <c r="K672" s="26"/>
      <c r="L672" s="26"/>
      <c r="M672" s="26"/>
      <c r="N672" s="148"/>
      <c r="O672" s="26"/>
      <c r="P672" s="26"/>
      <c r="Q672" s="26"/>
    </row>
    <row r="673" spans="1:17" x14ac:dyDescent="0.35">
      <c r="A673" s="26"/>
      <c r="B673" s="35"/>
      <c r="C673" s="26"/>
      <c r="D673" s="26"/>
      <c r="E673" s="44"/>
      <c r="F673" s="26"/>
      <c r="G673" s="26"/>
      <c r="H673" s="147"/>
      <c r="I673" s="26"/>
      <c r="J673" s="26"/>
      <c r="K673" s="26"/>
      <c r="L673" s="26"/>
      <c r="M673" s="26"/>
      <c r="N673" s="148"/>
      <c r="O673" s="26"/>
      <c r="P673" s="26"/>
      <c r="Q673" s="26"/>
    </row>
    <row r="674" spans="1:17" x14ac:dyDescent="0.35">
      <c r="A674" s="26"/>
      <c r="B674" s="35"/>
      <c r="C674" s="26"/>
      <c r="D674" s="26"/>
      <c r="E674" s="44"/>
      <c r="F674" s="26"/>
      <c r="G674" s="26"/>
      <c r="H674" s="147"/>
      <c r="I674" s="26"/>
      <c r="J674" s="26"/>
      <c r="K674" s="26"/>
      <c r="L674" s="26"/>
      <c r="M674" s="26"/>
      <c r="N674" s="148"/>
      <c r="O674" s="26"/>
      <c r="P674" s="26"/>
      <c r="Q674" s="26"/>
    </row>
    <row r="675" spans="1:17" x14ac:dyDescent="0.35">
      <c r="A675" s="26"/>
      <c r="B675" s="35"/>
      <c r="C675" s="26"/>
      <c r="D675" s="26"/>
      <c r="E675" s="44"/>
      <c r="F675" s="26"/>
      <c r="G675" s="26"/>
      <c r="H675" s="147"/>
      <c r="I675" s="26"/>
      <c r="J675" s="26"/>
      <c r="K675" s="26"/>
      <c r="L675" s="26"/>
      <c r="M675" s="26"/>
      <c r="N675" s="148"/>
      <c r="O675" s="26"/>
      <c r="P675" s="26"/>
      <c r="Q675" s="26"/>
    </row>
    <row r="676" spans="1:17" x14ac:dyDescent="0.35">
      <c r="A676" s="26"/>
      <c r="B676" s="35"/>
      <c r="C676" s="26"/>
      <c r="D676" s="26"/>
      <c r="E676" s="44"/>
      <c r="F676" s="26"/>
      <c r="G676" s="26"/>
      <c r="H676" s="147"/>
      <c r="I676" s="26"/>
      <c r="J676" s="26"/>
      <c r="K676" s="26"/>
      <c r="L676" s="26"/>
      <c r="M676" s="26"/>
      <c r="N676" s="148"/>
      <c r="O676" s="26"/>
      <c r="P676" s="26"/>
      <c r="Q676" s="26"/>
    </row>
    <row r="677" spans="1:17" x14ac:dyDescent="0.35">
      <c r="A677" s="26"/>
      <c r="B677" s="35"/>
      <c r="C677" s="26"/>
      <c r="D677" s="26"/>
      <c r="E677" s="44"/>
      <c r="F677" s="26"/>
      <c r="G677" s="26"/>
      <c r="H677" s="147"/>
      <c r="I677" s="26"/>
      <c r="J677" s="26"/>
      <c r="K677" s="26"/>
      <c r="L677" s="26"/>
      <c r="M677" s="26"/>
      <c r="N677" s="148"/>
      <c r="O677" s="26"/>
      <c r="P677" s="26"/>
      <c r="Q677" s="26"/>
    </row>
    <row r="678" spans="1:17" x14ac:dyDescent="0.35">
      <c r="A678" s="26"/>
      <c r="B678" s="35"/>
      <c r="C678" s="26"/>
      <c r="D678" s="26"/>
      <c r="E678" s="44"/>
      <c r="F678" s="26"/>
      <c r="G678" s="26"/>
      <c r="H678" s="147"/>
      <c r="I678" s="26"/>
      <c r="J678" s="26"/>
      <c r="K678" s="26"/>
      <c r="L678" s="26"/>
      <c r="M678" s="26"/>
      <c r="N678" s="148"/>
      <c r="O678" s="26"/>
      <c r="P678" s="26"/>
      <c r="Q678" s="26"/>
    </row>
    <row r="679" spans="1:17" x14ac:dyDescent="0.35">
      <c r="A679" s="26"/>
      <c r="B679" s="35"/>
      <c r="C679" s="26"/>
      <c r="D679" s="26"/>
      <c r="E679" s="44"/>
      <c r="F679" s="26"/>
      <c r="G679" s="26"/>
      <c r="H679" s="147"/>
      <c r="I679" s="26"/>
      <c r="J679" s="26"/>
      <c r="K679" s="26"/>
      <c r="L679" s="26"/>
      <c r="M679" s="26"/>
      <c r="N679" s="148"/>
      <c r="O679" s="26"/>
      <c r="P679" s="26"/>
      <c r="Q679" s="26"/>
    </row>
    <row r="680" spans="1:17" x14ac:dyDescent="0.35">
      <c r="A680" s="26"/>
      <c r="B680" s="35"/>
      <c r="C680" s="26"/>
      <c r="D680" s="26"/>
      <c r="E680" s="44"/>
      <c r="F680" s="26"/>
      <c r="G680" s="26"/>
      <c r="H680" s="147"/>
      <c r="I680" s="26"/>
      <c r="J680" s="26"/>
      <c r="K680" s="26"/>
      <c r="L680" s="26"/>
      <c r="M680" s="26"/>
      <c r="N680" s="148"/>
      <c r="O680" s="26"/>
      <c r="P680" s="26"/>
      <c r="Q680" s="26"/>
    </row>
    <row r="681" spans="1:17" x14ac:dyDescent="0.35">
      <c r="A681" s="26"/>
      <c r="B681" s="35"/>
      <c r="C681" s="26"/>
      <c r="D681" s="26"/>
      <c r="E681" s="44"/>
      <c r="F681" s="26"/>
      <c r="G681" s="26"/>
      <c r="H681" s="147"/>
      <c r="I681" s="26"/>
      <c r="J681" s="26"/>
      <c r="K681" s="26"/>
      <c r="L681" s="26"/>
      <c r="M681" s="26"/>
      <c r="N681" s="148"/>
      <c r="O681" s="26"/>
      <c r="P681" s="26"/>
      <c r="Q681" s="26"/>
    </row>
    <row r="682" spans="1:17" x14ac:dyDescent="0.35">
      <c r="A682" s="26"/>
      <c r="B682" s="35"/>
      <c r="C682" s="26"/>
      <c r="D682" s="26"/>
      <c r="E682" s="44"/>
      <c r="F682" s="26"/>
      <c r="G682" s="26"/>
      <c r="H682" s="147"/>
      <c r="I682" s="26"/>
      <c r="J682" s="26"/>
      <c r="K682" s="26"/>
      <c r="L682" s="26"/>
      <c r="M682" s="26"/>
      <c r="N682" s="148"/>
      <c r="O682" s="26"/>
      <c r="P682" s="26"/>
      <c r="Q682" s="26"/>
    </row>
    <row r="683" spans="1:17" x14ac:dyDescent="0.35">
      <c r="A683" s="26"/>
      <c r="B683" s="35"/>
      <c r="C683" s="26"/>
      <c r="D683" s="26"/>
      <c r="E683" s="44"/>
      <c r="F683" s="26"/>
      <c r="G683" s="26"/>
      <c r="H683" s="147"/>
      <c r="I683" s="26"/>
      <c r="J683" s="26"/>
      <c r="K683" s="26"/>
      <c r="L683" s="26"/>
      <c r="M683" s="26"/>
      <c r="N683" s="148"/>
      <c r="O683" s="26"/>
      <c r="P683" s="26"/>
      <c r="Q683" s="26"/>
    </row>
    <row r="684" spans="1:17" x14ac:dyDescent="0.35">
      <c r="A684" s="26"/>
      <c r="B684" s="35"/>
      <c r="C684" s="26"/>
      <c r="D684" s="26"/>
      <c r="E684" s="44"/>
      <c r="F684" s="26"/>
      <c r="G684" s="26"/>
      <c r="H684" s="147"/>
      <c r="I684" s="26"/>
      <c r="J684" s="26"/>
      <c r="K684" s="26"/>
      <c r="L684" s="26"/>
      <c r="M684" s="26"/>
      <c r="N684" s="148"/>
      <c r="O684" s="26"/>
      <c r="P684" s="26"/>
      <c r="Q684" s="26"/>
    </row>
    <row r="685" spans="1:17" x14ac:dyDescent="0.35">
      <c r="A685" s="26"/>
      <c r="B685" s="35"/>
      <c r="C685" s="26"/>
      <c r="D685" s="26"/>
      <c r="E685" s="44"/>
      <c r="F685" s="26"/>
      <c r="G685" s="26"/>
      <c r="H685" s="147"/>
      <c r="I685" s="26"/>
      <c r="J685" s="26"/>
      <c r="K685" s="26"/>
      <c r="L685" s="26"/>
      <c r="M685" s="26"/>
      <c r="N685" s="148"/>
      <c r="O685" s="26"/>
      <c r="P685" s="26"/>
      <c r="Q685" s="26"/>
    </row>
    <row r="686" spans="1:17" x14ac:dyDescent="0.35">
      <c r="A686" s="26"/>
      <c r="B686" s="35"/>
      <c r="C686" s="26"/>
      <c r="D686" s="26"/>
      <c r="E686" s="44"/>
      <c r="F686" s="26"/>
      <c r="G686" s="26"/>
      <c r="H686" s="147"/>
      <c r="I686" s="26"/>
      <c r="J686" s="26"/>
      <c r="K686" s="26"/>
      <c r="L686" s="26"/>
      <c r="M686" s="26"/>
      <c r="N686" s="148"/>
      <c r="O686" s="26"/>
      <c r="P686" s="26"/>
      <c r="Q686" s="26"/>
    </row>
    <row r="687" spans="1:17" x14ac:dyDescent="0.35">
      <c r="A687" s="26"/>
      <c r="B687" s="35"/>
      <c r="C687" s="26"/>
      <c r="D687" s="26"/>
      <c r="E687" s="44"/>
      <c r="F687" s="26"/>
      <c r="G687" s="26"/>
      <c r="H687" s="147"/>
      <c r="I687" s="26"/>
      <c r="J687" s="26"/>
      <c r="K687" s="26"/>
      <c r="L687" s="26"/>
      <c r="M687" s="26"/>
      <c r="N687" s="148"/>
      <c r="O687" s="26"/>
      <c r="P687" s="26"/>
      <c r="Q687" s="26"/>
    </row>
    <row r="688" spans="1:17" x14ac:dyDescent="0.35">
      <c r="A688" s="26"/>
      <c r="B688" s="35"/>
      <c r="C688" s="26"/>
      <c r="D688" s="26"/>
      <c r="E688" s="44"/>
      <c r="F688" s="26"/>
      <c r="G688" s="26"/>
      <c r="H688" s="147"/>
      <c r="I688" s="26"/>
      <c r="J688" s="26"/>
      <c r="K688" s="26"/>
      <c r="L688" s="26"/>
      <c r="M688" s="26"/>
      <c r="N688" s="148"/>
      <c r="O688" s="26"/>
      <c r="P688" s="26"/>
      <c r="Q688" s="26"/>
    </row>
    <row r="689" spans="1:17" x14ac:dyDescent="0.35">
      <c r="A689" s="26"/>
      <c r="B689" s="35"/>
      <c r="C689" s="26"/>
      <c r="D689" s="26"/>
      <c r="E689" s="44"/>
      <c r="F689" s="26"/>
      <c r="G689" s="26"/>
      <c r="H689" s="147"/>
      <c r="I689" s="26"/>
      <c r="J689" s="26"/>
      <c r="K689" s="26"/>
      <c r="L689" s="26"/>
      <c r="M689" s="26"/>
      <c r="N689" s="148"/>
      <c r="O689" s="26"/>
      <c r="P689" s="26"/>
      <c r="Q689" s="26"/>
    </row>
    <row r="690" spans="1:17" x14ac:dyDescent="0.35">
      <c r="A690" s="26"/>
      <c r="B690" s="35"/>
      <c r="C690" s="26"/>
      <c r="D690" s="26"/>
      <c r="E690" s="44"/>
      <c r="F690" s="26"/>
      <c r="G690" s="26"/>
      <c r="H690" s="147"/>
      <c r="I690" s="26"/>
      <c r="J690" s="26"/>
      <c r="K690" s="26"/>
      <c r="L690" s="26"/>
      <c r="M690" s="26"/>
      <c r="N690" s="148"/>
      <c r="O690" s="26"/>
      <c r="P690" s="26"/>
      <c r="Q690" s="26"/>
    </row>
    <row r="691" spans="1:17" x14ac:dyDescent="0.35">
      <c r="A691" s="26"/>
      <c r="B691" s="35"/>
      <c r="C691" s="26"/>
      <c r="D691" s="26"/>
      <c r="E691" s="44"/>
      <c r="F691" s="26"/>
      <c r="G691" s="26"/>
      <c r="H691" s="147"/>
      <c r="I691" s="26"/>
      <c r="J691" s="26"/>
      <c r="K691" s="26"/>
      <c r="L691" s="26"/>
      <c r="M691" s="26"/>
      <c r="N691" s="148"/>
      <c r="O691" s="26"/>
      <c r="P691" s="26"/>
      <c r="Q691" s="26"/>
    </row>
    <row r="692" spans="1:17" x14ac:dyDescent="0.35">
      <c r="A692" s="26"/>
      <c r="B692" s="35"/>
      <c r="C692" s="26"/>
      <c r="D692" s="26"/>
      <c r="E692" s="44"/>
      <c r="F692" s="26"/>
      <c r="G692" s="26"/>
      <c r="H692" s="147"/>
      <c r="I692" s="26"/>
      <c r="J692" s="26"/>
      <c r="K692" s="26"/>
      <c r="L692" s="26"/>
      <c r="M692" s="26"/>
      <c r="N692" s="148"/>
      <c r="O692" s="26"/>
      <c r="P692" s="26"/>
      <c r="Q692" s="26"/>
    </row>
    <row r="693" spans="1:17" x14ac:dyDescent="0.35">
      <c r="A693" s="26"/>
      <c r="B693" s="35"/>
      <c r="C693" s="26"/>
      <c r="D693" s="26"/>
      <c r="E693" s="44"/>
      <c r="F693" s="26"/>
      <c r="G693" s="26"/>
      <c r="H693" s="147"/>
      <c r="I693" s="26"/>
      <c r="J693" s="26"/>
      <c r="K693" s="26"/>
      <c r="L693" s="26"/>
      <c r="M693" s="26"/>
      <c r="N693" s="148"/>
      <c r="O693" s="26"/>
      <c r="P693" s="26"/>
      <c r="Q693" s="26"/>
    </row>
    <row r="694" spans="1:17" x14ac:dyDescent="0.35">
      <c r="A694" s="26"/>
      <c r="B694" s="35"/>
      <c r="C694" s="26"/>
      <c r="D694" s="26"/>
      <c r="E694" s="44"/>
      <c r="F694" s="26"/>
      <c r="G694" s="26"/>
      <c r="H694" s="147"/>
      <c r="I694" s="26"/>
      <c r="J694" s="26"/>
      <c r="K694" s="26"/>
      <c r="L694" s="26"/>
      <c r="M694" s="26"/>
      <c r="N694" s="148"/>
      <c r="O694" s="26"/>
      <c r="P694" s="26"/>
      <c r="Q694" s="26"/>
    </row>
    <row r="695" spans="1:17" x14ac:dyDescent="0.35">
      <c r="A695" s="26"/>
      <c r="B695" s="35"/>
      <c r="C695" s="26"/>
      <c r="D695" s="26"/>
      <c r="E695" s="44"/>
      <c r="F695" s="26"/>
      <c r="G695" s="26"/>
      <c r="H695" s="147"/>
      <c r="I695" s="26"/>
      <c r="J695" s="26"/>
      <c r="K695" s="26"/>
      <c r="L695" s="26"/>
      <c r="M695" s="26"/>
      <c r="N695" s="148"/>
      <c r="O695" s="26"/>
      <c r="P695" s="26"/>
      <c r="Q695" s="26"/>
    </row>
    <row r="696" spans="1:17" x14ac:dyDescent="0.35">
      <c r="A696" s="26"/>
      <c r="B696" s="35"/>
      <c r="C696" s="26"/>
      <c r="D696" s="26"/>
      <c r="E696" s="44"/>
      <c r="F696" s="26"/>
      <c r="G696" s="26"/>
      <c r="H696" s="147"/>
      <c r="I696" s="26"/>
      <c r="J696" s="26"/>
      <c r="K696" s="26"/>
      <c r="L696" s="26"/>
      <c r="M696" s="26"/>
      <c r="N696" s="148"/>
      <c r="O696" s="26"/>
      <c r="P696" s="26"/>
      <c r="Q696" s="26"/>
    </row>
    <row r="697" spans="1:17" x14ac:dyDescent="0.35">
      <c r="A697" s="26"/>
      <c r="B697" s="35"/>
      <c r="C697" s="26"/>
      <c r="D697" s="26"/>
      <c r="E697" s="44"/>
      <c r="F697" s="26"/>
      <c r="G697" s="26"/>
      <c r="H697" s="147"/>
      <c r="I697" s="26"/>
      <c r="J697" s="26"/>
      <c r="K697" s="26"/>
      <c r="L697" s="26"/>
      <c r="M697" s="26"/>
      <c r="N697" s="148"/>
      <c r="O697" s="26"/>
      <c r="P697" s="26"/>
      <c r="Q697" s="26"/>
    </row>
    <row r="698" spans="1:17" x14ac:dyDescent="0.35">
      <c r="A698" s="26"/>
      <c r="B698" s="35"/>
      <c r="C698" s="26"/>
      <c r="D698" s="26"/>
      <c r="E698" s="44"/>
      <c r="F698" s="26"/>
      <c r="G698" s="26"/>
      <c r="H698" s="147"/>
      <c r="I698" s="26"/>
      <c r="J698" s="26"/>
      <c r="K698" s="26"/>
      <c r="L698" s="26"/>
      <c r="M698" s="26"/>
      <c r="N698" s="148"/>
      <c r="O698" s="26"/>
      <c r="P698" s="26"/>
      <c r="Q698" s="26"/>
    </row>
    <row r="699" spans="1:17" x14ac:dyDescent="0.35">
      <c r="A699" s="26"/>
      <c r="B699" s="35"/>
      <c r="C699" s="26"/>
      <c r="D699" s="26"/>
      <c r="E699" s="44"/>
      <c r="F699" s="26"/>
      <c r="G699" s="26"/>
      <c r="H699" s="147"/>
      <c r="I699" s="26"/>
      <c r="J699" s="26"/>
      <c r="K699" s="26"/>
      <c r="L699" s="26"/>
      <c r="M699" s="26"/>
      <c r="N699" s="148"/>
      <c r="O699" s="26"/>
      <c r="P699" s="26"/>
      <c r="Q699" s="26"/>
    </row>
    <row r="700" spans="1:17" x14ac:dyDescent="0.35">
      <c r="A700" s="26"/>
      <c r="B700" s="35"/>
      <c r="C700" s="26"/>
      <c r="D700" s="26"/>
      <c r="E700" s="44"/>
      <c r="F700" s="26"/>
      <c r="G700" s="26"/>
      <c r="H700" s="147"/>
      <c r="I700" s="26"/>
      <c r="J700" s="26"/>
      <c r="K700" s="26"/>
      <c r="L700" s="26"/>
      <c r="M700" s="26"/>
      <c r="N700" s="148"/>
      <c r="O700" s="26"/>
      <c r="P700" s="26"/>
      <c r="Q700" s="26"/>
    </row>
    <row r="701" spans="1:17" x14ac:dyDescent="0.35">
      <c r="A701" s="26"/>
      <c r="B701" s="35"/>
      <c r="C701" s="26"/>
      <c r="D701" s="26"/>
      <c r="E701" s="44"/>
      <c r="F701" s="26"/>
      <c r="G701" s="26"/>
      <c r="H701" s="147"/>
      <c r="I701" s="26"/>
      <c r="J701" s="26"/>
      <c r="K701" s="26"/>
      <c r="L701" s="26"/>
      <c r="M701" s="26"/>
      <c r="N701" s="148"/>
      <c r="O701" s="26"/>
      <c r="P701" s="26"/>
      <c r="Q701" s="26"/>
    </row>
    <row r="702" spans="1:17" x14ac:dyDescent="0.35">
      <c r="A702" s="26"/>
      <c r="B702" s="35"/>
      <c r="C702" s="26"/>
      <c r="D702" s="26"/>
      <c r="E702" s="44"/>
      <c r="F702" s="26"/>
      <c r="G702" s="26"/>
      <c r="H702" s="147"/>
      <c r="I702" s="26"/>
      <c r="J702" s="26"/>
      <c r="K702" s="26"/>
      <c r="L702" s="26"/>
      <c r="M702" s="26"/>
      <c r="N702" s="148"/>
      <c r="O702" s="26"/>
      <c r="P702" s="26"/>
      <c r="Q702" s="26"/>
    </row>
    <row r="703" spans="1:17" x14ac:dyDescent="0.35">
      <c r="A703" s="26"/>
      <c r="B703" s="35"/>
      <c r="C703" s="26"/>
      <c r="D703" s="26"/>
      <c r="E703" s="44"/>
      <c r="F703" s="26"/>
      <c r="G703" s="26"/>
      <c r="H703" s="147"/>
      <c r="I703" s="26"/>
      <c r="J703" s="26"/>
      <c r="K703" s="26"/>
      <c r="L703" s="26"/>
      <c r="M703" s="26"/>
      <c r="N703" s="148"/>
      <c r="O703" s="26"/>
      <c r="P703" s="26"/>
      <c r="Q703" s="26"/>
    </row>
    <row r="704" spans="1:17" x14ac:dyDescent="0.35">
      <c r="A704" s="26"/>
      <c r="B704" s="35"/>
      <c r="C704" s="26"/>
      <c r="D704" s="26"/>
      <c r="E704" s="44"/>
      <c r="F704" s="26"/>
      <c r="G704" s="26"/>
      <c r="H704" s="147"/>
      <c r="I704" s="26"/>
      <c r="J704" s="26"/>
      <c r="K704" s="26"/>
      <c r="L704" s="26"/>
      <c r="M704" s="26"/>
      <c r="N704" s="148"/>
      <c r="O704" s="26"/>
      <c r="P704" s="26"/>
      <c r="Q704" s="26"/>
    </row>
    <row r="705" spans="1:17" x14ac:dyDescent="0.35">
      <c r="A705" s="26"/>
      <c r="B705" s="35"/>
      <c r="C705" s="26"/>
      <c r="D705" s="26"/>
      <c r="E705" s="44"/>
      <c r="F705" s="26"/>
      <c r="G705" s="26"/>
      <c r="H705" s="147"/>
      <c r="I705" s="26"/>
      <c r="J705" s="26"/>
      <c r="K705" s="26"/>
      <c r="L705" s="26"/>
      <c r="M705" s="26"/>
      <c r="N705" s="148"/>
      <c r="O705" s="26"/>
      <c r="P705" s="26"/>
      <c r="Q705" s="26"/>
    </row>
    <row r="706" spans="1:17" x14ac:dyDescent="0.35">
      <c r="A706" s="26"/>
      <c r="B706" s="35"/>
      <c r="C706" s="26"/>
      <c r="D706" s="26"/>
      <c r="E706" s="44"/>
      <c r="F706" s="26"/>
      <c r="G706" s="26"/>
      <c r="H706" s="147"/>
      <c r="I706" s="26"/>
      <c r="J706" s="26"/>
      <c r="K706" s="26"/>
      <c r="L706" s="26"/>
      <c r="M706" s="26"/>
      <c r="N706" s="148"/>
      <c r="O706" s="26"/>
      <c r="P706" s="26"/>
      <c r="Q706" s="26"/>
    </row>
    <row r="707" spans="1:17" x14ac:dyDescent="0.35">
      <c r="A707" s="26"/>
      <c r="B707" s="35"/>
      <c r="C707" s="26"/>
      <c r="D707" s="26"/>
      <c r="E707" s="44"/>
      <c r="F707" s="26"/>
      <c r="G707" s="26"/>
      <c r="H707" s="147"/>
      <c r="I707" s="26"/>
      <c r="J707" s="26"/>
      <c r="K707" s="26"/>
      <c r="L707" s="26"/>
      <c r="M707" s="26"/>
      <c r="N707" s="148"/>
      <c r="O707" s="26"/>
      <c r="P707" s="26"/>
      <c r="Q707" s="26"/>
    </row>
    <row r="708" spans="1:17" x14ac:dyDescent="0.35">
      <c r="A708" s="26"/>
      <c r="B708" s="35"/>
      <c r="C708" s="26"/>
      <c r="D708" s="26"/>
      <c r="E708" s="44"/>
      <c r="F708" s="26"/>
      <c r="G708" s="26"/>
      <c r="H708" s="147"/>
      <c r="I708" s="26"/>
      <c r="J708" s="26"/>
      <c r="K708" s="26"/>
      <c r="L708" s="26"/>
      <c r="M708" s="26"/>
      <c r="N708" s="148"/>
      <c r="O708" s="26"/>
      <c r="P708" s="26"/>
      <c r="Q708" s="26"/>
    </row>
    <row r="709" spans="1:17" x14ac:dyDescent="0.35">
      <c r="A709" s="26"/>
      <c r="B709" s="35"/>
      <c r="C709" s="26"/>
      <c r="D709" s="26"/>
      <c r="E709" s="44"/>
      <c r="F709" s="26"/>
      <c r="G709" s="26"/>
      <c r="H709" s="147"/>
      <c r="I709" s="26"/>
      <c r="J709" s="26"/>
      <c r="K709" s="26"/>
      <c r="L709" s="26"/>
      <c r="M709" s="26"/>
      <c r="N709" s="148"/>
      <c r="O709" s="26"/>
      <c r="P709" s="26"/>
      <c r="Q709" s="26"/>
    </row>
    <row r="710" spans="1:17" x14ac:dyDescent="0.35">
      <c r="A710" s="26"/>
      <c r="B710" s="35"/>
      <c r="C710" s="26"/>
      <c r="D710" s="26"/>
      <c r="E710" s="44"/>
      <c r="F710" s="26"/>
      <c r="G710" s="26"/>
      <c r="H710" s="147"/>
      <c r="I710" s="26"/>
      <c r="J710" s="26"/>
      <c r="K710" s="26"/>
      <c r="L710" s="26"/>
      <c r="M710" s="26"/>
      <c r="N710" s="148"/>
      <c r="O710" s="26"/>
      <c r="P710" s="26"/>
      <c r="Q710" s="26"/>
    </row>
    <row r="711" spans="1:17" x14ac:dyDescent="0.35">
      <c r="A711" s="26"/>
      <c r="B711" s="35"/>
      <c r="C711" s="26"/>
      <c r="D711" s="26"/>
      <c r="E711" s="44"/>
      <c r="F711" s="26"/>
      <c r="G711" s="26"/>
      <c r="H711" s="147"/>
      <c r="I711" s="26"/>
      <c r="J711" s="26"/>
      <c r="K711" s="26"/>
      <c r="L711" s="26"/>
      <c r="M711" s="26"/>
      <c r="N711" s="148"/>
      <c r="O711" s="26"/>
      <c r="P711" s="26"/>
      <c r="Q711" s="26"/>
    </row>
    <row r="712" spans="1:17" x14ac:dyDescent="0.35">
      <c r="A712" s="26"/>
      <c r="B712" s="35"/>
      <c r="C712" s="26"/>
      <c r="D712" s="26"/>
      <c r="E712" s="44"/>
      <c r="F712" s="26"/>
      <c r="G712" s="26"/>
      <c r="H712" s="147"/>
      <c r="I712" s="26"/>
      <c r="J712" s="26"/>
      <c r="K712" s="26"/>
      <c r="L712" s="26"/>
      <c r="M712" s="26"/>
      <c r="N712" s="148"/>
      <c r="O712" s="26"/>
      <c r="P712" s="26"/>
      <c r="Q712" s="26"/>
    </row>
    <row r="713" spans="1:17" x14ac:dyDescent="0.35">
      <c r="A713" s="26"/>
      <c r="B713" s="35"/>
      <c r="C713" s="26"/>
      <c r="D713" s="26"/>
      <c r="E713" s="44"/>
      <c r="F713" s="26"/>
      <c r="G713" s="26"/>
      <c r="H713" s="147"/>
      <c r="I713" s="26"/>
      <c r="J713" s="26"/>
      <c r="K713" s="26"/>
      <c r="L713" s="26"/>
      <c r="M713" s="26"/>
      <c r="N713" s="148"/>
      <c r="O713" s="26"/>
      <c r="P713" s="26"/>
      <c r="Q713" s="26"/>
    </row>
    <row r="714" spans="1:17" x14ac:dyDescent="0.35">
      <c r="A714" s="26"/>
      <c r="B714" s="35"/>
      <c r="C714" s="26"/>
      <c r="D714" s="26"/>
      <c r="E714" s="44"/>
      <c r="F714" s="26"/>
      <c r="G714" s="26"/>
      <c r="H714" s="147"/>
      <c r="I714" s="26"/>
      <c r="J714" s="26"/>
      <c r="K714" s="26"/>
      <c r="L714" s="26"/>
      <c r="M714" s="26"/>
      <c r="N714" s="148"/>
      <c r="O714" s="26"/>
      <c r="P714" s="26"/>
      <c r="Q714" s="26"/>
    </row>
    <row r="715" spans="1:17" x14ac:dyDescent="0.35">
      <c r="A715" s="26"/>
      <c r="B715" s="35"/>
      <c r="C715" s="26"/>
      <c r="D715" s="26"/>
      <c r="E715" s="44"/>
      <c r="F715" s="26"/>
      <c r="G715" s="26"/>
      <c r="H715" s="147"/>
      <c r="I715" s="26"/>
      <c r="J715" s="26"/>
      <c r="K715" s="26"/>
      <c r="L715" s="26"/>
      <c r="M715" s="26"/>
      <c r="N715" s="148"/>
      <c r="O715" s="26"/>
      <c r="P715" s="26"/>
      <c r="Q715" s="26"/>
    </row>
    <row r="716" spans="1:17" x14ac:dyDescent="0.35">
      <c r="A716" s="26"/>
      <c r="B716" s="35"/>
      <c r="C716" s="26"/>
      <c r="D716" s="26"/>
      <c r="E716" s="44"/>
      <c r="F716" s="26"/>
      <c r="G716" s="26"/>
      <c r="H716" s="147"/>
      <c r="I716" s="26"/>
      <c r="J716" s="26"/>
      <c r="K716" s="26"/>
      <c r="L716" s="26"/>
      <c r="M716" s="26"/>
      <c r="N716" s="148"/>
      <c r="O716" s="26"/>
      <c r="P716" s="26"/>
      <c r="Q716" s="26"/>
    </row>
    <row r="717" spans="1:17" x14ac:dyDescent="0.35">
      <c r="A717" s="26"/>
      <c r="B717" s="35"/>
      <c r="C717" s="26"/>
      <c r="D717" s="26"/>
      <c r="E717" s="44"/>
      <c r="F717" s="26"/>
      <c r="G717" s="26"/>
      <c r="H717" s="147"/>
      <c r="I717" s="26"/>
      <c r="J717" s="26"/>
      <c r="K717" s="26"/>
      <c r="L717" s="26"/>
      <c r="M717" s="26"/>
      <c r="N717" s="148"/>
      <c r="O717" s="26"/>
      <c r="P717" s="26"/>
      <c r="Q717" s="26"/>
    </row>
    <row r="718" spans="1:17" x14ac:dyDescent="0.35">
      <c r="A718" s="26"/>
      <c r="B718" s="35"/>
      <c r="C718" s="26"/>
      <c r="D718" s="26"/>
      <c r="E718" s="44"/>
      <c r="F718" s="26"/>
      <c r="G718" s="26"/>
      <c r="H718" s="147"/>
      <c r="I718" s="26"/>
      <c r="J718" s="26"/>
      <c r="K718" s="26"/>
      <c r="L718" s="26"/>
      <c r="M718" s="26"/>
      <c r="N718" s="148"/>
      <c r="O718" s="26"/>
      <c r="P718" s="26"/>
      <c r="Q718" s="26"/>
    </row>
    <row r="719" spans="1:17" x14ac:dyDescent="0.35">
      <c r="A719" s="26"/>
      <c r="B719" s="35"/>
      <c r="C719" s="26"/>
      <c r="D719" s="26"/>
      <c r="E719" s="44"/>
      <c r="F719" s="26"/>
      <c r="G719" s="26"/>
      <c r="H719" s="147"/>
      <c r="I719" s="26"/>
      <c r="J719" s="26"/>
      <c r="K719" s="26"/>
      <c r="L719" s="26"/>
      <c r="M719" s="26"/>
      <c r="N719" s="148"/>
      <c r="O719" s="26"/>
      <c r="P719" s="26"/>
      <c r="Q719" s="26"/>
    </row>
    <row r="720" spans="1:17" x14ac:dyDescent="0.35">
      <c r="A720" s="26"/>
      <c r="B720" s="35"/>
      <c r="C720" s="26"/>
      <c r="D720" s="26"/>
      <c r="E720" s="44"/>
      <c r="F720" s="26"/>
      <c r="G720" s="26"/>
      <c r="H720" s="147"/>
      <c r="I720" s="26"/>
      <c r="J720" s="26"/>
      <c r="K720" s="26"/>
      <c r="L720" s="26"/>
      <c r="M720" s="26"/>
      <c r="N720" s="148"/>
      <c r="O720" s="26"/>
      <c r="P720" s="26"/>
      <c r="Q720" s="26"/>
    </row>
    <row r="721" spans="1:17" x14ac:dyDescent="0.35">
      <c r="A721" s="26"/>
      <c r="B721" s="35"/>
      <c r="C721" s="26"/>
      <c r="D721" s="26"/>
      <c r="E721" s="44"/>
      <c r="F721" s="26"/>
      <c r="G721" s="26"/>
      <c r="H721" s="147"/>
      <c r="I721" s="26"/>
      <c r="J721" s="26"/>
      <c r="K721" s="26"/>
      <c r="L721" s="26"/>
      <c r="M721" s="26"/>
      <c r="N721" s="148"/>
      <c r="O721" s="26"/>
      <c r="P721" s="26"/>
      <c r="Q721" s="26"/>
    </row>
    <row r="722" spans="1:17" x14ac:dyDescent="0.35">
      <c r="A722" s="26"/>
      <c r="B722" s="35"/>
      <c r="C722" s="26"/>
      <c r="D722" s="26"/>
      <c r="E722" s="44"/>
      <c r="F722" s="26"/>
      <c r="G722" s="26"/>
      <c r="H722" s="147"/>
      <c r="I722" s="26"/>
      <c r="J722" s="26"/>
      <c r="K722" s="26"/>
      <c r="L722" s="26"/>
      <c r="M722" s="26"/>
      <c r="N722" s="148"/>
      <c r="O722" s="26"/>
      <c r="P722" s="26"/>
      <c r="Q722" s="26"/>
    </row>
    <row r="723" spans="1:17" x14ac:dyDescent="0.35">
      <c r="A723" s="26"/>
      <c r="B723" s="35"/>
      <c r="C723" s="26"/>
      <c r="D723" s="26"/>
      <c r="E723" s="44"/>
      <c r="F723" s="26"/>
      <c r="G723" s="26"/>
      <c r="H723" s="147"/>
      <c r="I723" s="26"/>
      <c r="J723" s="26"/>
      <c r="K723" s="26"/>
      <c r="L723" s="26"/>
      <c r="M723" s="26"/>
      <c r="N723" s="148"/>
      <c r="O723" s="26"/>
      <c r="P723" s="26"/>
      <c r="Q723" s="26"/>
    </row>
    <row r="724" spans="1:17" x14ac:dyDescent="0.35">
      <c r="A724" s="26"/>
      <c r="B724" s="35"/>
      <c r="C724" s="26"/>
      <c r="D724" s="26"/>
      <c r="E724" s="44"/>
      <c r="F724" s="26"/>
      <c r="G724" s="26"/>
      <c r="H724" s="147"/>
      <c r="I724" s="26"/>
      <c r="J724" s="26"/>
      <c r="K724" s="26"/>
      <c r="L724" s="26"/>
      <c r="M724" s="26"/>
      <c r="N724" s="148"/>
      <c r="O724" s="26"/>
      <c r="P724" s="26"/>
      <c r="Q724" s="26"/>
    </row>
    <row r="725" spans="1:17" x14ac:dyDescent="0.35">
      <c r="A725" s="26"/>
      <c r="B725" s="35"/>
      <c r="C725" s="26"/>
      <c r="D725" s="26"/>
      <c r="E725" s="44"/>
      <c r="F725" s="26"/>
      <c r="G725" s="26"/>
      <c r="H725" s="147"/>
      <c r="I725" s="26"/>
      <c r="J725" s="26"/>
      <c r="K725" s="26"/>
      <c r="L725" s="26"/>
      <c r="M725" s="26"/>
      <c r="N725" s="148"/>
      <c r="O725" s="26"/>
      <c r="P725" s="26"/>
      <c r="Q725" s="26"/>
    </row>
    <row r="726" spans="1:17" x14ac:dyDescent="0.35">
      <c r="A726" s="26"/>
      <c r="B726" s="35"/>
      <c r="C726" s="26"/>
      <c r="D726" s="26"/>
      <c r="E726" s="44"/>
      <c r="F726" s="26"/>
      <c r="G726" s="26"/>
      <c r="H726" s="147"/>
      <c r="I726" s="26"/>
      <c r="J726" s="26"/>
      <c r="K726" s="26"/>
      <c r="L726" s="26"/>
      <c r="M726" s="26"/>
      <c r="N726" s="148"/>
      <c r="O726" s="26"/>
      <c r="P726" s="26"/>
      <c r="Q726" s="26"/>
    </row>
    <row r="727" spans="1:17" x14ac:dyDescent="0.35">
      <c r="A727" s="26"/>
      <c r="B727" s="35"/>
      <c r="C727" s="26"/>
      <c r="D727" s="26"/>
      <c r="E727" s="44"/>
      <c r="F727" s="26"/>
      <c r="G727" s="26"/>
      <c r="H727" s="147"/>
      <c r="I727" s="26"/>
      <c r="J727" s="26"/>
      <c r="K727" s="26"/>
      <c r="L727" s="26"/>
      <c r="M727" s="26"/>
      <c r="N727" s="148"/>
      <c r="O727" s="26"/>
      <c r="P727" s="26"/>
      <c r="Q727" s="26"/>
    </row>
    <row r="728" spans="1:17" x14ac:dyDescent="0.35">
      <c r="A728" s="26"/>
      <c r="B728" s="35"/>
      <c r="C728" s="26"/>
      <c r="D728" s="26"/>
      <c r="E728" s="44"/>
      <c r="F728" s="26"/>
      <c r="G728" s="26"/>
      <c r="H728" s="147"/>
      <c r="I728" s="26"/>
      <c r="J728" s="26"/>
      <c r="K728" s="26"/>
      <c r="L728" s="26"/>
      <c r="M728" s="26"/>
      <c r="N728" s="148"/>
      <c r="O728" s="26"/>
      <c r="P728" s="26"/>
      <c r="Q728" s="26"/>
    </row>
    <row r="729" spans="1:17" x14ac:dyDescent="0.35">
      <c r="A729" s="26"/>
      <c r="B729" s="35"/>
      <c r="C729" s="26"/>
      <c r="D729" s="26"/>
      <c r="E729" s="44"/>
      <c r="F729" s="26"/>
      <c r="G729" s="26"/>
      <c r="H729" s="147"/>
      <c r="I729" s="26"/>
      <c r="J729" s="26"/>
      <c r="K729" s="26"/>
      <c r="L729" s="26"/>
      <c r="M729" s="26"/>
      <c r="N729" s="148"/>
      <c r="O729" s="26"/>
      <c r="P729" s="26"/>
      <c r="Q729" s="26"/>
    </row>
    <row r="730" spans="1:17" x14ac:dyDescent="0.35">
      <c r="A730" s="26"/>
      <c r="B730" s="35"/>
      <c r="C730" s="26"/>
      <c r="D730" s="26"/>
      <c r="E730" s="44"/>
      <c r="F730" s="26"/>
      <c r="G730" s="26"/>
      <c r="H730" s="147"/>
      <c r="I730" s="26"/>
      <c r="J730" s="26"/>
      <c r="K730" s="26"/>
      <c r="L730" s="26"/>
      <c r="M730" s="26"/>
      <c r="N730" s="148"/>
      <c r="O730" s="26"/>
      <c r="P730" s="26"/>
      <c r="Q730" s="26"/>
    </row>
    <row r="731" spans="1:17" x14ac:dyDescent="0.35">
      <c r="A731" s="26"/>
      <c r="B731" s="35"/>
      <c r="C731" s="26"/>
      <c r="D731" s="26"/>
      <c r="E731" s="44"/>
      <c r="F731" s="26"/>
      <c r="G731" s="26"/>
      <c r="H731" s="147"/>
      <c r="I731" s="26"/>
      <c r="J731" s="26"/>
      <c r="K731" s="26"/>
      <c r="L731" s="26"/>
      <c r="M731" s="26"/>
      <c r="N731" s="148"/>
      <c r="O731" s="26"/>
      <c r="P731" s="26"/>
      <c r="Q731" s="26"/>
    </row>
    <row r="732" spans="1:17" x14ac:dyDescent="0.35">
      <c r="A732" s="26"/>
      <c r="B732" s="35"/>
      <c r="C732" s="26"/>
      <c r="D732" s="26"/>
      <c r="E732" s="44"/>
      <c r="F732" s="26"/>
      <c r="G732" s="26"/>
      <c r="H732" s="147"/>
      <c r="I732" s="26"/>
      <c r="J732" s="26"/>
      <c r="K732" s="26"/>
      <c r="L732" s="26"/>
      <c r="M732" s="26"/>
      <c r="N732" s="148"/>
      <c r="O732" s="26"/>
      <c r="P732" s="26"/>
      <c r="Q732" s="26"/>
    </row>
    <row r="733" spans="1:17" x14ac:dyDescent="0.35">
      <c r="A733" s="26"/>
      <c r="B733" s="35"/>
      <c r="C733" s="26"/>
      <c r="D733" s="26"/>
      <c r="E733" s="44"/>
      <c r="F733" s="26"/>
      <c r="G733" s="26"/>
      <c r="H733" s="147"/>
      <c r="I733" s="26"/>
      <c r="J733" s="26"/>
      <c r="K733" s="26"/>
      <c r="L733" s="26"/>
      <c r="M733" s="26"/>
      <c r="N733" s="148"/>
      <c r="O733" s="26"/>
      <c r="P733" s="26"/>
      <c r="Q733" s="26"/>
    </row>
    <row r="734" spans="1:17" x14ac:dyDescent="0.35">
      <c r="A734" s="26"/>
      <c r="B734" s="35"/>
      <c r="C734" s="26"/>
      <c r="D734" s="26"/>
      <c r="E734" s="44"/>
      <c r="F734" s="26"/>
      <c r="G734" s="26"/>
      <c r="H734" s="147"/>
      <c r="I734" s="26"/>
      <c r="J734" s="26"/>
      <c r="K734" s="26"/>
      <c r="L734" s="26"/>
      <c r="M734" s="26"/>
      <c r="N734" s="148"/>
      <c r="O734" s="26"/>
      <c r="P734" s="26"/>
      <c r="Q734" s="26"/>
    </row>
    <row r="735" spans="1:17" x14ac:dyDescent="0.35">
      <c r="A735" s="26"/>
      <c r="B735" s="35"/>
      <c r="C735" s="26"/>
      <c r="D735" s="26"/>
      <c r="E735" s="44"/>
      <c r="F735" s="26"/>
      <c r="G735" s="26"/>
      <c r="H735" s="147"/>
      <c r="I735" s="26"/>
      <c r="J735" s="26"/>
      <c r="K735" s="26"/>
      <c r="L735" s="26"/>
      <c r="M735" s="26"/>
      <c r="N735" s="148"/>
      <c r="O735" s="26"/>
      <c r="P735" s="26"/>
      <c r="Q735" s="26"/>
    </row>
    <row r="736" spans="1:17" x14ac:dyDescent="0.35">
      <c r="A736" s="26"/>
      <c r="B736" s="35"/>
      <c r="C736" s="26"/>
      <c r="D736" s="26"/>
      <c r="E736" s="44"/>
      <c r="F736" s="26"/>
      <c r="G736" s="26"/>
      <c r="H736" s="147"/>
      <c r="I736" s="26"/>
      <c r="J736" s="26"/>
      <c r="K736" s="26"/>
      <c r="L736" s="26"/>
      <c r="M736" s="26"/>
      <c r="N736" s="148"/>
      <c r="O736" s="26"/>
      <c r="P736" s="26"/>
      <c r="Q736" s="26"/>
    </row>
    <row r="737" spans="1:17" x14ac:dyDescent="0.35">
      <c r="A737" s="26"/>
      <c r="B737" s="35"/>
      <c r="C737" s="26"/>
      <c r="D737" s="26"/>
      <c r="E737" s="44"/>
      <c r="F737" s="26"/>
      <c r="G737" s="26"/>
      <c r="H737" s="147"/>
      <c r="I737" s="26"/>
      <c r="J737" s="26"/>
      <c r="K737" s="26"/>
      <c r="L737" s="26"/>
      <c r="M737" s="26"/>
      <c r="N737" s="148"/>
      <c r="O737" s="26"/>
      <c r="P737" s="26"/>
      <c r="Q737" s="26"/>
    </row>
    <row r="738" spans="1:17" x14ac:dyDescent="0.35">
      <c r="A738" s="26"/>
      <c r="B738" s="35"/>
      <c r="C738" s="26"/>
      <c r="D738" s="26"/>
      <c r="E738" s="44"/>
      <c r="F738" s="26"/>
      <c r="G738" s="26"/>
      <c r="H738" s="147"/>
      <c r="I738" s="26"/>
      <c r="J738" s="26"/>
      <c r="K738" s="26"/>
      <c r="L738" s="26"/>
      <c r="M738" s="26"/>
      <c r="N738" s="148"/>
      <c r="O738" s="26"/>
      <c r="P738" s="26"/>
      <c r="Q738" s="26"/>
    </row>
    <row r="739" spans="1:17" x14ac:dyDescent="0.35">
      <c r="A739" s="26"/>
      <c r="B739" s="35"/>
      <c r="C739" s="26"/>
      <c r="D739" s="26"/>
      <c r="E739" s="44"/>
      <c r="F739" s="26"/>
      <c r="G739" s="26"/>
      <c r="H739" s="147"/>
      <c r="I739" s="26"/>
      <c r="J739" s="26"/>
      <c r="K739" s="26"/>
      <c r="L739" s="26"/>
      <c r="M739" s="26"/>
      <c r="N739" s="148"/>
      <c r="O739" s="26"/>
      <c r="P739" s="26"/>
      <c r="Q739" s="26"/>
    </row>
    <row r="740" spans="1:17" x14ac:dyDescent="0.35">
      <c r="A740" s="26"/>
      <c r="B740" s="35"/>
      <c r="C740" s="26"/>
      <c r="D740" s="26"/>
      <c r="E740" s="44"/>
      <c r="F740" s="26"/>
      <c r="G740" s="26"/>
      <c r="H740" s="147"/>
      <c r="I740" s="26"/>
      <c r="J740" s="26"/>
      <c r="K740" s="26"/>
      <c r="L740" s="26"/>
      <c r="M740" s="26"/>
      <c r="N740" s="148"/>
      <c r="O740" s="26"/>
      <c r="P740" s="26"/>
      <c r="Q740" s="26"/>
    </row>
    <row r="741" spans="1:17" x14ac:dyDescent="0.35">
      <c r="A741" s="26"/>
      <c r="B741" s="35"/>
      <c r="C741" s="26"/>
      <c r="D741" s="26"/>
      <c r="E741" s="44"/>
      <c r="F741" s="26"/>
      <c r="G741" s="26"/>
      <c r="H741" s="147"/>
      <c r="I741" s="26"/>
      <c r="J741" s="26"/>
      <c r="K741" s="26"/>
      <c r="L741" s="26"/>
      <c r="M741" s="26"/>
      <c r="N741" s="148"/>
      <c r="O741" s="26"/>
      <c r="P741" s="26"/>
      <c r="Q741" s="26"/>
    </row>
    <row r="742" spans="1:17" x14ac:dyDescent="0.35">
      <c r="A742" s="26"/>
      <c r="B742" s="35"/>
      <c r="C742" s="26"/>
      <c r="D742" s="26"/>
      <c r="E742" s="44"/>
      <c r="F742" s="26"/>
      <c r="G742" s="26"/>
      <c r="H742" s="147"/>
      <c r="I742" s="26"/>
      <c r="J742" s="26"/>
      <c r="K742" s="26"/>
      <c r="L742" s="26"/>
      <c r="M742" s="26"/>
      <c r="N742" s="148"/>
      <c r="O742" s="26"/>
      <c r="P742" s="26"/>
      <c r="Q742" s="26"/>
    </row>
    <row r="743" spans="1:17" x14ac:dyDescent="0.35">
      <c r="A743" s="26"/>
      <c r="B743" s="35"/>
      <c r="C743" s="26"/>
      <c r="D743" s="26"/>
      <c r="E743" s="44"/>
      <c r="F743" s="26"/>
      <c r="G743" s="26"/>
      <c r="H743" s="147"/>
      <c r="I743" s="26"/>
      <c r="J743" s="26"/>
      <c r="K743" s="26"/>
      <c r="L743" s="26"/>
      <c r="M743" s="26"/>
      <c r="N743" s="148"/>
      <c r="O743" s="26"/>
      <c r="P743" s="26"/>
      <c r="Q743" s="26"/>
    </row>
    <row r="744" spans="1:17" x14ac:dyDescent="0.35">
      <c r="A744" s="26"/>
      <c r="B744" s="35"/>
      <c r="C744" s="26"/>
      <c r="D744" s="26"/>
      <c r="E744" s="44"/>
      <c r="F744" s="26"/>
      <c r="G744" s="26"/>
      <c r="H744" s="147"/>
      <c r="I744" s="26"/>
      <c r="J744" s="26"/>
      <c r="K744" s="26"/>
      <c r="L744" s="26"/>
      <c r="M744" s="26"/>
      <c r="N744" s="148"/>
      <c r="O744" s="26"/>
      <c r="P744" s="26"/>
      <c r="Q744" s="26"/>
    </row>
    <row r="745" spans="1:17" x14ac:dyDescent="0.35">
      <c r="A745" s="26"/>
      <c r="B745" s="35"/>
      <c r="C745" s="26"/>
      <c r="D745" s="26"/>
      <c r="E745" s="44"/>
      <c r="F745" s="26"/>
      <c r="G745" s="26"/>
      <c r="H745" s="147"/>
      <c r="I745" s="26"/>
      <c r="J745" s="26"/>
      <c r="K745" s="26"/>
      <c r="L745" s="26"/>
      <c r="M745" s="26"/>
      <c r="N745" s="148"/>
      <c r="O745" s="26"/>
      <c r="P745" s="26"/>
      <c r="Q745" s="26"/>
    </row>
    <row r="746" spans="1:17" x14ac:dyDescent="0.35">
      <c r="A746" s="26"/>
      <c r="B746" s="35"/>
      <c r="C746" s="26"/>
      <c r="D746" s="26"/>
      <c r="E746" s="44"/>
      <c r="F746" s="26"/>
      <c r="G746" s="26"/>
      <c r="H746" s="147"/>
      <c r="I746" s="26"/>
      <c r="J746" s="26"/>
      <c r="K746" s="26"/>
      <c r="L746" s="26"/>
      <c r="M746" s="26"/>
      <c r="N746" s="148"/>
      <c r="O746" s="26"/>
      <c r="P746" s="26"/>
      <c r="Q746" s="26"/>
    </row>
    <row r="747" spans="1:17" x14ac:dyDescent="0.35">
      <c r="A747" s="26"/>
      <c r="B747" s="35"/>
      <c r="C747" s="26"/>
      <c r="D747" s="26"/>
      <c r="E747" s="44"/>
      <c r="F747" s="26"/>
      <c r="G747" s="26"/>
      <c r="H747" s="147"/>
      <c r="I747" s="26"/>
      <c r="J747" s="26"/>
      <c r="K747" s="26"/>
      <c r="L747" s="26"/>
      <c r="M747" s="26"/>
      <c r="N747" s="148"/>
      <c r="O747" s="26"/>
      <c r="P747" s="26"/>
      <c r="Q747" s="26"/>
    </row>
    <row r="748" spans="1:17" x14ac:dyDescent="0.35">
      <c r="A748" s="26"/>
      <c r="B748" s="35"/>
      <c r="C748" s="26"/>
      <c r="D748" s="26"/>
      <c r="E748" s="44"/>
      <c r="F748" s="26"/>
      <c r="G748" s="26"/>
      <c r="H748" s="147"/>
      <c r="I748" s="26"/>
      <c r="J748" s="26"/>
      <c r="K748" s="26"/>
      <c r="L748" s="26"/>
      <c r="M748" s="26"/>
      <c r="N748" s="148"/>
      <c r="O748" s="26"/>
      <c r="P748" s="26"/>
      <c r="Q748" s="26"/>
    </row>
    <row r="749" spans="1:17" x14ac:dyDescent="0.35">
      <c r="A749" s="26"/>
      <c r="B749" s="35"/>
      <c r="C749" s="26"/>
      <c r="D749" s="26"/>
      <c r="E749" s="44"/>
      <c r="F749" s="26"/>
      <c r="G749" s="26"/>
      <c r="H749" s="147"/>
      <c r="I749" s="26"/>
      <c r="J749" s="26"/>
      <c r="K749" s="26"/>
      <c r="L749" s="26"/>
      <c r="M749" s="26"/>
      <c r="N749" s="148"/>
      <c r="O749" s="26"/>
      <c r="P749" s="26"/>
      <c r="Q749" s="26"/>
    </row>
    <row r="750" spans="1:17" x14ac:dyDescent="0.35">
      <c r="A750" s="26"/>
      <c r="B750" s="35"/>
      <c r="C750" s="26"/>
      <c r="D750" s="26"/>
      <c r="E750" s="44"/>
      <c r="F750" s="26"/>
      <c r="G750" s="26"/>
      <c r="H750" s="147"/>
      <c r="I750" s="26"/>
      <c r="J750" s="26"/>
      <c r="K750" s="26"/>
      <c r="L750" s="26"/>
      <c r="M750" s="26"/>
      <c r="N750" s="148"/>
      <c r="O750" s="26"/>
      <c r="P750" s="26"/>
      <c r="Q750" s="26"/>
    </row>
    <row r="751" spans="1:17" x14ac:dyDescent="0.35">
      <c r="A751" s="26"/>
      <c r="B751" s="35"/>
      <c r="C751" s="26"/>
      <c r="D751" s="26"/>
      <c r="E751" s="44"/>
      <c r="F751" s="26"/>
      <c r="G751" s="26"/>
      <c r="H751" s="147"/>
      <c r="I751" s="26"/>
      <c r="J751" s="26"/>
      <c r="K751" s="26"/>
      <c r="L751" s="26"/>
      <c r="M751" s="26"/>
      <c r="N751" s="148"/>
      <c r="O751" s="26"/>
      <c r="P751" s="26"/>
      <c r="Q751" s="26"/>
    </row>
    <row r="752" spans="1:17" x14ac:dyDescent="0.35">
      <c r="A752" s="26"/>
      <c r="B752" s="35"/>
      <c r="C752" s="26"/>
      <c r="D752" s="26"/>
      <c r="E752" s="44"/>
      <c r="F752" s="26"/>
      <c r="G752" s="26"/>
      <c r="H752" s="147"/>
      <c r="I752" s="26"/>
      <c r="J752" s="26"/>
      <c r="K752" s="26"/>
      <c r="L752" s="26"/>
      <c r="M752" s="26"/>
      <c r="N752" s="148"/>
      <c r="O752" s="26"/>
      <c r="P752" s="26"/>
      <c r="Q752" s="26"/>
    </row>
    <row r="753" spans="1:17" x14ac:dyDescent="0.35">
      <c r="A753" s="26"/>
      <c r="B753" s="35"/>
      <c r="C753" s="26"/>
      <c r="D753" s="26"/>
      <c r="E753" s="44"/>
      <c r="F753" s="26"/>
      <c r="G753" s="26"/>
      <c r="H753" s="147"/>
      <c r="I753" s="26"/>
      <c r="J753" s="26"/>
      <c r="K753" s="26"/>
      <c r="L753" s="26"/>
      <c r="M753" s="26"/>
      <c r="N753" s="148"/>
      <c r="O753" s="26"/>
      <c r="P753" s="26"/>
      <c r="Q753" s="26"/>
    </row>
    <row r="754" spans="1:17" x14ac:dyDescent="0.35">
      <c r="A754" s="26"/>
      <c r="B754" s="35"/>
      <c r="C754" s="26"/>
      <c r="D754" s="26"/>
      <c r="E754" s="44"/>
      <c r="F754" s="26"/>
      <c r="G754" s="26"/>
      <c r="H754" s="147"/>
      <c r="I754" s="26"/>
      <c r="J754" s="26"/>
      <c r="K754" s="26"/>
      <c r="L754" s="26"/>
      <c r="M754" s="26"/>
      <c r="N754" s="148"/>
      <c r="O754" s="26"/>
      <c r="P754" s="26"/>
      <c r="Q754" s="26"/>
    </row>
    <row r="755" spans="1:17" x14ac:dyDescent="0.35">
      <c r="A755" s="26"/>
      <c r="B755" s="35"/>
      <c r="C755" s="26"/>
      <c r="D755" s="26"/>
      <c r="E755" s="44"/>
      <c r="F755" s="26"/>
      <c r="G755" s="26"/>
      <c r="H755" s="147"/>
      <c r="I755" s="26"/>
      <c r="J755" s="26"/>
      <c r="K755" s="26"/>
      <c r="L755" s="26"/>
      <c r="M755" s="26"/>
      <c r="N755" s="148"/>
      <c r="O755" s="26"/>
      <c r="P755" s="26"/>
      <c r="Q755" s="26"/>
    </row>
    <row r="756" spans="1:17" x14ac:dyDescent="0.35">
      <c r="A756" s="26"/>
      <c r="B756" s="35"/>
      <c r="C756" s="26"/>
      <c r="D756" s="26"/>
      <c r="E756" s="44"/>
      <c r="F756" s="26"/>
      <c r="G756" s="26"/>
      <c r="H756" s="147"/>
      <c r="I756" s="26"/>
      <c r="J756" s="26"/>
      <c r="K756" s="26"/>
      <c r="L756" s="26"/>
      <c r="M756" s="26"/>
      <c r="N756" s="148"/>
      <c r="O756" s="26"/>
      <c r="P756" s="26"/>
      <c r="Q756" s="26"/>
    </row>
    <row r="757" spans="1:17" x14ac:dyDescent="0.35">
      <c r="A757" s="26"/>
      <c r="B757" s="35"/>
      <c r="C757" s="26"/>
      <c r="D757" s="26"/>
      <c r="E757" s="44"/>
      <c r="F757" s="26"/>
      <c r="G757" s="26"/>
      <c r="H757" s="147"/>
      <c r="I757" s="26"/>
      <c r="J757" s="26"/>
      <c r="K757" s="26"/>
      <c r="L757" s="26"/>
      <c r="M757" s="26"/>
      <c r="N757" s="148"/>
      <c r="O757" s="26"/>
      <c r="P757" s="26"/>
      <c r="Q757" s="26"/>
    </row>
    <row r="758" spans="1:17" x14ac:dyDescent="0.35">
      <c r="A758" s="26"/>
      <c r="B758" s="35"/>
      <c r="C758" s="26"/>
      <c r="D758" s="26"/>
      <c r="E758" s="44"/>
      <c r="F758" s="26"/>
      <c r="G758" s="26"/>
      <c r="H758" s="147"/>
      <c r="I758" s="26"/>
      <c r="J758" s="26"/>
      <c r="K758" s="26"/>
      <c r="L758" s="26"/>
      <c r="M758" s="26"/>
      <c r="N758" s="148"/>
      <c r="O758" s="26"/>
      <c r="P758" s="26"/>
      <c r="Q758" s="26"/>
    </row>
    <row r="759" spans="1:17" x14ac:dyDescent="0.35">
      <c r="A759" s="26"/>
      <c r="B759" s="35"/>
      <c r="C759" s="26"/>
      <c r="D759" s="26"/>
      <c r="E759" s="44"/>
      <c r="F759" s="26"/>
      <c r="G759" s="26"/>
      <c r="H759" s="147"/>
      <c r="I759" s="26"/>
      <c r="J759" s="26"/>
      <c r="K759" s="26"/>
      <c r="L759" s="26"/>
      <c r="M759" s="26"/>
      <c r="N759" s="148"/>
      <c r="O759" s="26"/>
      <c r="P759" s="26"/>
      <c r="Q759" s="26"/>
    </row>
    <row r="760" spans="1:17" x14ac:dyDescent="0.35">
      <c r="A760" s="26"/>
      <c r="B760" s="35"/>
      <c r="C760" s="26"/>
      <c r="D760" s="26"/>
      <c r="E760" s="44"/>
      <c r="F760" s="26"/>
      <c r="G760" s="26"/>
      <c r="H760" s="147"/>
      <c r="I760" s="26"/>
      <c r="J760" s="26"/>
      <c r="K760" s="26"/>
      <c r="L760" s="26"/>
      <c r="M760" s="26"/>
      <c r="N760" s="148"/>
      <c r="O760" s="26"/>
      <c r="P760" s="26"/>
      <c r="Q760" s="26"/>
    </row>
    <row r="761" spans="1:17" x14ac:dyDescent="0.35">
      <c r="A761" s="26"/>
      <c r="B761" s="35"/>
      <c r="C761" s="26"/>
      <c r="D761" s="26"/>
      <c r="E761" s="44"/>
      <c r="F761" s="26"/>
      <c r="G761" s="26"/>
      <c r="H761" s="147"/>
      <c r="I761" s="26"/>
      <c r="J761" s="26"/>
      <c r="K761" s="26"/>
      <c r="L761" s="26"/>
      <c r="M761" s="26"/>
      <c r="N761" s="148"/>
      <c r="O761" s="26"/>
      <c r="P761" s="26"/>
      <c r="Q761" s="26"/>
    </row>
    <row r="762" spans="1:17" x14ac:dyDescent="0.35">
      <c r="A762" s="26"/>
      <c r="B762" s="35"/>
      <c r="C762" s="26"/>
      <c r="D762" s="26"/>
      <c r="E762" s="44"/>
      <c r="F762" s="26"/>
      <c r="G762" s="26"/>
      <c r="H762" s="147"/>
      <c r="I762" s="26"/>
      <c r="J762" s="26"/>
      <c r="K762" s="26"/>
      <c r="L762" s="26"/>
      <c r="M762" s="26"/>
      <c r="N762" s="148"/>
      <c r="O762" s="26"/>
      <c r="P762" s="26"/>
      <c r="Q762" s="26"/>
    </row>
    <row r="763" spans="1:17" x14ac:dyDescent="0.35">
      <c r="A763" s="26"/>
      <c r="B763" s="35"/>
      <c r="C763" s="26"/>
      <c r="D763" s="26"/>
      <c r="E763" s="44"/>
      <c r="F763" s="26"/>
      <c r="G763" s="26"/>
      <c r="H763" s="147"/>
      <c r="I763" s="26"/>
      <c r="J763" s="26"/>
      <c r="K763" s="26"/>
      <c r="L763" s="26"/>
      <c r="M763" s="26"/>
      <c r="N763" s="148"/>
      <c r="O763" s="26"/>
      <c r="P763" s="26"/>
      <c r="Q763" s="26"/>
    </row>
    <row r="764" spans="1:17" x14ac:dyDescent="0.35">
      <c r="A764" s="26"/>
      <c r="B764" s="35"/>
      <c r="C764" s="26"/>
      <c r="D764" s="26"/>
      <c r="E764" s="44"/>
      <c r="F764" s="26"/>
      <c r="G764" s="26"/>
      <c r="H764" s="147"/>
      <c r="I764" s="26"/>
      <c r="J764" s="26"/>
      <c r="K764" s="26"/>
      <c r="L764" s="26"/>
      <c r="M764" s="26"/>
      <c r="N764" s="148"/>
      <c r="O764" s="26"/>
      <c r="P764" s="26"/>
      <c r="Q764" s="26"/>
    </row>
    <row r="765" spans="1:17" x14ac:dyDescent="0.35">
      <c r="A765" s="26"/>
      <c r="B765" s="35"/>
      <c r="C765" s="26"/>
      <c r="D765" s="26"/>
      <c r="E765" s="44"/>
      <c r="F765" s="26"/>
      <c r="G765" s="26"/>
      <c r="H765" s="147"/>
      <c r="I765" s="26"/>
      <c r="J765" s="26"/>
      <c r="K765" s="26"/>
      <c r="L765" s="26"/>
      <c r="M765" s="26"/>
      <c r="N765" s="148"/>
      <c r="O765" s="26"/>
      <c r="P765" s="26"/>
      <c r="Q765" s="26"/>
    </row>
    <row r="766" spans="1:17" x14ac:dyDescent="0.35">
      <c r="A766" s="26"/>
      <c r="B766" s="35"/>
      <c r="C766" s="26"/>
      <c r="D766" s="26"/>
      <c r="E766" s="44"/>
      <c r="F766" s="26"/>
      <c r="G766" s="26"/>
      <c r="H766" s="147"/>
      <c r="I766" s="26"/>
      <c r="J766" s="26"/>
      <c r="K766" s="26"/>
      <c r="L766" s="26"/>
      <c r="M766" s="26"/>
      <c r="N766" s="148"/>
      <c r="O766" s="26"/>
      <c r="P766" s="26"/>
      <c r="Q766" s="26"/>
    </row>
    <row r="767" spans="1:17" x14ac:dyDescent="0.35">
      <c r="A767" s="26"/>
      <c r="B767" s="35"/>
      <c r="C767" s="26"/>
      <c r="D767" s="26"/>
      <c r="E767" s="44"/>
      <c r="F767" s="26"/>
      <c r="G767" s="26"/>
      <c r="H767" s="147"/>
      <c r="I767" s="26"/>
      <c r="J767" s="26"/>
      <c r="K767" s="26"/>
      <c r="L767" s="26"/>
      <c r="M767" s="26"/>
      <c r="N767" s="148"/>
      <c r="O767" s="26"/>
      <c r="P767" s="26"/>
      <c r="Q767" s="26"/>
    </row>
    <row r="768" spans="1:17" x14ac:dyDescent="0.35">
      <c r="A768" s="26"/>
      <c r="B768" s="35"/>
      <c r="C768" s="26"/>
      <c r="D768" s="26"/>
      <c r="E768" s="44"/>
      <c r="F768" s="26"/>
      <c r="G768" s="26"/>
      <c r="H768" s="147"/>
      <c r="I768" s="26"/>
      <c r="J768" s="26"/>
      <c r="K768" s="26"/>
      <c r="L768" s="26"/>
      <c r="M768" s="26"/>
      <c r="N768" s="148"/>
      <c r="O768" s="26"/>
      <c r="P768" s="26"/>
      <c r="Q768" s="26"/>
    </row>
    <row r="769" spans="1:17" x14ac:dyDescent="0.35">
      <c r="A769" s="26"/>
      <c r="B769" s="35"/>
      <c r="C769" s="26"/>
      <c r="D769" s="26"/>
      <c r="E769" s="44"/>
      <c r="F769" s="26"/>
      <c r="G769" s="26"/>
      <c r="H769" s="147"/>
      <c r="I769" s="26"/>
      <c r="J769" s="26"/>
      <c r="K769" s="26"/>
      <c r="L769" s="26"/>
      <c r="M769" s="26"/>
      <c r="N769" s="148"/>
      <c r="O769" s="26"/>
      <c r="P769" s="26"/>
      <c r="Q769" s="26"/>
    </row>
    <row r="770" spans="1:17" x14ac:dyDescent="0.35">
      <c r="A770" s="26"/>
      <c r="B770" s="35"/>
      <c r="C770" s="26"/>
      <c r="D770" s="26"/>
      <c r="E770" s="44"/>
      <c r="F770" s="26"/>
      <c r="G770" s="26"/>
      <c r="H770" s="147"/>
      <c r="I770" s="26"/>
      <c r="J770" s="26"/>
      <c r="K770" s="26"/>
      <c r="L770" s="26"/>
      <c r="M770" s="26"/>
      <c r="N770" s="148"/>
      <c r="O770" s="26"/>
      <c r="P770" s="26"/>
      <c r="Q770" s="26"/>
    </row>
    <row r="771" spans="1:17" x14ac:dyDescent="0.35">
      <c r="A771" s="26"/>
      <c r="B771" s="35"/>
      <c r="C771" s="26"/>
      <c r="D771" s="26"/>
      <c r="E771" s="44"/>
      <c r="F771" s="26"/>
      <c r="G771" s="26"/>
      <c r="H771" s="147"/>
      <c r="I771" s="26"/>
      <c r="J771" s="26"/>
      <c r="K771" s="26"/>
      <c r="L771" s="26"/>
      <c r="M771" s="26"/>
      <c r="N771" s="148"/>
      <c r="O771" s="26"/>
      <c r="P771" s="26"/>
      <c r="Q771" s="26"/>
    </row>
    <row r="772" spans="1:17" x14ac:dyDescent="0.35">
      <c r="A772" s="26"/>
      <c r="B772" s="35"/>
      <c r="C772" s="26"/>
      <c r="D772" s="26"/>
      <c r="E772" s="44"/>
      <c r="F772" s="26"/>
      <c r="G772" s="26"/>
      <c r="H772" s="147"/>
      <c r="I772" s="26"/>
      <c r="J772" s="26"/>
      <c r="K772" s="26"/>
      <c r="L772" s="26"/>
      <c r="M772" s="26"/>
      <c r="N772" s="148"/>
      <c r="O772" s="26"/>
      <c r="P772" s="26"/>
      <c r="Q772" s="26"/>
    </row>
    <row r="773" spans="1:17" x14ac:dyDescent="0.35">
      <c r="A773" s="26"/>
      <c r="B773" s="35"/>
      <c r="C773" s="26"/>
      <c r="D773" s="26"/>
      <c r="E773" s="44"/>
      <c r="F773" s="26"/>
      <c r="G773" s="26"/>
      <c r="H773" s="147"/>
      <c r="I773" s="26"/>
      <c r="J773" s="26"/>
      <c r="K773" s="26"/>
      <c r="L773" s="26"/>
      <c r="M773" s="26"/>
      <c r="N773" s="148"/>
      <c r="O773" s="26"/>
      <c r="P773" s="26"/>
      <c r="Q773" s="26"/>
    </row>
    <row r="774" spans="1:17" x14ac:dyDescent="0.35">
      <c r="A774" s="26"/>
      <c r="B774" s="35"/>
      <c r="C774" s="26"/>
      <c r="D774" s="26"/>
      <c r="E774" s="44"/>
      <c r="F774" s="26"/>
      <c r="G774" s="26"/>
      <c r="H774" s="147"/>
      <c r="I774" s="26"/>
      <c r="J774" s="26"/>
      <c r="K774" s="26"/>
      <c r="L774" s="26"/>
      <c r="M774" s="26"/>
      <c r="N774" s="148"/>
      <c r="O774" s="26"/>
      <c r="P774" s="26"/>
      <c r="Q774" s="26"/>
    </row>
    <row r="775" spans="1:17" x14ac:dyDescent="0.35">
      <c r="A775" s="26"/>
      <c r="B775" s="35"/>
      <c r="C775" s="26"/>
      <c r="D775" s="26"/>
      <c r="E775" s="44"/>
      <c r="F775" s="26"/>
      <c r="G775" s="26"/>
      <c r="H775" s="147"/>
      <c r="I775" s="26"/>
      <c r="J775" s="26"/>
      <c r="K775" s="26"/>
      <c r="L775" s="26"/>
      <c r="M775" s="26"/>
      <c r="N775" s="148"/>
      <c r="O775" s="26"/>
      <c r="P775" s="26"/>
      <c r="Q775" s="26"/>
    </row>
    <row r="776" spans="1:17" x14ac:dyDescent="0.35">
      <c r="A776" s="26"/>
      <c r="B776" s="35"/>
      <c r="C776" s="26"/>
      <c r="D776" s="26"/>
      <c r="E776" s="44"/>
      <c r="F776" s="26"/>
      <c r="G776" s="26"/>
      <c r="H776" s="147"/>
      <c r="I776" s="26"/>
      <c r="J776" s="26"/>
      <c r="K776" s="26"/>
      <c r="L776" s="26"/>
      <c r="M776" s="26"/>
      <c r="N776" s="148"/>
      <c r="O776" s="26"/>
      <c r="P776" s="26"/>
      <c r="Q776" s="26"/>
    </row>
    <row r="777" spans="1:17" x14ac:dyDescent="0.35">
      <c r="A777" s="26"/>
      <c r="B777" s="35"/>
      <c r="C777" s="26"/>
      <c r="D777" s="26"/>
      <c r="E777" s="44"/>
      <c r="F777" s="26"/>
      <c r="G777" s="26"/>
      <c r="H777" s="147"/>
      <c r="I777" s="26"/>
      <c r="J777" s="26"/>
      <c r="K777" s="26"/>
      <c r="L777" s="26"/>
      <c r="M777" s="26"/>
      <c r="N777" s="148"/>
      <c r="O777" s="26"/>
      <c r="P777" s="26"/>
      <c r="Q777" s="26"/>
    </row>
    <row r="778" spans="1:17" x14ac:dyDescent="0.35">
      <c r="A778" s="26"/>
      <c r="B778" s="35"/>
      <c r="C778" s="26"/>
      <c r="D778" s="26"/>
      <c r="E778" s="44"/>
      <c r="F778" s="26"/>
      <c r="G778" s="26"/>
      <c r="H778" s="147"/>
      <c r="I778" s="26"/>
      <c r="J778" s="26"/>
      <c r="K778" s="26"/>
      <c r="L778" s="26"/>
      <c r="M778" s="26"/>
      <c r="N778" s="148"/>
      <c r="O778" s="26"/>
      <c r="P778" s="26"/>
      <c r="Q778" s="26"/>
    </row>
    <row r="779" spans="1:17" x14ac:dyDescent="0.35">
      <c r="A779" s="26"/>
      <c r="B779" s="35"/>
      <c r="C779" s="26"/>
      <c r="D779" s="26"/>
      <c r="E779" s="44"/>
      <c r="F779" s="26"/>
      <c r="G779" s="26"/>
      <c r="H779" s="147"/>
      <c r="I779" s="26"/>
      <c r="J779" s="26"/>
      <c r="K779" s="26"/>
      <c r="L779" s="26"/>
      <c r="M779" s="26"/>
      <c r="N779" s="148"/>
      <c r="O779" s="26"/>
      <c r="P779" s="26"/>
      <c r="Q779" s="26"/>
    </row>
    <row r="780" spans="1:17" x14ac:dyDescent="0.35">
      <c r="A780" s="26"/>
      <c r="B780" s="35"/>
      <c r="C780" s="26"/>
      <c r="D780" s="26"/>
      <c r="E780" s="44"/>
      <c r="F780" s="26"/>
      <c r="G780" s="26"/>
      <c r="H780" s="147"/>
      <c r="I780" s="26"/>
      <c r="J780" s="26"/>
      <c r="K780" s="26"/>
      <c r="L780" s="26"/>
      <c r="M780" s="26"/>
      <c r="N780" s="148"/>
      <c r="O780" s="26"/>
      <c r="P780" s="26"/>
      <c r="Q780" s="26"/>
    </row>
    <row r="781" spans="1:17" x14ac:dyDescent="0.35">
      <c r="A781" s="26"/>
      <c r="B781" s="35"/>
      <c r="C781" s="26"/>
      <c r="D781" s="26"/>
      <c r="E781" s="44"/>
      <c r="F781" s="26"/>
      <c r="G781" s="26"/>
      <c r="H781" s="147"/>
      <c r="I781" s="26"/>
      <c r="J781" s="26"/>
      <c r="K781" s="26"/>
      <c r="L781" s="26"/>
      <c r="M781" s="26"/>
      <c r="N781" s="148"/>
      <c r="O781" s="26"/>
      <c r="P781" s="26"/>
      <c r="Q781" s="26"/>
    </row>
    <row r="782" spans="1:17" x14ac:dyDescent="0.35">
      <c r="A782" s="26"/>
      <c r="B782" s="35"/>
      <c r="C782" s="26"/>
      <c r="D782" s="26"/>
      <c r="E782" s="44"/>
      <c r="F782" s="26"/>
      <c r="G782" s="26"/>
      <c r="H782" s="147"/>
      <c r="I782" s="26"/>
      <c r="J782" s="26"/>
      <c r="K782" s="26"/>
      <c r="L782" s="26"/>
      <c r="M782" s="26"/>
      <c r="N782" s="148"/>
      <c r="O782" s="26"/>
      <c r="P782" s="26"/>
      <c r="Q782" s="26"/>
    </row>
    <row r="783" spans="1:17" x14ac:dyDescent="0.35">
      <c r="A783" s="26"/>
      <c r="B783" s="35"/>
      <c r="C783" s="26"/>
      <c r="D783" s="26"/>
      <c r="E783" s="44"/>
      <c r="F783" s="26"/>
      <c r="G783" s="26"/>
      <c r="H783" s="147"/>
      <c r="I783" s="26"/>
      <c r="J783" s="26"/>
      <c r="K783" s="26"/>
      <c r="L783" s="26"/>
      <c r="M783" s="26"/>
      <c r="N783" s="148"/>
      <c r="O783" s="26"/>
      <c r="P783" s="26"/>
      <c r="Q783" s="26"/>
    </row>
    <row r="784" spans="1:17" x14ac:dyDescent="0.35">
      <c r="A784" s="26"/>
      <c r="B784" s="35"/>
      <c r="C784" s="26"/>
      <c r="D784" s="26"/>
      <c r="E784" s="44"/>
      <c r="F784" s="26"/>
      <c r="G784" s="26"/>
      <c r="H784" s="147"/>
      <c r="I784" s="26"/>
      <c r="J784" s="26"/>
      <c r="K784" s="26"/>
      <c r="L784" s="26"/>
      <c r="M784" s="26"/>
      <c r="N784" s="148"/>
      <c r="O784" s="26"/>
      <c r="P784" s="26"/>
      <c r="Q784" s="26"/>
    </row>
    <row r="785" spans="1:17" x14ac:dyDescent="0.35">
      <c r="A785" s="26"/>
      <c r="B785" s="35"/>
      <c r="C785" s="26"/>
      <c r="D785" s="26"/>
      <c r="E785" s="44"/>
      <c r="F785" s="26"/>
      <c r="G785" s="26"/>
      <c r="H785" s="147"/>
      <c r="I785" s="26"/>
      <c r="J785" s="26"/>
      <c r="K785" s="26"/>
      <c r="L785" s="26"/>
      <c r="M785" s="26"/>
      <c r="N785" s="148"/>
      <c r="O785" s="26"/>
      <c r="P785" s="26"/>
      <c r="Q785" s="26"/>
    </row>
    <row r="786" spans="1:17" x14ac:dyDescent="0.35">
      <c r="A786" s="26"/>
      <c r="B786" s="35"/>
      <c r="C786" s="26"/>
      <c r="D786" s="26"/>
      <c r="E786" s="44"/>
      <c r="F786" s="26"/>
      <c r="G786" s="26"/>
      <c r="H786" s="147"/>
      <c r="I786" s="26"/>
      <c r="J786" s="26"/>
      <c r="K786" s="26"/>
      <c r="L786" s="26"/>
      <c r="M786" s="26"/>
      <c r="N786" s="148"/>
      <c r="O786" s="26"/>
      <c r="P786" s="26"/>
      <c r="Q786" s="26"/>
    </row>
    <row r="787" spans="1:17" x14ac:dyDescent="0.35">
      <c r="A787" s="26"/>
      <c r="B787" s="35"/>
      <c r="C787" s="26"/>
      <c r="D787" s="26"/>
      <c r="E787" s="44"/>
      <c r="F787" s="26"/>
      <c r="G787" s="26"/>
      <c r="H787" s="147"/>
      <c r="I787" s="26"/>
      <c r="J787" s="26"/>
      <c r="K787" s="26"/>
      <c r="L787" s="26"/>
      <c r="M787" s="26"/>
      <c r="N787" s="148"/>
      <c r="O787" s="26"/>
      <c r="P787" s="26"/>
      <c r="Q787" s="26"/>
    </row>
    <row r="788" spans="1:17" x14ac:dyDescent="0.35">
      <c r="A788" s="26"/>
      <c r="B788" s="35"/>
      <c r="C788" s="26"/>
      <c r="D788" s="26"/>
      <c r="E788" s="44"/>
      <c r="F788" s="26"/>
      <c r="G788" s="26"/>
      <c r="H788" s="147"/>
      <c r="I788" s="26"/>
      <c r="J788" s="26"/>
      <c r="K788" s="26"/>
      <c r="L788" s="26"/>
      <c r="M788" s="26"/>
      <c r="N788" s="148"/>
      <c r="O788" s="26"/>
      <c r="P788" s="26"/>
      <c r="Q788" s="26"/>
    </row>
    <row r="789" spans="1:17" x14ac:dyDescent="0.35">
      <c r="A789" s="26"/>
      <c r="B789" s="35"/>
      <c r="C789" s="26"/>
      <c r="D789" s="26"/>
      <c r="E789" s="44"/>
      <c r="F789" s="26"/>
      <c r="G789" s="26"/>
      <c r="H789" s="147"/>
      <c r="I789" s="26"/>
      <c r="J789" s="26"/>
      <c r="K789" s="26"/>
      <c r="L789" s="26"/>
      <c r="M789" s="26"/>
      <c r="N789" s="148"/>
      <c r="O789" s="26"/>
      <c r="P789" s="26"/>
      <c r="Q789" s="26"/>
    </row>
    <row r="790" spans="1:17" x14ac:dyDescent="0.35">
      <c r="A790" s="26"/>
      <c r="B790" s="35"/>
      <c r="C790" s="26"/>
      <c r="D790" s="26"/>
      <c r="E790" s="44"/>
      <c r="F790" s="26"/>
      <c r="G790" s="26"/>
      <c r="H790" s="147"/>
      <c r="I790" s="26"/>
      <c r="J790" s="26"/>
      <c r="K790" s="26"/>
      <c r="L790" s="26"/>
      <c r="M790" s="26"/>
      <c r="N790" s="148"/>
      <c r="O790" s="26"/>
      <c r="P790" s="26"/>
      <c r="Q790" s="26"/>
    </row>
    <row r="791" spans="1:17" x14ac:dyDescent="0.35">
      <c r="A791" s="26"/>
      <c r="B791" s="35"/>
      <c r="C791" s="26"/>
      <c r="D791" s="26"/>
      <c r="E791" s="44"/>
      <c r="F791" s="26"/>
      <c r="G791" s="26"/>
      <c r="H791" s="147"/>
      <c r="I791" s="26"/>
      <c r="J791" s="26"/>
      <c r="K791" s="26"/>
      <c r="L791" s="26"/>
      <c r="M791" s="26"/>
      <c r="N791" s="148"/>
      <c r="O791" s="26"/>
      <c r="P791" s="26"/>
      <c r="Q791" s="26"/>
    </row>
    <row r="792" spans="1:17" x14ac:dyDescent="0.35">
      <c r="A792" s="26"/>
      <c r="B792" s="35"/>
      <c r="C792" s="26"/>
      <c r="D792" s="26"/>
      <c r="E792" s="44"/>
      <c r="F792" s="26"/>
      <c r="G792" s="26"/>
      <c r="H792" s="147"/>
      <c r="I792" s="26"/>
      <c r="J792" s="26"/>
      <c r="K792" s="26"/>
      <c r="L792" s="26"/>
      <c r="M792" s="26"/>
      <c r="N792" s="148"/>
      <c r="O792" s="26"/>
      <c r="P792" s="26"/>
      <c r="Q792" s="26"/>
    </row>
    <row r="793" spans="1:17" x14ac:dyDescent="0.35">
      <c r="A793" s="26"/>
      <c r="B793" s="35"/>
      <c r="C793" s="26"/>
      <c r="D793" s="26"/>
      <c r="E793" s="44"/>
      <c r="F793" s="26"/>
      <c r="G793" s="26"/>
      <c r="H793" s="147"/>
      <c r="I793" s="26"/>
      <c r="J793" s="26"/>
      <c r="K793" s="26"/>
      <c r="L793" s="26"/>
      <c r="M793" s="26"/>
      <c r="N793" s="148"/>
      <c r="O793" s="26"/>
      <c r="P793" s="26"/>
      <c r="Q793" s="26"/>
    </row>
    <row r="794" spans="1:17" x14ac:dyDescent="0.35">
      <c r="A794" s="26"/>
      <c r="B794" s="35"/>
      <c r="C794" s="26"/>
      <c r="D794" s="26"/>
      <c r="E794" s="44"/>
      <c r="F794" s="26"/>
      <c r="G794" s="26"/>
      <c r="H794" s="147"/>
      <c r="I794" s="26"/>
      <c r="J794" s="26"/>
      <c r="K794" s="26"/>
      <c r="L794" s="26"/>
      <c r="M794" s="26"/>
      <c r="N794" s="148"/>
      <c r="O794" s="26"/>
      <c r="P794" s="26"/>
      <c r="Q794" s="26"/>
    </row>
    <row r="795" spans="1:17" x14ac:dyDescent="0.35">
      <c r="A795" s="26"/>
      <c r="B795" s="35"/>
      <c r="C795" s="26"/>
      <c r="D795" s="26"/>
      <c r="E795" s="44"/>
      <c r="F795" s="26"/>
      <c r="G795" s="26"/>
      <c r="H795" s="147"/>
      <c r="I795" s="26"/>
      <c r="J795" s="26"/>
      <c r="K795" s="26"/>
      <c r="L795" s="26"/>
      <c r="M795" s="26"/>
      <c r="N795" s="148"/>
      <c r="O795" s="26"/>
      <c r="P795" s="26"/>
      <c r="Q795" s="26"/>
    </row>
    <row r="796" spans="1:17" x14ac:dyDescent="0.35">
      <c r="A796" s="26"/>
      <c r="B796" s="35"/>
      <c r="C796" s="26"/>
      <c r="D796" s="26"/>
      <c r="E796" s="44"/>
      <c r="F796" s="26"/>
      <c r="G796" s="26"/>
      <c r="H796" s="147"/>
      <c r="I796" s="26"/>
      <c r="J796" s="26"/>
      <c r="K796" s="26"/>
      <c r="L796" s="26"/>
      <c r="M796" s="26"/>
      <c r="N796" s="148"/>
      <c r="O796" s="26"/>
      <c r="P796" s="26"/>
      <c r="Q796" s="26"/>
    </row>
    <row r="797" spans="1:17" x14ac:dyDescent="0.35">
      <c r="A797" s="26"/>
      <c r="B797" s="35"/>
      <c r="C797" s="26"/>
      <c r="D797" s="26"/>
      <c r="E797" s="44"/>
      <c r="F797" s="26"/>
      <c r="G797" s="26"/>
      <c r="H797" s="147"/>
      <c r="I797" s="26"/>
      <c r="J797" s="26"/>
      <c r="K797" s="26"/>
      <c r="L797" s="26"/>
      <c r="M797" s="26"/>
      <c r="N797" s="148"/>
      <c r="O797" s="26"/>
      <c r="P797" s="26"/>
      <c r="Q797" s="26"/>
    </row>
    <row r="798" spans="1:17" x14ac:dyDescent="0.35">
      <c r="A798" s="26"/>
      <c r="B798" s="35"/>
      <c r="C798" s="26"/>
      <c r="D798" s="26"/>
      <c r="E798" s="44"/>
      <c r="F798" s="26"/>
      <c r="G798" s="26"/>
      <c r="H798" s="147"/>
      <c r="I798" s="26"/>
      <c r="J798" s="26"/>
      <c r="K798" s="26"/>
      <c r="L798" s="26"/>
      <c r="M798" s="26"/>
      <c r="N798" s="148"/>
      <c r="O798" s="26"/>
      <c r="P798" s="26"/>
      <c r="Q798" s="26"/>
    </row>
    <row r="799" spans="1:17" x14ac:dyDescent="0.35">
      <c r="A799" s="26"/>
      <c r="B799" s="35"/>
      <c r="C799" s="26"/>
      <c r="D799" s="26"/>
      <c r="E799" s="44"/>
      <c r="F799" s="26"/>
      <c r="G799" s="26"/>
      <c r="H799" s="147"/>
      <c r="I799" s="26"/>
      <c r="J799" s="26"/>
      <c r="K799" s="26"/>
      <c r="L799" s="26"/>
      <c r="M799" s="26"/>
      <c r="N799" s="148"/>
      <c r="O799" s="26"/>
      <c r="P799" s="26"/>
      <c r="Q799" s="26"/>
    </row>
    <row r="800" spans="1:17" x14ac:dyDescent="0.35">
      <c r="A800" s="26"/>
      <c r="B800" s="35"/>
      <c r="C800" s="26"/>
      <c r="D800" s="26"/>
      <c r="E800" s="44"/>
      <c r="F800" s="26"/>
      <c r="G800" s="26"/>
      <c r="H800" s="147"/>
      <c r="I800" s="26"/>
      <c r="J800" s="26"/>
      <c r="K800" s="26"/>
      <c r="L800" s="26"/>
      <c r="M800" s="26"/>
      <c r="N800" s="148"/>
      <c r="O800" s="26"/>
      <c r="P800" s="26"/>
      <c r="Q800" s="26"/>
    </row>
    <row r="801" spans="1:17" x14ac:dyDescent="0.35">
      <c r="A801" s="26"/>
      <c r="B801" s="35"/>
      <c r="C801" s="26"/>
      <c r="D801" s="26"/>
      <c r="E801" s="44"/>
      <c r="F801" s="26"/>
      <c r="G801" s="26"/>
      <c r="H801" s="147"/>
      <c r="I801" s="26"/>
      <c r="J801" s="26"/>
      <c r="K801" s="26"/>
      <c r="L801" s="26"/>
      <c r="M801" s="26"/>
      <c r="N801" s="148"/>
      <c r="O801" s="26"/>
      <c r="P801" s="26"/>
      <c r="Q801" s="26"/>
    </row>
    <row r="802" spans="1:17" x14ac:dyDescent="0.35">
      <c r="A802" s="26"/>
      <c r="B802" s="35"/>
      <c r="C802" s="26"/>
      <c r="D802" s="26"/>
      <c r="E802" s="44"/>
      <c r="F802" s="26"/>
      <c r="G802" s="26"/>
      <c r="H802" s="147"/>
      <c r="I802" s="26"/>
      <c r="J802" s="26"/>
      <c r="K802" s="26"/>
      <c r="L802" s="26"/>
      <c r="M802" s="26"/>
      <c r="N802" s="148"/>
      <c r="O802" s="26"/>
      <c r="P802" s="26"/>
      <c r="Q802" s="26"/>
    </row>
    <row r="803" spans="1:17" x14ac:dyDescent="0.35">
      <c r="A803" s="26"/>
      <c r="B803" s="35"/>
      <c r="C803" s="26"/>
      <c r="D803" s="26"/>
      <c r="E803" s="44"/>
      <c r="F803" s="26"/>
      <c r="G803" s="26"/>
      <c r="H803" s="147"/>
      <c r="I803" s="26"/>
      <c r="J803" s="26"/>
      <c r="K803" s="26"/>
      <c r="L803" s="26"/>
      <c r="M803" s="26"/>
      <c r="N803" s="148"/>
      <c r="O803" s="26"/>
      <c r="P803" s="26"/>
      <c r="Q803" s="26"/>
    </row>
    <row r="804" spans="1:17" x14ac:dyDescent="0.35">
      <c r="A804" s="26"/>
      <c r="B804" s="35"/>
      <c r="C804" s="26"/>
      <c r="D804" s="26"/>
      <c r="E804" s="44"/>
      <c r="F804" s="26"/>
      <c r="G804" s="26"/>
      <c r="H804" s="147"/>
      <c r="I804" s="26"/>
      <c r="J804" s="26"/>
      <c r="K804" s="26"/>
      <c r="L804" s="26"/>
      <c r="M804" s="26"/>
      <c r="N804" s="148"/>
      <c r="O804" s="26"/>
      <c r="P804" s="26"/>
      <c r="Q804" s="26"/>
    </row>
    <row r="805" spans="1:17" x14ac:dyDescent="0.35">
      <c r="A805" s="26"/>
      <c r="B805" s="35"/>
      <c r="C805" s="26"/>
      <c r="D805" s="26"/>
      <c r="E805" s="44"/>
      <c r="F805" s="26"/>
      <c r="G805" s="26"/>
      <c r="H805" s="147"/>
      <c r="I805" s="26"/>
      <c r="J805" s="26"/>
      <c r="K805" s="26"/>
      <c r="L805" s="26"/>
      <c r="M805" s="26"/>
      <c r="N805" s="148"/>
      <c r="O805" s="26"/>
      <c r="P805" s="26"/>
      <c r="Q805" s="26"/>
    </row>
    <row r="806" spans="1:17" x14ac:dyDescent="0.35">
      <c r="A806" s="26"/>
      <c r="B806" s="35"/>
      <c r="C806" s="26"/>
      <c r="D806" s="26"/>
      <c r="E806" s="44"/>
      <c r="F806" s="26"/>
      <c r="G806" s="26"/>
      <c r="H806" s="147"/>
      <c r="I806" s="26"/>
      <c r="J806" s="26"/>
      <c r="K806" s="26"/>
      <c r="L806" s="26"/>
      <c r="M806" s="26"/>
      <c r="N806" s="148"/>
      <c r="O806" s="26"/>
      <c r="P806" s="26"/>
      <c r="Q806" s="26"/>
    </row>
    <row r="807" spans="1:17" x14ac:dyDescent="0.35">
      <c r="A807" s="26"/>
      <c r="B807" s="35"/>
      <c r="C807" s="26"/>
      <c r="D807" s="26"/>
      <c r="E807" s="44"/>
      <c r="F807" s="26"/>
      <c r="G807" s="26"/>
      <c r="H807" s="147"/>
      <c r="I807" s="26"/>
      <c r="J807" s="26"/>
      <c r="K807" s="26"/>
      <c r="L807" s="26"/>
      <c r="M807" s="26"/>
      <c r="N807" s="148"/>
      <c r="O807" s="26"/>
      <c r="P807" s="26"/>
      <c r="Q807" s="26"/>
    </row>
    <row r="808" spans="1:17" x14ac:dyDescent="0.35">
      <c r="A808" s="26"/>
      <c r="B808" s="35"/>
      <c r="C808" s="26"/>
      <c r="D808" s="26"/>
      <c r="E808" s="44"/>
      <c r="F808" s="26"/>
      <c r="G808" s="26"/>
      <c r="H808" s="147"/>
      <c r="I808" s="26"/>
      <c r="J808" s="26"/>
      <c r="K808" s="26"/>
      <c r="L808" s="26"/>
      <c r="M808" s="26"/>
      <c r="N808" s="148"/>
      <c r="O808" s="26"/>
      <c r="P808" s="26"/>
      <c r="Q808" s="26"/>
    </row>
    <row r="809" spans="1:17" x14ac:dyDescent="0.35">
      <c r="A809" s="26"/>
      <c r="B809" s="35"/>
      <c r="C809" s="26"/>
      <c r="D809" s="26"/>
      <c r="E809" s="44"/>
      <c r="F809" s="26"/>
      <c r="G809" s="26"/>
      <c r="H809" s="147"/>
      <c r="I809" s="26"/>
      <c r="J809" s="26"/>
      <c r="K809" s="26"/>
      <c r="L809" s="26"/>
      <c r="M809" s="26"/>
      <c r="N809" s="148"/>
      <c r="O809" s="26"/>
      <c r="P809" s="26"/>
      <c r="Q809" s="26"/>
    </row>
    <row r="810" spans="1:17" x14ac:dyDescent="0.35">
      <c r="A810" s="26"/>
      <c r="B810" s="35"/>
      <c r="C810" s="26"/>
      <c r="D810" s="26"/>
      <c r="E810" s="44"/>
      <c r="F810" s="26"/>
      <c r="G810" s="26"/>
      <c r="H810" s="147"/>
      <c r="I810" s="26"/>
      <c r="J810" s="26"/>
      <c r="K810" s="26"/>
      <c r="L810" s="26"/>
      <c r="M810" s="26"/>
      <c r="N810" s="148"/>
      <c r="O810" s="26"/>
      <c r="P810" s="26"/>
      <c r="Q810" s="26"/>
    </row>
    <row r="811" spans="1:17" x14ac:dyDescent="0.35">
      <c r="A811" s="26"/>
      <c r="B811" s="35"/>
      <c r="C811" s="26"/>
      <c r="D811" s="26"/>
      <c r="E811" s="44"/>
      <c r="F811" s="26"/>
      <c r="G811" s="26"/>
      <c r="H811" s="147"/>
      <c r="I811" s="26"/>
      <c r="J811" s="26"/>
      <c r="K811" s="26"/>
      <c r="L811" s="26"/>
      <c r="M811" s="26"/>
      <c r="N811" s="148"/>
      <c r="O811" s="26"/>
      <c r="P811" s="26"/>
      <c r="Q811" s="26"/>
    </row>
    <row r="812" spans="1:17" x14ac:dyDescent="0.35">
      <c r="A812" s="26"/>
      <c r="B812" s="35"/>
      <c r="C812" s="26"/>
      <c r="D812" s="26"/>
      <c r="E812" s="44"/>
      <c r="F812" s="26"/>
      <c r="G812" s="26"/>
      <c r="H812" s="147"/>
      <c r="I812" s="26"/>
      <c r="J812" s="26"/>
      <c r="K812" s="26"/>
      <c r="L812" s="26"/>
      <c r="M812" s="26"/>
      <c r="N812" s="148"/>
      <c r="O812" s="26"/>
      <c r="P812" s="26"/>
      <c r="Q812" s="26"/>
    </row>
    <row r="813" spans="1:17" x14ac:dyDescent="0.35">
      <c r="A813" s="26"/>
      <c r="B813" s="35"/>
      <c r="C813" s="26"/>
      <c r="D813" s="26"/>
      <c r="E813" s="44"/>
      <c r="F813" s="26"/>
      <c r="G813" s="26"/>
      <c r="H813" s="147"/>
      <c r="I813" s="26"/>
      <c r="J813" s="26"/>
      <c r="K813" s="26"/>
      <c r="L813" s="26"/>
      <c r="M813" s="26"/>
      <c r="N813" s="148"/>
      <c r="O813" s="26"/>
      <c r="P813" s="26"/>
      <c r="Q813" s="26"/>
    </row>
    <row r="814" spans="1:17" x14ac:dyDescent="0.35">
      <c r="A814" s="26"/>
      <c r="B814" s="35"/>
      <c r="C814" s="26"/>
      <c r="D814" s="26"/>
      <c r="E814" s="44"/>
      <c r="F814" s="26"/>
      <c r="G814" s="26"/>
      <c r="H814" s="147"/>
      <c r="I814" s="26"/>
      <c r="J814" s="26"/>
      <c r="K814" s="26"/>
      <c r="L814" s="26"/>
      <c r="M814" s="26"/>
      <c r="N814" s="148"/>
      <c r="O814" s="26"/>
      <c r="P814" s="26"/>
      <c r="Q814" s="26"/>
    </row>
    <row r="815" spans="1:17" x14ac:dyDescent="0.35">
      <c r="A815" s="26"/>
      <c r="B815" s="35"/>
      <c r="C815" s="26"/>
      <c r="D815" s="26"/>
      <c r="E815" s="44"/>
      <c r="F815" s="26"/>
      <c r="G815" s="26"/>
      <c r="H815" s="147"/>
      <c r="I815" s="26"/>
      <c r="J815" s="26"/>
      <c r="K815" s="26"/>
      <c r="L815" s="26"/>
      <c r="M815" s="26"/>
      <c r="N815" s="148"/>
      <c r="O815" s="26"/>
      <c r="P815" s="26"/>
      <c r="Q815" s="26"/>
    </row>
    <row r="816" spans="1:17" x14ac:dyDescent="0.35">
      <c r="A816" s="26"/>
      <c r="B816" s="35"/>
      <c r="C816" s="26"/>
      <c r="D816" s="26"/>
      <c r="E816" s="44"/>
      <c r="F816" s="26"/>
      <c r="G816" s="26"/>
      <c r="H816" s="147"/>
      <c r="I816" s="26"/>
      <c r="J816" s="26"/>
      <c r="K816" s="26"/>
      <c r="L816" s="26"/>
      <c r="M816" s="26"/>
      <c r="N816" s="148"/>
      <c r="O816" s="26"/>
      <c r="P816" s="26"/>
      <c r="Q816" s="26"/>
    </row>
    <row r="817" spans="1:17" x14ac:dyDescent="0.35">
      <c r="A817" s="26"/>
      <c r="B817" s="35"/>
      <c r="C817" s="26"/>
      <c r="D817" s="26"/>
      <c r="E817" s="44"/>
      <c r="F817" s="26"/>
      <c r="G817" s="26"/>
      <c r="H817" s="147"/>
      <c r="I817" s="26"/>
      <c r="J817" s="26"/>
      <c r="K817" s="26"/>
      <c r="L817" s="26"/>
      <c r="M817" s="26"/>
      <c r="N817" s="148"/>
      <c r="O817" s="26"/>
      <c r="P817" s="26"/>
      <c r="Q817" s="26"/>
    </row>
    <row r="818" spans="1:17" x14ac:dyDescent="0.35">
      <c r="A818" s="26"/>
      <c r="B818" s="35"/>
      <c r="C818" s="26"/>
      <c r="D818" s="26"/>
      <c r="E818" s="44"/>
      <c r="F818" s="26"/>
      <c r="G818" s="26"/>
      <c r="H818" s="147"/>
      <c r="I818" s="26"/>
      <c r="J818" s="26"/>
      <c r="K818" s="26"/>
      <c r="L818" s="26"/>
      <c r="M818" s="26"/>
      <c r="N818" s="148"/>
      <c r="O818" s="26"/>
      <c r="P818" s="26"/>
      <c r="Q818" s="26"/>
    </row>
    <row r="819" spans="1:17" x14ac:dyDescent="0.35">
      <c r="A819" s="26"/>
      <c r="B819" s="35"/>
      <c r="C819" s="26"/>
      <c r="D819" s="26"/>
      <c r="E819" s="44"/>
      <c r="F819" s="26"/>
      <c r="G819" s="26"/>
      <c r="H819" s="147"/>
      <c r="I819" s="26"/>
      <c r="J819" s="26"/>
      <c r="K819" s="26"/>
      <c r="L819" s="26"/>
      <c r="M819" s="26"/>
      <c r="N819" s="148"/>
      <c r="O819" s="26"/>
      <c r="P819" s="26"/>
      <c r="Q819" s="26"/>
    </row>
    <row r="820" spans="1:17" x14ac:dyDescent="0.35">
      <c r="A820" s="26"/>
      <c r="B820" s="35"/>
      <c r="C820" s="26"/>
      <c r="D820" s="26"/>
      <c r="E820" s="44"/>
      <c r="F820" s="26"/>
      <c r="G820" s="26"/>
      <c r="H820" s="147"/>
      <c r="I820" s="26"/>
      <c r="J820" s="26"/>
      <c r="K820" s="26"/>
      <c r="L820" s="26"/>
      <c r="M820" s="26"/>
      <c r="N820" s="148"/>
      <c r="O820" s="26"/>
      <c r="P820" s="26"/>
      <c r="Q820" s="26"/>
    </row>
    <row r="821" spans="1:17" x14ac:dyDescent="0.35">
      <c r="A821" s="26"/>
      <c r="B821" s="35"/>
      <c r="C821" s="26"/>
      <c r="D821" s="26"/>
      <c r="E821" s="44"/>
      <c r="F821" s="26"/>
      <c r="G821" s="26"/>
      <c r="H821" s="147"/>
      <c r="I821" s="26"/>
      <c r="J821" s="26"/>
      <c r="K821" s="26"/>
      <c r="L821" s="26"/>
      <c r="M821" s="26"/>
      <c r="N821" s="148"/>
      <c r="O821" s="26"/>
      <c r="P821" s="26"/>
      <c r="Q821" s="26"/>
    </row>
  </sheetData>
  <pageMargins left="0.7" right="0.7" top="0.75" bottom="0.75" header="0.3" footer="0.3"/>
  <pageSetup paperSize="9" scale="45" fitToHeight="0" orientation="landscape" r:id="rId1"/>
  <colBreaks count="1" manualBreakCount="1">
    <brk id="1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63"/>
  <sheetViews>
    <sheetView tabSelected="1" topLeftCell="AW7" zoomScale="85" zoomScaleNormal="85" workbookViewId="0">
      <selection activeCell="BM36" sqref="BM36"/>
    </sheetView>
  </sheetViews>
  <sheetFormatPr defaultColWidth="8.81640625" defaultRowHeight="15.5" x14ac:dyDescent="0.35"/>
  <cols>
    <col min="1" max="1" width="9.26953125" style="732" customWidth="1"/>
    <col min="2" max="2" width="10.26953125" style="732" customWidth="1"/>
    <col min="3" max="3" width="9.1796875" style="13" customWidth="1"/>
    <col min="4" max="4" width="9" style="13" customWidth="1"/>
    <col min="5" max="5" width="10.54296875" style="13" customWidth="1"/>
    <col min="6" max="6" width="10.453125" style="13" customWidth="1"/>
    <col min="7" max="7" width="10.81640625" style="13" customWidth="1"/>
    <col min="8" max="8" width="11.7265625" style="13" customWidth="1"/>
    <col min="9" max="9" width="10.453125" style="13" customWidth="1"/>
    <col min="10" max="10" width="10.81640625" style="13" customWidth="1"/>
    <col min="11" max="11" width="10.7265625" style="13" customWidth="1"/>
    <col min="12" max="12" width="10.81640625" style="13" customWidth="1"/>
    <col min="13" max="13" width="9.7265625" style="13" customWidth="1"/>
    <col min="14" max="14" width="11.26953125" style="13" customWidth="1"/>
    <col min="15" max="15" width="10.81640625" style="13" customWidth="1"/>
    <col min="16" max="16" width="11.7265625" style="13" customWidth="1"/>
    <col min="17" max="17" width="10.81640625" style="13" customWidth="1"/>
    <col min="18" max="18" width="10.7265625" style="13" bestFit="1" customWidth="1"/>
    <col min="19" max="19" width="12.1796875" style="13" customWidth="1"/>
    <col min="20" max="20" width="12.26953125" style="13" customWidth="1"/>
    <col min="21" max="21" width="11" style="13" bestFit="1" customWidth="1"/>
    <col min="22" max="22" width="12.453125" style="13" customWidth="1"/>
    <col min="23" max="25" width="10.81640625" style="13" customWidth="1"/>
    <col min="26" max="26" width="11.1796875" style="13" customWidth="1"/>
    <col min="27" max="27" width="10.26953125" style="13" bestFit="1" customWidth="1"/>
    <col min="28" max="28" width="11.54296875" style="13" customWidth="1"/>
    <col min="29" max="29" width="10.81640625" style="13" customWidth="1"/>
    <col min="30" max="30" width="10.7265625" style="13" customWidth="1"/>
    <col min="31" max="31" width="10.453125" style="13" customWidth="1"/>
    <col min="32" max="32" width="10.81640625" style="13" customWidth="1"/>
    <col min="33" max="33" width="10.453125" style="13" customWidth="1"/>
    <col min="34" max="34" width="10.81640625" style="13" customWidth="1"/>
    <col min="35" max="35" width="10.7265625" style="13" customWidth="1"/>
    <col min="36" max="36" width="10.81640625" style="13" customWidth="1"/>
    <col min="37" max="37" width="11.26953125" style="13" customWidth="1"/>
    <col min="38" max="40" width="11.1796875" style="13" customWidth="1"/>
    <col min="41" max="41" width="11.81640625" style="13" customWidth="1"/>
    <col min="42" max="42" width="11" style="13" customWidth="1"/>
    <col min="43" max="46" width="10.453125" style="13" customWidth="1"/>
    <col min="47" max="47" width="11.54296875" style="13" customWidth="1"/>
    <col min="48" max="48" width="10.54296875" style="13" customWidth="1"/>
    <col min="49" max="49" width="10.7265625" style="13" customWidth="1"/>
    <col min="50" max="50" width="10.7265625" style="13" bestFit="1" customWidth="1"/>
    <col min="51" max="51" width="10.81640625" style="13" customWidth="1"/>
    <col min="52" max="52" width="10.7265625" style="13" bestFit="1" customWidth="1"/>
    <col min="53" max="53" width="9.453125" style="13" customWidth="1"/>
    <col min="54" max="54" width="10.7265625" style="13" bestFit="1" customWidth="1"/>
    <col min="55" max="55" width="9.1796875" style="13" customWidth="1"/>
    <col min="56" max="56" width="10.26953125" style="13" customWidth="1"/>
    <col min="57" max="57" width="10.1796875" style="13" customWidth="1"/>
    <col min="58" max="58" width="10.453125" style="13" customWidth="1"/>
    <col min="59" max="62" width="9.81640625" style="13" customWidth="1"/>
    <col min="63" max="63" width="9.453125" style="13" customWidth="1"/>
    <col min="64" max="64" width="9.7265625" style="13" customWidth="1"/>
    <col min="65" max="65" width="10.453125" style="13" customWidth="1"/>
    <col min="66" max="66" width="10.81640625" style="13" customWidth="1"/>
    <col min="67" max="67" width="9.81640625" style="13" customWidth="1"/>
    <col min="68" max="68" width="10.7265625" style="13" customWidth="1"/>
    <col min="69" max="69" width="12.26953125" style="13" customWidth="1"/>
    <col min="70" max="70" width="11.1796875" style="13" customWidth="1"/>
    <col min="71" max="71" width="10.7265625" style="13" customWidth="1"/>
    <col min="72" max="72" width="11.54296875" style="13" customWidth="1"/>
    <col min="73" max="73" width="11.7265625" style="13" customWidth="1"/>
    <col min="74" max="75" width="10.81640625" style="13" customWidth="1"/>
    <col min="76" max="76" width="11.26953125" style="13" customWidth="1"/>
    <col min="77" max="77" width="10.7265625" style="13" customWidth="1"/>
    <col min="78" max="78" width="10" style="13" customWidth="1"/>
    <col min="79" max="79" width="10.54296875" style="13" customWidth="1"/>
    <col min="80" max="80" width="10.26953125" style="13" customWidth="1"/>
    <col min="81" max="81" width="10" style="13" customWidth="1"/>
    <col min="82" max="82" width="11.7265625" style="13" customWidth="1"/>
    <col min="83" max="83" width="10.453125" style="13" customWidth="1"/>
    <col min="84" max="84" width="8.81640625" style="13"/>
    <col min="85" max="85" width="10" style="13" customWidth="1"/>
    <col min="86" max="86" width="10.7265625" style="13" customWidth="1"/>
    <col min="87" max="87" width="9.81640625" style="13" customWidth="1"/>
    <col min="88" max="88" width="10.7265625" style="13" customWidth="1"/>
    <col min="89" max="90" width="8.54296875" style="13" customWidth="1"/>
    <col min="91" max="91" width="8.81640625" style="13"/>
    <col min="92" max="92" width="11.54296875" style="13" bestFit="1" customWidth="1"/>
    <col min="93" max="96" width="8.81640625" style="13"/>
    <col min="97" max="97" width="11.54296875" style="13" bestFit="1" customWidth="1"/>
    <col min="98" max="100" width="8.81640625" style="13"/>
    <col min="101" max="101" width="11.54296875" style="13" bestFit="1" customWidth="1"/>
    <col min="102" max="16384" width="8.81640625" style="13"/>
  </cols>
  <sheetData>
    <row r="1" spans="1:104" x14ac:dyDescent="0.35">
      <c r="Y1" s="1071"/>
    </row>
    <row r="2" spans="1:104" x14ac:dyDescent="0.35">
      <c r="Y2" s="111">
        <f>AD10+AD11</f>
        <v>37.5</v>
      </c>
      <c r="Z2" s="111">
        <f>AF10+AF11</f>
        <v>37.5</v>
      </c>
      <c r="AA2" s="401">
        <f>AH10+AH11</f>
        <v>37.5</v>
      </c>
      <c r="AB2" s="85" t="s">
        <v>864</v>
      </c>
      <c r="AC2" s="1329">
        <f t="shared" ref="AC2:AH2" si="0">AC12+AC13</f>
        <v>1393.9924265378454</v>
      </c>
      <c r="AD2" s="1329">
        <f t="shared" si="0"/>
        <v>1393.9924265378454</v>
      </c>
      <c r="AE2" s="1329">
        <f t="shared" si="0"/>
        <v>1393.9924265378454</v>
      </c>
      <c r="AF2" s="1329">
        <f t="shared" si="0"/>
        <v>1393.9924265378454</v>
      </c>
      <c r="AG2" s="395">
        <f t="shared" si="0"/>
        <v>1393.9924265378452</v>
      </c>
      <c r="AH2" s="395">
        <f t="shared" si="0"/>
        <v>1393.9924265378452</v>
      </c>
      <c r="AI2" s="85" t="s">
        <v>857</v>
      </c>
      <c r="AY2" s="650" t="s">
        <v>72</v>
      </c>
      <c r="BB2" s="506"/>
      <c r="BC2" s="653" t="s">
        <v>72</v>
      </c>
      <c r="BG2" s="1332" t="s">
        <v>332</v>
      </c>
      <c r="BJ2" s="506"/>
      <c r="BK2" s="650" t="s">
        <v>72</v>
      </c>
      <c r="BL2" s="653" t="str">
        <f>BC2</f>
        <v>D:T=1:1</v>
      </c>
      <c r="BM2" s="654" t="s">
        <v>332</v>
      </c>
      <c r="CR2" s="26"/>
      <c r="CS2" s="26"/>
      <c r="CT2" s="26"/>
      <c r="CU2" s="26"/>
      <c r="CV2" s="26"/>
      <c r="CW2" s="26"/>
      <c r="CX2" s="26"/>
      <c r="CY2" s="26"/>
      <c r="CZ2" s="26"/>
    </row>
    <row r="3" spans="1:104" x14ac:dyDescent="0.35">
      <c r="Y3" s="505">
        <f>AC12+AC13</f>
        <v>1393.9924265378454</v>
      </c>
      <c r="Z3" s="222">
        <f>AF12+AF13</f>
        <v>1393.9924265378454</v>
      </c>
      <c r="AA3" s="222">
        <f>AH12+AH13</f>
        <v>1393.9924265378452</v>
      </c>
      <c r="AB3" s="85" t="s">
        <v>865</v>
      </c>
      <c r="AC3" s="1330">
        <f t="shared" ref="AC3:AH3" si="1">AC10+AC11+AC2</f>
        <v>1431.4924265378454</v>
      </c>
      <c r="AD3" s="1330">
        <f t="shared" si="1"/>
        <v>1431.4924265378454</v>
      </c>
      <c r="AE3" s="1330">
        <f t="shared" si="1"/>
        <v>1431.4924265378454</v>
      </c>
      <c r="AF3" s="1330">
        <f t="shared" si="1"/>
        <v>1431.4924265378454</v>
      </c>
      <c r="AG3" s="1328">
        <f t="shared" si="1"/>
        <v>1431.4924265378452</v>
      </c>
      <c r="AH3" s="1328">
        <f t="shared" si="1"/>
        <v>1431.4924265378452</v>
      </c>
      <c r="AI3" s="1133" t="s">
        <v>858</v>
      </c>
      <c r="AY3" s="652" t="s">
        <v>48</v>
      </c>
      <c r="BC3" s="651" t="s">
        <v>862</v>
      </c>
      <c r="BG3" s="247" t="s">
        <v>48</v>
      </c>
      <c r="BK3" s="652" t="s">
        <v>48</v>
      </c>
      <c r="BL3" s="651" t="s">
        <v>863</v>
      </c>
      <c r="BM3" s="247" t="s">
        <v>48</v>
      </c>
      <c r="CE3" s="13" t="s">
        <v>232</v>
      </c>
      <c r="CR3" s="26"/>
      <c r="CS3" s="26"/>
      <c r="CT3" s="26"/>
      <c r="CU3" s="26"/>
      <c r="CV3" s="26"/>
      <c r="CW3" s="26"/>
      <c r="CX3" s="26"/>
      <c r="CY3" s="26"/>
      <c r="CZ3" s="26"/>
    </row>
    <row r="4" spans="1:104" ht="18.5" x14ac:dyDescent="0.35">
      <c r="B4" s="1263" t="s">
        <v>11</v>
      </c>
      <c r="C4" s="1264" t="s">
        <v>11</v>
      </c>
      <c r="D4" s="542" t="s">
        <v>79</v>
      </c>
      <c r="M4" s="998">
        <f>'баланс дейтерий'!E262*1000/(365*24*60*60)</f>
        <v>0</v>
      </c>
      <c r="N4" s="444" t="s">
        <v>79</v>
      </c>
      <c r="Y4" s="111">
        <f>AD16+AD17</f>
        <v>222.28485390834436</v>
      </c>
      <c r="Z4" s="111">
        <f>AF16+AF17</f>
        <v>222.28485390834436</v>
      </c>
      <c r="AA4" s="401">
        <f>AH16+AH17</f>
        <v>222.28485390834436</v>
      </c>
      <c r="AB4" s="85" t="s">
        <v>451</v>
      </c>
      <c r="AD4" s="13" t="s">
        <v>590</v>
      </c>
      <c r="BF4" s="104"/>
      <c r="CR4" s="800"/>
      <c r="CS4" s="801"/>
      <c r="CT4" s="800"/>
      <c r="CU4" s="148"/>
      <c r="CV4" s="800"/>
      <c r="CW4" s="801"/>
      <c r="CX4" s="800"/>
      <c r="CY4" s="26"/>
      <c r="CZ4" s="26"/>
    </row>
    <row r="5" spans="1:104" x14ac:dyDescent="0.35">
      <c r="B5" s="709">
        <f>'баланс тритий'!E264</f>
        <v>4.6701012986452121E-3</v>
      </c>
      <c r="C5" s="426">
        <f>'баланс тритий'!E262</f>
        <v>4.5417578513141914E-3</v>
      </c>
      <c r="M5" s="999">
        <f>'баланс дейтерий'!E264*1000/(365*24*60*60)</f>
        <v>-1.5142414966094683E-3</v>
      </c>
      <c r="Y5" s="111">
        <f>AC20+AC21</f>
        <v>1652.3943906809268</v>
      </c>
      <c r="Z5" s="111">
        <f>AF20+AF21</f>
        <v>1651.0755733392293</v>
      </c>
      <c r="AA5" s="401">
        <f>AH20+AH21</f>
        <v>1651.0755733392291</v>
      </c>
      <c r="AB5" s="85" t="s">
        <v>869</v>
      </c>
      <c r="AJ5" s="26"/>
      <c r="AK5" s="26"/>
      <c r="AL5" s="1016"/>
      <c r="AM5" s="148">
        <f>('[2]динамика изотопов в ТЦ'!$N$35-'[2]динамика изотопов в ТЦ'!$U$35)/10^19-AM6</f>
        <v>209.43043493828995</v>
      </c>
      <c r="AN5" s="26"/>
      <c r="AO5" s="26"/>
      <c r="AP5" s="26"/>
      <c r="AQ5" s="26"/>
      <c r="BC5" s="1044" t="s">
        <v>816</v>
      </c>
      <c r="BD5" s="19"/>
      <c r="BE5" s="179" t="str">
        <f>'параметры для расчета'!C1</f>
        <v>ДЕМО-ТИН</v>
      </c>
      <c r="BF5" s="179"/>
      <c r="BJ5" s="19"/>
      <c r="BK5" s="218" t="s">
        <v>144</v>
      </c>
      <c r="BL5" s="179" t="str">
        <f>'параметры для расчета'!C1</f>
        <v>ДЕМО-ТИН</v>
      </c>
      <c r="BM5" s="179"/>
      <c r="CD5" s="218" t="s">
        <v>144</v>
      </c>
      <c r="CE5" s="375" t="s">
        <v>233</v>
      </c>
      <c r="CF5" s="1018"/>
      <c r="CG5" s="375" t="s">
        <v>234</v>
      </c>
      <c r="CI5" s="375" t="s">
        <v>80</v>
      </c>
      <c r="CR5" s="35"/>
      <c r="CS5" s="35"/>
      <c r="CT5" s="35"/>
      <c r="CU5" s="35"/>
      <c r="CV5" s="35"/>
      <c r="CW5" s="35"/>
      <c r="CX5" s="35"/>
      <c r="CY5" s="26"/>
      <c r="CZ5" s="26"/>
    </row>
    <row r="6" spans="1:104" x14ac:dyDescent="0.35">
      <c r="Y6" s="661">
        <f>Y2+Y3+Y4</f>
        <v>1653.7772804461897</v>
      </c>
      <c r="Z6" s="661">
        <f>Z4+Z2+Z3</f>
        <v>1653.7772804461897</v>
      </c>
      <c r="AA6" s="661">
        <f>AA4+AA2+AA3</f>
        <v>1653.7772804461895</v>
      </c>
      <c r="AB6" s="85" t="s">
        <v>866</v>
      </c>
      <c r="AC6" s="987" t="s">
        <v>562</v>
      </c>
      <c r="AD6" s="987"/>
      <c r="AE6" s="982" t="s">
        <v>562</v>
      </c>
      <c r="AF6" s="134"/>
      <c r="AG6" s="1310" t="s">
        <v>562</v>
      </c>
      <c r="AH6" s="82"/>
      <c r="AK6" s="1071" t="s">
        <v>946</v>
      </c>
      <c r="AL6" s="1405">
        <f>AC8*'[2]изменение параметров'!$AC$6</f>
        <v>0.40846536121182553</v>
      </c>
      <c r="AM6" s="1405">
        <f>AD8*'[2]изменение параметров'!$AC$35</f>
        <v>0.43828935568056931</v>
      </c>
      <c r="AN6" s="1405">
        <f>AE8*'[2]изменение параметров'!$AC$6</f>
        <v>0.40846536121182553</v>
      </c>
      <c r="AO6" s="1405">
        <f>AF8*'[2]изменение параметров'!$AC$35</f>
        <v>0.43828935568056931</v>
      </c>
      <c r="AP6" s="1405">
        <f>AG8*'[2]изменение параметров'!$AC$6</f>
        <v>0.40846536121182553</v>
      </c>
      <c r="AQ6" s="1405">
        <f>AH8*'[2]изменение параметров'!$AC$35</f>
        <v>0.43828935568056931</v>
      </c>
      <c r="BQ6" s="19"/>
      <c r="CR6" s="161"/>
      <c r="CS6" s="161"/>
      <c r="CT6" s="161"/>
      <c r="CU6" s="161"/>
      <c r="CV6" s="161"/>
      <c r="CW6" s="161"/>
      <c r="CX6" s="161"/>
      <c r="CY6" s="26"/>
      <c r="CZ6" s="26"/>
    </row>
    <row r="7" spans="1:104" ht="16" thickBot="1" x14ac:dyDescent="0.4">
      <c r="C7" s="1094"/>
      <c r="E7" s="1094"/>
      <c r="K7" s="1094" t="s">
        <v>654</v>
      </c>
      <c r="L7" s="1094" t="s">
        <v>631</v>
      </c>
      <c r="M7" s="1094" t="s">
        <v>631</v>
      </c>
      <c r="S7" s="38"/>
      <c r="AC7" s="981" t="s">
        <v>537</v>
      </c>
      <c r="AD7" s="981" t="s">
        <v>856</v>
      </c>
      <c r="AE7" s="981" t="s">
        <v>537</v>
      </c>
      <c r="AF7" s="981" t="s">
        <v>538</v>
      </c>
      <c r="AG7" s="981" t="s">
        <v>537</v>
      </c>
      <c r="AH7" s="981" t="s">
        <v>538</v>
      </c>
      <c r="AX7" s="1420" t="s">
        <v>312</v>
      </c>
      <c r="AY7" s="1420"/>
      <c r="AZ7" s="1421" t="s">
        <v>239</v>
      </c>
      <c r="BA7" s="1421"/>
      <c r="BB7" s="1420" t="s">
        <v>312</v>
      </c>
      <c r="BC7" s="1420"/>
      <c r="BD7" s="1421" t="s">
        <v>239</v>
      </c>
      <c r="BE7" s="1421"/>
      <c r="BF7" s="1420" t="s">
        <v>312</v>
      </c>
      <c r="BG7" s="1420"/>
      <c r="BH7" s="1421" t="s">
        <v>239</v>
      </c>
      <c r="BI7" s="1421"/>
      <c r="BJ7" s="19"/>
      <c r="BK7" s="1260">
        <f>'[4]поэлементый расчет систем'!$Q$89</f>
        <v>99.999999999999972</v>
      </c>
      <c r="BL7" s="1260">
        <f>'[4]поэлементый расчет систем'!$Q$90</f>
        <v>100</v>
      </c>
      <c r="BM7" s="1260">
        <f>'[4]поэлементый расчет систем'!$Q$91</f>
        <v>136.60692781390321</v>
      </c>
      <c r="BN7" s="1312" t="s">
        <v>239</v>
      </c>
      <c r="BP7" s="19"/>
      <c r="BQ7" s="19"/>
      <c r="CD7" s="19"/>
      <c r="CE7" s="19"/>
      <c r="CF7" s="19"/>
      <c r="CG7" s="19"/>
      <c r="CH7" s="19"/>
      <c r="CI7" s="19"/>
      <c r="CR7" s="161"/>
      <c r="CS7" s="161"/>
      <c r="CT7" s="161"/>
      <c r="CU7" s="161"/>
      <c r="CV7" s="161"/>
      <c r="CW7" s="161"/>
      <c r="CX7" s="161"/>
      <c r="CY7" s="26"/>
      <c r="CZ7" s="26"/>
    </row>
    <row r="8" spans="1:104" ht="15" customHeight="1" x14ac:dyDescent="0.35">
      <c r="R8" s="1165" t="s">
        <v>97</v>
      </c>
      <c r="S8" s="14"/>
      <c r="Z8" s="104"/>
      <c r="AA8" s="104"/>
      <c r="AB8" s="984" t="s">
        <v>575</v>
      </c>
      <c r="AC8" s="222">
        <f>'[2]динамика изотопов в ТЦ'!AB6/10^19</f>
        <v>1.1784920981299063</v>
      </c>
      <c r="AD8" s="222">
        <f>'[2]динамика изотопов в ТЦ'!AB35/10^19</f>
        <v>1.3508535534802106</v>
      </c>
      <c r="AE8" s="222">
        <f>'[2]динамика изотопов в ТЦ'!AC6/10^19</f>
        <v>1.1784920981299063</v>
      </c>
      <c r="AF8" s="222">
        <f>'[2]динамика изотопов в ТЦ'!AC35/10^19</f>
        <v>1.3508535534802106</v>
      </c>
      <c r="AG8" s="222">
        <f>'[2]динамика изотопов в ТЦ'!AD6/10^19</f>
        <v>1.1784920981299063</v>
      </c>
      <c r="AH8" s="222">
        <f>'[2]динамика изотопов в ТЦ'!AD35/10^19</f>
        <v>1.3508535534802106</v>
      </c>
      <c r="AI8" s="963" t="s">
        <v>23</v>
      </c>
      <c r="AJ8" s="26"/>
      <c r="AK8" s="71" t="s">
        <v>947</v>
      </c>
      <c r="AL8" s="564">
        <f t="shared" ref="AL8:AQ8" si="2">AL10+AL14+AL18</f>
        <v>1.7129736748710964</v>
      </c>
      <c r="AM8" s="975">
        <f t="shared" si="2"/>
        <v>1.4324458786993135</v>
      </c>
      <c r="AN8" s="564">
        <f t="shared" si="2"/>
        <v>1.7129736748710964</v>
      </c>
      <c r="AO8" s="975">
        <f t="shared" si="2"/>
        <v>1.4324458786993135</v>
      </c>
      <c r="AP8" s="564">
        <f t="shared" si="2"/>
        <v>1.7493968669067086</v>
      </c>
      <c r="AQ8" s="975">
        <f t="shared" si="2"/>
        <v>1.4627301862235704</v>
      </c>
      <c r="AU8" s="19"/>
      <c r="AV8" s="19"/>
      <c r="AW8" s="79" t="s">
        <v>710</v>
      </c>
      <c r="AX8" s="405">
        <f>'баланс тритий'!E288</f>
        <v>47.863149999999997</v>
      </c>
      <c r="AY8" s="434">
        <f>AX8/101325/0.0224</f>
        <v>2.10880608720172E-2</v>
      </c>
      <c r="AZ8" s="1251">
        <f>'баланс дейтерий'!E288</f>
        <v>47.863149999999997</v>
      </c>
      <c r="BA8" s="434">
        <f>AZ8/101325/0.0224</f>
        <v>2.10880608720172E-2</v>
      </c>
      <c r="BB8" s="405">
        <f>'баланс тритий'!E289</f>
        <v>47.863149999999997</v>
      </c>
      <c r="BC8" s="434">
        <f>BB8/101325/0.0224</f>
        <v>2.10880608720172E-2</v>
      </c>
      <c r="BD8" s="1251">
        <f>'баланс дейтерий'!E289</f>
        <v>47.863149999999997</v>
      </c>
      <c r="BE8" s="434">
        <f>BD8/101325/0.0224</f>
        <v>2.10880608720172E-2</v>
      </c>
      <c r="BF8" s="405">
        <f>'баланс тритий'!E290</f>
        <v>0.29440000000000005</v>
      </c>
      <c r="BG8" s="1054">
        <f>BF8/101325/0.0224</f>
        <v>1.2970991505410458E-4</v>
      </c>
      <c r="BH8" s="1252">
        <f>'баланс дейтерий'!E290</f>
        <v>95.431899999999985</v>
      </c>
      <c r="BI8" s="434">
        <f>BH8/101325/0.0224</f>
        <v>4.2046411828980293E-2</v>
      </c>
      <c r="BJ8" s="1413">
        <f>BG8+BI8</f>
        <v>4.2176121744034401E-2</v>
      </c>
      <c r="BK8" s="1257">
        <f>'[4]поэлементый расчет систем'!L89</f>
        <v>150</v>
      </c>
      <c r="BL8" s="1257">
        <f>'[4]поэлементый расчет систем'!L90</f>
        <v>150</v>
      </c>
      <c r="BM8" s="500">
        <f>ROUNDUP('[4]поэлементый расчет систем'!L91,0)</f>
        <v>8</v>
      </c>
      <c r="BN8" s="22" t="s">
        <v>2</v>
      </c>
      <c r="BO8" s="1019"/>
      <c r="BP8" s="22"/>
      <c r="BQ8" s="406"/>
      <c r="BR8" s="1382">
        <f t="shared" ref="BR8:BS10" si="3">BL8</f>
        <v>150</v>
      </c>
      <c r="BS8" s="1382">
        <f t="shared" si="3"/>
        <v>8</v>
      </c>
      <c r="BT8" s="1379" t="s">
        <v>918</v>
      </c>
      <c r="BU8" s="719"/>
      <c r="CD8" s="406"/>
      <c r="CE8" s="373" t="s">
        <v>235</v>
      </c>
      <c r="CF8" s="406"/>
      <c r="CG8" s="373" t="s">
        <v>11</v>
      </c>
      <c r="CH8" s="19"/>
      <c r="CI8" s="649"/>
      <c r="CR8" s="161"/>
      <c r="CS8" s="803"/>
      <c r="CT8" s="161"/>
      <c r="CU8" s="521"/>
      <c r="CV8" s="161"/>
      <c r="CW8" s="803"/>
      <c r="CX8" s="161"/>
      <c r="CY8" s="521"/>
      <c r="CZ8" s="26"/>
    </row>
    <row r="9" spans="1:104" x14ac:dyDescent="0.35">
      <c r="N9" s="436"/>
      <c r="S9" s="171" t="s">
        <v>187</v>
      </c>
      <c r="AB9" s="128" t="s">
        <v>576</v>
      </c>
      <c r="AC9" s="1099">
        <f>'[2]динамика изотопов в ТЦ'!AE6/10^19</f>
        <v>1.1784920981299063</v>
      </c>
      <c r="AD9" s="1099">
        <f>'[2]динамика изотопов в ТЦ'!AE35/10^19</f>
        <v>1.3508535534802106</v>
      </c>
      <c r="AE9" s="1099">
        <f>'[2]динамика изотопов в ТЦ'!AF6/10^19</f>
        <v>1.1784920981299063</v>
      </c>
      <c r="AF9" s="1099">
        <f>'[2]динамика изотопов в ТЦ'!AF35/10^19</f>
        <v>1.3508535534802106</v>
      </c>
      <c r="AG9" s="1099">
        <f>'[2]динамика изотопов в ТЦ'!AG6/10^19</f>
        <v>1.1784920981299063</v>
      </c>
      <c r="AH9" s="1099">
        <f>'[2]динамика изотопов в ТЦ'!AG35/10^19</f>
        <v>1.3508535534802106</v>
      </c>
      <c r="AI9" s="964" t="s">
        <v>22</v>
      </c>
      <c r="AJ9" s="26"/>
      <c r="AK9" s="97" t="s">
        <v>948</v>
      </c>
      <c r="AL9" s="564">
        <f t="shared" ref="AL9:AQ9" si="4">AL12+AL16+AL20</f>
        <v>1.7129736748710964</v>
      </c>
      <c r="AM9" s="975">
        <f t="shared" si="4"/>
        <v>2.3679830373055037</v>
      </c>
      <c r="AN9" s="564">
        <f t="shared" si="4"/>
        <v>1.7129736748710964</v>
      </c>
      <c r="AO9" s="975">
        <f t="shared" si="4"/>
        <v>2.3679830373055037</v>
      </c>
      <c r="AP9" s="564">
        <f t="shared" si="4"/>
        <v>1.6765504828354838</v>
      </c>
      <c r="AQ9" s="975">
        <f t="shared" si="4"/>
        <v>2.3179199057203155</v>
      </c>
      <c r="AR9" s="26"/>
      <c r="AU9" s="19"/>
      <c r="AV9" s="19"/>
      <c r="AW9" s="79" t="s">
        <v>711</v>
      </c>
      <c r="AX9" s="648">
        <f>'баланс тритий'!E291</f>
        <v>16.030912905185222</v>
      </c>
      <c r="AY9" s="1054">
        <f>AX9/101325/0.0224</f>
        <v>7.063071845011289E-3</v>
      </c>
      <c r="AZ9" s="1251">
        <f>'баланс дейтерий'!E291</f>
        <v>16.030912905185222</v>
      </c>
      <c r="BA9" s="1054">
        <f>AZ9/101325/0.0224</f>
        <v>7.063071845011289E-3</v>
      </c>
      <c r="BB9" s="648">
        <f>'баланс тритий'!E292</f>
        <v>16.030912905185222</v>
      </c>
      <c r="BC9" s="1054">
        <f>BB9/101325/0.0224</f>
        <v>7.063071845011289E-3</v>
      </c>
      <c r="BD9" s="1251">
        <f>'баланс дейтерий'!E292</f>
        <v>16.030912905185222</v>
      </c>
      <c r="BE9" s="1054">
        <f>BD9/101325/0.0224</f>
        <v>7.063071845011289E-3</v>
      </c>
      <c r="BF9" s="648">
        <f>'баланс тритий'!E293</f>
        <v>16.78670212983145</v>
      </c>
      <c r="BG9" s="1054">
        <f>BF9/101325/0.0224</f>
        <v>7.3960655818579926E-3</v>
      </c>
      <c r="BH9" s="1252">
        <f>'баланс дейтерий'!E293</f>
        <v>15.275123680538989</v>
      </c>
      <c r="BI9" s="1054">
        <f t="shared" ref="BI9:BI21" si="5">BH9/101325/0.0224</f>
        <v>6.7300781081645828E-3</v>
      </c>
      <c r="BJ9" s="1413">
        <f t="shared" ref="BJ9:BJ32" si="6">BG9+BI9</f>
        <v>1.4126143690022575E-2</v>
      </c>
      <c r="BK9" s="500">
        <f>'[4]поэлементый расчет систем'!L40</f>
        <v>25.259409504550053</v>
      </c>
      <c r="BL9" s="500">
        <f>'[4]поэлементый расчет систем'!L41</f>
        <v>25.259409504550053</v>
      </c>
      <c r="BM9" s="500">
        <f>'[4]поэлементый расчет систем'!L42</f>
        <v>25.259409504550053</v>
      </c>
      <c r="BN9" s="22"/>
      <c r="BO9" s="1019"/>
      <c r="BP9" s="22"/>
      <c r="BQ9" s="406"/>
      <c r="BR9" s="1383">
        <f t="shared" si="3"/>
        <v>25.259409504550053</v>
      </c>
      <c r="BS9" s="1383">
        <f t="shared" si="3"/>
        <v>25.259409504550053</v>
      </c>
      <c r="BT9" s="1379" t="s">
        <v>919</v>
      </c>
      <c r="CD9" s="406"/>
      <c r="CE9" s="373"/>
      <c r="CF9" s="406"/>
      <c r="CG9" s="373">
        <v>45</v>
      </c>
      <c r="CH9" s="19"/>
      <c r="CI9" s="649"/>
      <c r="CR9" s="161"/>
      <c r="CS9" s="803"/>
      <c r="CT9" s="161"/>
      <c r="CU9" s="521"/>
      <c r="CV9" s="161"/>
      <c r="CW9" s="803"/>
      <c r="CX9" s="161"/>
      <c r="CY9" s="521"/>
      <c r="CZ9" s="26"/>
    </row>
    <row r="10" spans="1:104" x14ac:dyDescent="0.35">
      <c r="M10" s="15"/>
      <c r="N10" s="436"/>
      <c r="S10" s="15" t="s">
        <v>188</v>
      </c>
      <c r="AB10" s="984" t="s">
        <v>570</v>
      </c>
      <c r="AC10" s="222">
        <f>'[2]динамика изотопов в ТЦ'!BD6/10^19</f>
        <v>18.75</v>
      </c>
      <c r="AD10" s="222">
        <f>'[2]динамика изотопов в ТЦ'!BD35/10^19</f>
        <v>18.750000000000004</v>
      </c>
      <c r="AE10" s="222">
        <f>'[2]динамика изотопов в ТЦ'!BE6/10^19</f>
        <v>18.75</v>
      </c>
      <c r="AF10" s="222">
        <f>'[2]динамика изотопов в ТЦ'!BE35/10^19</f>
        <v>18.75</v>
      </c>
      <c r="AG10" s="222">
        <f>'[2]динамика изотопов в ТЦ'!BF6/10^19</f>
        <v>0</v>
      </c>
      <c r="AH10" s="222">
        <f>'[2]динамика изотопов в ТЦ'!BF35/10^19</f>
        <v>0</v>
      </c>
      <c r="AI10" s="963" t="s">
        <v>23</v>
      </c>
      <c r="AJ10" s="26"/>
      <c r="AK10" s="26"/>
      <c r="AL10" s="1406">
        <f>AL11/(('[2]динамика изотопов в ТЦ'!$N$6-'[2]динамика изотопов в ТЦ'!$U$6)/10^19+AL6)</f>
        <v>4.1509523276506595E-2</v>
      </c>
      <c r="AM10" s="1407">
        <f>AM11/(('[2]динамика изотопов в ТЦ'!$N$35-'[2]динамика изотопов в ТЦ'!$U$35)/10^19+AM6)</f>
        <v>3.4911289591323516E-2</v>
      </c>
      <c r="AN10" s="1406">
        <f>AN11/(('[2]динамика изотопов в ТЦ'!$N$6-'[2]динамика изотопов в ТЦ'!$U$6)/10^19+AN6)</f>
        <v>4.1509523276506595E-2</v>
      </c>
      <c r="AO10" s="1407">
        <f>AO11/(('[2]динамика изотопов в ТЦ'!$N$35-'[2]динамика изотопов в ТЦ'!$U$35)/10^19+AO6)</f>
        <v>3.4911289591323502E-2</v>
      </c>
      <c r="AP10" s="1406">
        <f>AP11/(('[2]динамика изотопов в ТЦ'!$N$6-'[2]динамика изотопов в ТЦ'!$U$6)/10^19+AP6)</f>
        <v>0</v>
      </c>
      <c r="AQ10" s="1407">
        <f>AQ11/(('[2]динамика изотопов в ТЦ'!$N$35-'[2]динамика изотопов в ТЦ'!$U$35)/10^19+AQ6)</f>
        <v>0</v>
      </c>
      <c r="AR10" s="26"/>
      <c r="AU10" s="19"/>
      <c r="AV10" s="19"/>
      <c r="AW10" s="79" t="s">
        <v>712</v>
      </c>
      <c r="AX10" s="1056">
        <f>'баланс тритий'!E294</f>
        <v>13.562231881246069</v>
      </c>
      <c r="AY10" s="434">
        <f>AX10/101325/0.0224</f>
        <v>5.9753938358033162E-3</v>
      </c>
      <c r="AZ10" s="1251">
        <f>'баланс дейтерий'!E294</f>
        <v>13.562231881246069</v>
      </c>
      <c r="BA10" s="434">
        <f>AZ10/101325/0.0224</f>
        <v>5.9753938358033162E-3</v>
      </c>
      <c r="BB10" s="470">
        <f>'баланс тритий'!E295</f>
        <v>13.562231881246069</v>
      </c>
      <c r="BC10" s="434">
        <f>BB10/101325/0.0224</f>
        <v>5.9753938358033162E-3</v>
      </c>
      <c r="BD10" s="1251">
        <f>'баланс дейтерий'!E295</f>
        <v>13.562231881246069</v>
      </c>
      <c r="BE10" s="434">
        <f>BD10/101325/0.0224</f>
        <v>5.9753938358033162E-3</v>
      </c>
      <c r="BF10" s="470">
        <f>'баланс тритий'!E296</f>
        <v>13.23769265659984</v>
      </c>
      <c r="BG10" s="434">
        <f>BF10/101325/0.0224</f>
        <v>5.8324048573366472E-3</v>
      </c>
      <c r="BH10" s="1252">
        <f>'баланс дейтерий'!E296</f>
        <v>13.886771105892302</v>
      </c>
      <c r="BI10" s="434">
        <f t="shared" si="5"/>
        <v>6.118382814269986E-3</v>
      </c>
      <c r="BJ10" s="1413">
        <f t="shared" si="6"/>
        <v>1.1950787671606632E-2</v>
      </c>
      <c r="BK10" s="500">
        <f>'[4]поэлементый расчет систем'!L14</f>
        <v>17.05049934999278</v>
      </c>
      <c r="BL10" s="500">
        <f>'[4]поэлементый расчет систем'!L15</f>
        <v>17.05049934999278</v>
      </c>
      <c r="BM10" s="500">
        <f>'[4]поэлементый расчет систем'!L16</f>
        <v>17.05049934999278</v>
      </c>
      <c r="BN10" s="22"/>
      <c r="BO10" s="1019"/>
      <c r="BP10" s="794" t="s">
        <v>144</v>
      </c>
      <c r="BQ10" s="406"/>
      <c r="BR10" s="1383">
        <f t="shared" si="3"/>
        <v>17.05049934999278</v>
      </c>
      <c r="BS10" s="1383">
        <f t="shared" si="3"/>
        <v>17.05049934999278</v>
      </c>
      <c r="BT10" s="1379" t="s">
        <v>920</v>
      </c>
      <c r="CD10" s="406"/>
      <c r="CE10" s="373">
        <v>34.4</v>
      </c>
      <c r="CF10" s="406"/>
      <c r="CG10" s="373">
        <v>40</v>
      </c>
      <c r="CH10" s="19"/>
      <c r="CI10" s="649"/>
      <c r="CR10" s="161"/>
      <c r="CS10" s="803"/>
      <c r="CT10" s="161"/>
      <c r="CU10" s="521"/>
      <c r="CV10" s="161"/>
      <c r="CW10" s="803"/>
      <c r="CX10" s="161"/>
      <c r="CY10" s="521"/>
      <c r="CZ10" s="26"/>
    </row>
    <row r="11" spans="1:104" x14ac:dyDescent="0.35">
      <c r="B11" s="1241"/>
      <c r="M11" s="1071"/>
      <c r="N11" s="436"/>
      <c r="O11" s="111"/>
      <c r="R11" s="82"/>
      <c r="S11" s="541" t="s">
        <v>333</v>
      </c>
      <c r="AA11" s="41" t="s">
        <v>438</v>
      </c>
      <c r="AB11" s="128" t="s">
        <v>569</v>
      </c>
      <c r="AC11" s="1099">
        <f>'[2]динамика изотопов в ТЦ'!BG6/10^19</f>
        <v>18.75</v>
      </c>
      <c r="AD11" s="1099">
        <f>'[2]динамика изотопов в ТЦ'!BG35/10^19</f>
        <v>18.749999999999996</v>
      </c>
      <c r="AE11" s="1099">
        <f>'[2]динамика изотопов в ТЦ'!BH6/10^19</f>
        <v>18.75</v>
      </c>
      <c r="AF11" s="1099">
        <f>'[2]динамика изотопов в ТЦ'!BH35/10^19</f>
        <v>18.75</v>
      </c>
      <c r="AG11" s="1099">
        <f>'[2]динамика изотопов в ТЦ'!BI6/10^19</f>
        <v>37.5</v>
      </c>
      <c r="AH11" s="1099">
        <f>'[2]динамика изотопов в ТЦ'!BI35/10^19</f>
        <v>37.5</v>
      </c>
      <c r="AI11" s="964" t="s">
        <v>22</v>
      </c>
      <c r="AJ11" s="26"/>
      <c r="AK11" s="95" t="s">
        <v>940</v>
      </c>
      <c r="AL11" s="222">
        <f>AC10*'[2]изменение параметров'!$T$6</f>
        <v>7.7868750000000002</v>
      </c>
      <c r="AM11" s="166">
        <f>AD10*'[2]изменение параметров'!$T$35</f>
        <v>7.3420890566093968</v>
      </c>
      <c r="AN11" s="222">
        <f>AE10*'[2]изменение параметров'!$T$6</f>
        <v>7.7868750000000002</v>
      </c>
      <c r="AO11" s="166">
        <f>AF10*'[2]изменение параметров'!$T$35</f>
        <v>7.342089056609395</v>
      </c>
      <c r="AP11" s="222">
        <f>AG10*'[2]изменение параметров'!$T$6</f>
        <v>0</v>
      </c>
      <c r="AQ11" s="166">
        <f>AH10*'[2]изменение параметров'!$T$35</f>
        <v>0</v>
      </c>
      <c r="AU11" s="19"/>
      <c r="AV11" s="19"/>
      <c r="AW11" s="19"/>
      <c r="AX11" s="19"/>
      <c r="AY11" s="434"/>
      <c r="AZ11" s="443"/>
      <c r="BA11" s="434"/>
      <c r="BB11" s="19"/>
      <c r="BC11" s="434"/>
      <c r="BD11" s="443"/>
      <c r="BE11" s="434"/>
      <c r="BF11" s="19"/>
      <c r="BG11" s="434"/>
      <c r="BH11" s="495"/>
      <c r="BI11" s="434"/>
      <c r="BJ11" s="1413"/>
      <c r="BL11" s="655"/>
      <c r="BM11" s="19"/>
      <c r="BN11" s="19"/>
      <c r="BO11" s="159"/>
      <c r="BP11" s="1045" t="s">
        <v>318</v>
      </c>
      <c r="BQ11" s="406"/>
      <c r="BR11" s="1384">
        <f>BL18</f>
        <v>69</v>
      </c>
      <c r="BS11" s="1384">
        <f>BM18</f>
        <v>69</v>
      </c>
      <c r="BT11" s="1379" t="s">
        <v>921</v>
      </c>
      <c r="CD11" s="406"/>
      <c r="CE11" s="406"/>
      <c r="CF11" s="406"/>
      <c r="CG11" s="406"/>
      <c r="CH11" s="19"/>
      <c r="CI11" s="19"/>
      <c r="CR11" s="35"/>
      <c r="CS11" s="153"/>
      <c r="CT11" s="35"/>
      <c r="CU11" s="35"/>
      <c r="CV11" s="35"/>
      <c r="CW11" s="153"/>
      <c r="CX11" s="35"/>
      <c r="CY11" s="35"/>
      <c r="CZ11" s="26"/>
    </row>
    <row r="12" spans="1:104" x14ac:dyDescent="0.35">
      <c r="A12" s="1241"/>
      <c r="B12" s="1241"/>
      <c r="J12" s="665"/>
      <c r="K12" s="995">
        <f>('баланс дейтерий'!B9+'баланс дейтерий'!B275)*(1/2*1.38E-23*300)</f>
        <v>2.441918121772035E-2</v>
      </c>
      <c r="L12" s="996">
        <f>('баланс дейтерий'!B9+'баланс дейтерий'!B275)*(1/2*1.38E-23*300)</f>
        <v>2.441918121772035E-2</v>
      </c>
      <c r="O12" s="111"/>
      <c r="R12" s="82"/>
      <c r="S12" s="539" t="s">
        <v>334</v>
      </c>
      <c r="AB12" s="984" t="s">
        <v>571</v>
      </c>
      <c r="AC12" s="222">
        <f>'[2]динамика изотопов в ТЦ'!$BY$6/10^19</f>
        <v>696.9962132689227</v>
      </c>
      <c r="AD12" s="222">
        <f>'[2]динамика изотопов в ТЦ'!BY35/10^19</f>
        <v>696.9962132689227</v>
      </c>
      <c r="AE12" s="222">
        <f>'[2]динамика изотопов в ТЦ'!BZ6/10^19</f>
        <v>696.9962132689227</v>
      </c>
      <c r="AF12" s="222">
        <f>'[2]динамика изотопов в ТЦ'!BZ35/10^19</f>
        <v>696.9962132689227</v>
      </c>
      <c r="AG12" s="222">
        <f>'[2]динамика изотопов в ТЦ'!CA6/10^19</f>
        <v>729.8566143404978</v>
      </c>
      <c r="AH12" s="222">
        <f>'[2]динамика изотопов в ТЦ'!CA35/10^19</f>
        <v>729.8566143404978</v>
      </c>
      <c r="AI12" s="963" t="s">
        <v>23</v>
      </c>
      <c r="AJ12" s="26"/>
      <c r="AK12" s="26"/>
      <c r="AL12" s="1406">
        <f>AL13/(('[2]динамика изотопов в ТЦ'!$Q$6-'[2]динамика изотопов в ТЦ'!$X$6)/10^19+AL6)</f>
        <v>4.1509523276506595E-2</v>
      </c>
      <c r="AM12" s="1407">
        <f>AM13/(('[2]динамика изотопов в ТЦ'!$Q$35-'[2]динамика изотопов в ТЦ'!$X$35)/10^19+AM6)</f>
        <v>5.7712017460498727E-2</v>
      </c>
      <c r="AN12" s="1406">
        <f>AN13/(('[2]динамика изотопов в ТЦ'!$Q$6-'[2]динамика изотопов в ТЦ'!$X$6)/10^19+AN6)</f>
        <v>4.1509523276506595E-2</v>
      </c>
      <c r="AO12" s="1407">
        <f>AO13/(('[2]динамика изотопов в ТЦ'!$Q$35-'[2]динамика изотопов в ТЦ'!$X$35)/10^19+AO6)</f>
        <v>5.7712017460498734E-2</v>
      </c>
      <c r="AP12" s="1406">
        <f>AP13/(('[2]динамика изотопов в ТЦ'!$Q$6-'[2]динамика изотопов в ТЦ'!$X$6)/10^19+AP6)</f>
        <v>8.301904655301319E-2</v>
      </c>
      <c r="AQ12" s="1407">
        <f>AQ13/(('[2]динамика изотопов в ТЦ'!$Q$35-'[2]динамика изотопов в ТЦ'!$X$35)/10^19+AQ6)</f>
        <v>0.11542403492099747</v>
      </c>
      <c r="AU12" s="19"/>
      <c r="AV12" s="19"/>
      <c r="AW12" s="79" t="s">
        <v>713</v>
      </c>
      <c r="AX12" s="1057">
        <f>'баланс тритий'!E297</f>
        <v>30.000000000000004</v>
      </c>
      <c r="AY12" s="434">
        <f>AX12/101325/0.0224</f>
        <v>1.3217722322089459E-2</v>
      </c>
      <c r="AZ12" s="1251">
        <f>'баланс дейтерий'!E297</f>
        <v>30.000000000000004</v>
      </c>
      <c r="BA12" s="434">
        <f>AZ12/101325/0.0224</f>
        <v>1.3217722322089459E-2</v>
      </c>
      <c r="BB12" s="405">
        <f>'баланс тритий'!E298</f>
        <v>30.000000000000004</v>
      </c>
      <c r="BC12" s="434">
        <f>BB12/101325/0.0224</f>
        <v>1.3217722322089459E-2</v>
      </c>
      <c r="BD12" s="1251">
        <f>'баланс дейтерий'!E298</f>
        <v>30.000000000000004</v>
      </c>
      <c r="BE12" s="434">
        <f>BD12/101325/0.0224</f>
        <v>1.3217722322089459E-2</v>
      </c>
      <c r="BF12" s="405">
        <f>'баланс тритий'!E299</f>
        <v>30.000000000000004</v>
      </c>
      <c r="BG12" s="434">
        <f>BF12/101325/0.0224</f>
        <v>1.3217722322089459E-2</v>
      </c>
      <c r="BH12" s="1252">
        <f>'баланс дейтерий'!E299</f>
        <v>30.000000000000004</v>
      </c>
      <c r="BI12" s="434">
        <f t="shared" si="5"/>
        <v>1.3217722322089459E-2</v>
      </c>
      <c r="BJ12" s="1413">
        <f t="shared" si="6"/>
        <v>2.6435444644178917E-2</v>
      </c>
      <c r="BK12" s="1047">
        <f>'[4]поэлементый расчет систем'!$L$448</f>
        <v>21</v>
      </c>
      <c r="BL12" s="1047">
        <f>'[4]поэлементый расчет систем'!$L$448</f>
        <v>21</v>
      </c>
      <c r="BM12" s="1047">
        <f>'[4]поэлементый расчет систем'!$L$448</f>
        <v>21</v>
      </c>
      <c r="BN12" s="22"/>
      <c r="BO12" s="1019"/>
      <c r="BP12" s="502" t="s">
        <v>319</v>
      </c>
      <c r="BQ12" s="406"/>
      <c r="BR12" s="1385">
        <v>56</v>
      </c>
      <c r="BS12" s="1385">
        <v>56</v>
      </c>
      <c r="BT12" s="1379" t="s">
        <v>922</v>
      </c>
      <c r="CD12" s="406"/>
      <c r="CE12" s="373">
        <f>0.6+34.4</f>
        <v>35</v>
      </c>
      <c r="CF12" s="406"/>
      <c r="CG12" s="373">
        <v>700</v>
      </c>
      <c r="CH12" s="406"/>
      <c r="CI12" s="373"/>
      <c r="CR12" s="161"/>
      <c r="CS12" s="803"/>
      <c r="CT12" s="161"/>
      <c r="CU12" s="35"/>
      <c r="CV12" s="161"/>
      <c r="CW12" s="803"/>
      <c r="CX12" s="161"/>
      <c r="CY12" s="35"/>
      <c r="CZ12" s="26"/>
    </row>
    <row r="13" spans="1:104" x14ac:dyDescent="0.35">
      <c r="A13" s="1241"/>
      <c r="B13" s="1241"/>
      <c r="E13" s="710">
        <f>'баланс дейтерий'!E234</f>
        <v>15.275123680538989</v>
      </c>
      <c r="F13" s="535">
        <f>'баланс дейтерий'!E232</f>
        <v>16.030912905185222</v>
      </c>
      <c r="H13" s="710">
        <f>'баланс дейтерий'!E231</f>
        <v>13.886771105892302</v>
      </c>
      <c r="I13" s="535">
        <f>'баланс дейтерий'!E229</f>
        <v>13.562231881246069</v>
      </c>
      <c r="J13" s="665"/>
      <c r="K13" s="997">
        <f>('баланс тритий'!B9+'баланс тритий'!B269)*(1/2*1.38E-23*300)</f>
        <v>2.4603642418901783E-2</v>
      </c>
      <c r="L13" s="447">
        <f>('баланс тритий'!B9+'баланс тритий'!B267)*(1/2*1.38E-23*300)</f>
        <v>2.4731985866237143E-2</v>
      </c>
      <c r="AB13" s="128" t="s">
        <v>572</v>
      </c>
      <c r="AC13" s="1099">
        <f>'[2]динамика изотопов в ТЦ'!CB6/10^19</f>
        <v>696.9962132689227</v>
      </c>
      <c r="AD13" s="1099">
        <f>'[2]динамика изотопов в ТЦ'!CB35/10^19</f>
        <v>696.9962132689227</v>
      </c>
      <c r="AE13" s="1099">
        <f>'[2]динамика изотопов в ТЦ'!CC6/10^19</f>
        <v>696.9962132689227</v>
      </c>
      <c r="AF13" s="1099">
        <f>'[2]динамика изотопов в ТЦ'!CC35/10^19</f>
        <v>696.9962132689227</v>
      </c>
      <c r="AG13" s="1099">
        <f>'[2]динамика изотопов в ТЦ'!CD6/10^19</f>
        <v>664.13581219734738</v>
      </c>
      <c r="AH13" s="1099">
        <f>'[2]динамика изотопов в ТЦ'!CD35/10^19</f>
        <v>664.13581219734738</v>
      </c>
      <c r="AI13" s="964" t="s">
        <v>22</v>
      </c>
      <c r="AJ13" s="26"/>
      <c r="AK13" s="95" t="s">
        <v>941</v>
      </c>
      <c r="AL13" s="1099">
        <f>AC11*'[2]изменение параметров'!$T$6</f>
        <v>7.7868750000000002</v>
      </c>
      <c r="AM13" s="787">
        <f>AD11*'[2]изменение параметров'!$T$35</f>
        <v>7.3420890566093941</v>
      </c>
      <c r="AN13" s="1099">
        <f>AE11*'[2]изменение параметров'!$T$6</f>
        <v>7.7868750000000002</v>
      </c>
      <c r="AO13" s="787">
        <f>AF11*'[2]изменение параметров'!$T$35</f>
        <v>7.342089056609395</v>
      </c>
      <c r="AP13" s="1099">
        <f>AG11*'[2]изменение параметров'!$T$6</f>
        <v>15.57375</v>
      </c>
      <c r="AQ13" s="787">
        <f>AH11*'[2]изменение параметров'!$T$35</f>
        <v>14.68417811321879</v>
      </c>
      <c r="AU13" s="19"/>
      <c r="AV13" s="112"/>
      <c r="AW13" s="124" t="s">
        <v>714</v>
      </c>
      <c r="AX13" s="339" t="s">
        <v>11</v>
      </c>
      <c r="AY13" s="1389"/>
      <c r="AZ13" s="401" t="s">
        <v>11</v>
      </c>
      <c r="BA13" s="1389"/>
      <c r="BB13" s="339" t="s">
        <v>11</v>
      </c>
      <c r="BC13" s="1389"/>
      <c r="BD13" s="401" t="s">
        <v>11</v>
      </c>
      <c r="BE13" s="1389"/>
      <c r="BF13" s="339" t="s">
        <v>11</v>
      </c>
      <c r="BG13" s="1389"/>
      <c r="BH13" s="393" t="s">
        <v>11</v>
      </c>
      <c r="BI13" s="1389"/>
      <c r="BJ13" s="1413"/>
      <c r="BK13" s="470">
        <f>'баланс тритий'!K4</f>
        <v>1.9516469144195862E-2</v>
      </c>
      <c r="BL13" s="470">
        <f>'баланс тритий'!K4</f>
        <v>1.9516469144195862E-2</v>
      </c>
      <c r="BM13" s="470">
        <f>'баланс тритий'!K4</f>
        <v>1.9516469144195862E-2</v>
      </c>
      <c r="BN13" s="19"/>
      <c r="BO13" s="1019"/>
      <c r="BP13" s="19"/>
      <c r="BQ13" s="19"/>
      <c r="BT13" s="1379" t="s">
        <v>923</v>
      </c>
      <c r="CD13" s="19"/>
      <c r="CE13" s="19"/>
      <c r="CF13" s="19"/>
      <c r="CG13" s="19"/>
      <c r="CH13" s="19"/>
      <c r="CI13" s="19"/>
      <c r="CR13" s="161"/>
      <c r="CS13" s="803"/>
      <c r="CT13" s="161"/>
      <c r="CU13" s="35"/>
      <c r="CV13" s="161"/>
      <c r="CW13" s="803"/>
      <c r="CX13" s="161"/>
      <c r="CY13" s="35"/>
      <c r="CZ13" s="26"/>
    </row>
    <row r="14" spans="1:104" ht="15.75" customHeight="1" x14ac:dyDescent="0.35">
      <c r="A14" s="1241"/>
      <c r="B14" s="1241"/>
      <c r="E14" s="709">
        <f>'баланс тритий'!E234</f>
        <v>16.78670212983145</v>
      </c>
      <c r="F14" s="538">
        <f>'баланс тритий'!E232</f>
        <v>16.030912905185222</v>
      </c>
      <c r="H14" s="709">
        <f>'баланс тритий'!E231</f>
        <v>13.23769265659984</v>
      </c>
      <c r="I14" s="538">
        <f>'баланс тритий'!E229</f>
        <v>13.562231881246069</v>
      </c>
      <c r="AA14" s="41"/>
      <c r="AB14" s="984" t="s">
        <v>902</v>
      </c>
      <c r="AC14" s="1248">
        <f>'[2]динамика изотопов в ТЦ'!CT6/10^19</f>
        <v>655.18028411816761</v>
      </c>
      <c r="AD14" s="1248">
        <f>'[2]динамика изотопов в ТЦ'!CT35/10^19</f>
        <v>655.35264557351786</v>
      </c>
      <c r="AE14" s="1248">
        <f>'[2]динамика изотопов в ТЦ'!CU6/10^19</f>
        <v>655.18028411816761</v>
      </c>
      <c r="AF14" s="1248">
        <f>'[2]динамика изотопов в ТЦ'!CU35/10^19</f>
        <v>655.35264557351786</v>
      </c>
      <c r="AG14" s="1248">
        <f>'[2]динамика изотопов в ТЦ'!CV6/10^19</f>
        <v>639.50206070530623</v>
      </c>
      <c r="AH14" s="1248">
        <f>'[2]динамика изотопов в ТЦ'!CV35/10^19</f>
        <v>639.67442216065638</v>
      </c>
      <c r="AI14" s="10"/>
      <c r="AJ14" s="26"/>
      <c r="AL14" s="1406">
        <f>AL15/(('[2]динамика изотопов в ТЦ'!$N$6-'[2]динамика изотопов в ТЦ'!$U$6)/10^19+AL6)</f>
        <v>1.6530171784573435</v>
      </c>
      <c r="AM14" s="1407">
        <f>AM15/(('[2]динамика изотопов в ТЦ'!$N$35-'[2]динамика изотопов в ТЦ'!$U$35)/10^19+AM6)</f>
        <v>1.3828523946615239</v>
      </c>
      <c r="AN14" s="1406">
        <f>AN15/(('[2]динамика изотопов в ТЦ'!$N$6-'[2]динамика изотопов в ТЦ'!$U$6)/10^19+AN6)</f>
        <v>1.6530171784573435</v>
      </c>
      <c r="AO14" s="1407">
        <f>AO15/(('[2]динамика изотопов в ТЦ'!$N$35-'[2]динамика изотопов в ТЦ'!$U$35)/10^19+AO6)</f>
        <v>1.3828523946615239</v>
      </c>
      <c r="AP14" s="1406">
        <f>AP15/(('[2]динамика изотопов в ТЦ'!$N$6-'[2]динамика изотопов в ТЦ'!$U$6)/10^19+AP6)</f>
        <v>1.7309498937694623</v>
      </c>
      <c r="AQ14" s="1407">
        <f>AQ15/(('[2]динамика изотопов в ТЦ'!$N$35-'[2]динамика изотопов в ТЦ'!$U$35)/10^19+AQ6)</f>
        <v>1.4480479917771043</v>
      </c>
      <c r="AU14" s="19"/>
      <c r="AV14" s="19"/>
      <c r="AW14" s="19"/>
      <c r="AX14" s="19"/>
      <c r="AY14" s="434"/>
      <c r="AZ14" s="443"/>
      <c r="BA14" s="434"/>
      <c r="BB14" s="19"/>
      <c r="BC14" s="434"/>
      <c r="BD14" s="443"/>
      <c r="BE14" s="434"/>
      <c r="BF14" s="19"/>
      <c r="BG14" s="434"/>
      <c r="BH14" s="495"/>
      <c r="BI14" s="434"/>
      <c r="BJ14" s="1413"/>
      <c r="BK14" s="19"/>
      <c r="BL14" s="19"/>
      <c r="BM14" s="19"/>
      <c r="BN14" s="19"/>
      <c r="BO14" s="381"/>
      <c r="BP14" s="19"/>
      <c r="BQ14" s="406"/>
      <c r="BR14" s="1385"/>
      <c r="BS14" s="1385"/>
      <c r="BT14" s="1379" t="s">
        <v>924</v>
      </c>
      <c r="CD14" s="406"/>
      <c r="CE14" s="406"/>
      <c r="CF14" s="406"/>
      <c r="CG14" s="406"/>
      <c r="CH14" s="19"/>
      <c r="CI14" s="19"/>
      <c r="CR14" s="161"/>
      <c r="CS14" s="803"/>
      <c r="CT14" s="161"/>
      <c r="CU14" s="35"/>
      <c r="CV14" s="161"/>
      <c r="CW14" s="803"/>
      <c r="CX14" s="161"/>
      <c r="CY14" s="35"/>
      <c r="CZ14" s="26"/>
    </row>
    <row r="15" spans="1:104" ht="18.5" x14ac:dyDescent="0.35">
      <c r="A15" s="1241"/>
      <c r="B15" s="1241"/>
      <c r="F15" s="444" t="s">
        <v>85</v>
      </c>
      <c r="I15" s="444" t="s">
        <v>85</v>
      </c>
      <c r="Y15" s="531"/>
      <c r="Z15" s="531"/>
      <c r="AB15" s="128" t="s">
        <v>903</v>
      </c>
      <c r="AC15" s="1249">
        <f>'[2]динамика изотопов в ТЦ'!CW6/10^19</f>
        <v>655.18028411816761</v>
      </c>
      <c r="AD15" s="1249">
        <f>'[2]динамика изотопов в ТЦ'!CW35/10^19</f>
        <v>655.35264557351786</v>
      </c>
      <c r="AE15" s="1249">
        <f>'[2]динамика изотопов в ТЦ'!CX6/10^19</f>
        <v>655.18028411816761</v>
      </c>
      <c r="AF15" s="1249">
        <f>'[2]динамика изотопов в ТЦ'!CX35/10^19</f>
        <v>655.35264557351786</v>
      </c>
      <c r="AG15" s="1249">
        <f>'[2]динамика изотопов в ТЦ'!CY6/10^19</f>
        <v>670.85850753102909</v>
      </c>
      <c r="AH15" s="1249">
        <f>'[2]динамика изотопов в ТЦ'!CY35/10^19</f>
        <v>671.03086898637946</v>
      </c>
      <c r="AI15" s="10"/>
      <c r="AJ15" s="26"/>
      <c r="AK15" s="95" t="s">
        <v>942</v>
      </c>
      <c r="AL15" s="222">
        <f>AC12*'[2]изменение параметров'!$W$6</f>
        <v>310.09361528334347</v>
      </c>
      <c r="AM15" s="166">
        <f>AD12*'[2]изменение параметров'!$W$35</f>
        <v>290.82355743953383</v>
      </c>
      <c r="AN15" s="222">
        <f>AE12*'[2]изменение параметров'!$W$6</f>
        <v>310.09361528334347</v>
      </c>
      <c r="AO15" s="166">
        <f>AF12*'[2]изменение параметров'!$W$35</f>
        <v>290.82355743953383</v>
      </c>
      <c r="AP15" s="222">
        <f>AG12*'[2]изменение параметров'!$W$6</f>
        <v>324.71320772008721</v>
      </c>
      <c r="AQ15" s="166">
        <f>AH12*'[2]изменение параметров'!$W$35</f>
        <v>304.53464877201736</v>
      </c>
      <c r="AU15" s="19"/>
      <c r="AV15" s="19"/>
      <c r="AW15" s="76" t="s">
        <v>715</v>
      </c>
      <c r="AX15" s="470">
        <f>'баланс тритий'!E239</f>
        <v>2.9273743717546871E-2</v>
      </c>
      <c r="AY15" s="1054">
        <f>AX15/101325/0.0224</f>
        <v>1.2897740526218178E-5</v>
      </c>
      <c r="AZ15" s="443" t="s">
        <v>11</v>
      </c>
      <c r="BA15" s="434"/>
      <c r="BB15" s="470">
        <f>'баланс тритий'!E240</f>
        <v>2.9273743717546871E-2</v>
      </c>
      <c r="BC15" s="1054">
        <f>BB15/101325/0.0224</f>
        <v>1.2897740526218178E-5</v>
      </c>
      <c r="BD15" s="443" t="s">
        <v>11</v>
      </c>
      <c r="BE15" s="434"/>
      <c r="BF15" s="470">
        <f>'баланс тритий'!E241</f>
        <v>2.9273743717546871E-2</v>
      </c>
      <c r="BG15" s="1054">
        <f>BF15/101325/0.0224</f>
        <v>1.2897740526218178E-5</v>
      </c>
      <c r="BH15" s="495" t="s">
        <v>11</v>
      </c>
      <c r="BI15" s="434"/>
      <c r="BJ15" s="1413">
        <f t="shared" si="6"/>
        <v>1.2897740526218178E-5</v>
      </c>
      <c r="BK15" s="500">
        <f>'[4]поэлементый расчет систем'!$L$191</f>
        <v>1.5166791655757978</v>
      </c>
      <c r="BL15" s="500">
        <f>'[4]поэлементый расчет систем'!$L$192</f>
        <v>1.5166791655757978</v>
      </c>
      <c r="BM15" s="500">
        <f>'[4]поэлементый расчет систем'!$L$193</f>
        <v>1.5166791655757978</v>
      </c>
      <c r="BN15" s="22"/>
      <c r="BP15" s="378">
        <f>'[5]tritium breeding'!BP43*1000</f>
        <v>60.77615916902954</v>
      </c>
      <c r="BQ15" s="22" t="s">
        <v>2</v>
      </c>
      <c r="BR15" s="1386">
        <f>BL21</f>
        <v>1.9812984035326091</v>
      </c>
      <c r="BS15" s="1386">
        <f>BM21</f>
        <v>1.9812984035326091</v>
      </c>
      <c r="BT15" s="1379" t="s">
        <v>925</v>
      </c>
      <c r="CD15" s="406"/>
      <c r="CE15" s="373"/>
      <c r="CF15" s="406"/>
      <c r="CG15" s="373"/>
      <c r="CH15" s="406"/>
      <c r="CI15" s="373"/>
      <c r="CR15" s="35"/>
      <c r="CS15" s="35"/>
      <c r="CT15" s="35"/>
      <c r="CU15" s="35"/>
      <c r="CV15" s="35"/>
      <c r="CW15" s="35"/>
      <c r="CX15" s="35"/>
      <c r="CY15" s="35"/>
      <c r="CZ15" s="26"/>
    </row>
    <row r="16" spans="1:104" x14ac:dyDescent="0.35">
      <c r="A16" s="1241"/>
      <c r="B16" s="1241"/>
      <c r="E16" s="1071" t="s">
        <v>325</v>
      </c>
      <c r="H16" s="1071" t="s">
        <v>325</v>
      </c>
      <c r="K16" s="710">
        <f>'баланс дейтерий'!E227</f>
        <v>12.943292656599839</v>
      </c>
      <c r="L16" s="534">
        <f>'баланс дейтерий'!E225</f>
        <v>61.562231881246078</v>
      </c>
      <c r="M16" s="444"/>
      <c r="P16" s="533">
        <f>'баланс дейтерий'!E209</f>
        <v>0</v>
      </c>
      <c r="Q16" s="535">
        <f>'баланс дейтерий'!E207</f>
        <v>0</v>
      </c>
      <c r="R16" s="19"/>
      <c r="Y16" s="531"/>
      <c r="Z16" s="531"/>
      <c r="AB16" s="984" t="s">
        <v>867</v>
      </c>
      <c r="AC16" s="222">
        <f>'[2]динамика изотопов в ТЦ'!AI6/10^19</f>
        <v>111.62947416967056</v>
      </c>
      <c r="AD16" s="222">
        <f>'[2]динамика изотопов в ТЦ'!AI35/10^19</f>
        <v>111.14242695417218</v>
      </c>
      <c r="AE16" s="222">
        <f>'[2]динамика изотопов в ТЦ'!AJ6/10^19</f>
        <v>111.62947416967056</v>
      </c>
      <c r="AF16" s="222">
        <f>'[2]динамика изотопов в ТЦ'!AJ35/10^19</f>
        <v>111.14242695417218</v>
      </c>
      <c r="AG16" s="222">
        <f>'[2]динамика изотопов в ТЦ'!AK6/10^19</f>
        <v>111.62947416967056</v>
      </c>
      <c r="AH16" s="222">
        <f>'[2]динамика изотопов в ТЦ'!AK35/10^19</f>
        <v>111.14242695417217</v>
      </c>
      <c r="AI16" s="963" t="s">
        <v>23</v>
      </c>
      <c r="AJ16" s="26"/>
      <c r="AL16" s="1406">
        <f>AL17/(('[2]динамика изотопов в ТЦ'!$Q$6-'[2]динамика изотопов в ТЦ'!$X$6)/10^19+AL6)</f>
        <v>1.6530171784573435</v>
      </c>
      <c r="AM16" s="1407">
        <f>AM17/(('[2]динамика изотопов в ТЦ'!$Q$35-'[2]динамика изотопов в ТЦ'!$X$35)/10^19+AM6)</f>
        <v>2.2859998149662402</v>
      </c>
      <c r="AN16" s="1406">
        <f>AN17/(('[2]динамика изотопов в ТЦ'!$Q$6-'[2]динамика изотопов в ТЦ'!$X$6)/10^19+AN6)</f>
        <v>1.6530171784573435</v>
      </c>
      <c r="AO16" s="1407">
        <f>AO17/(('[2]динамика изотопов в ТЦ'!$Q$35-'[2]динамика изотопов в ТЦ'!$X$35)/10^19+AO6)</f>
        <v>2.2859998149662402</v>
      </c>
      <c r="AP16" s="1406">
        <f>AP17/(('[2]динамика изотопов в ТЦ'!$Q$6-'[2]динамика изотопов в ТЦ'!$X$6)/10^19+AP6)</f>
        <v>1.5750844631452243</v>
      </c>
      <c r="AQ16" s="1407">
        <f>AQ17/(('[2]динамика изотопов в ТЦ'!$Q$35-'[2]динамика изотопов в ТЦ'!$X$35)/10^19+AQ6)</f>
        <v>2.1782246659205531</v>
      </c>
      <c r="AU16" s="19"/>
      <c r="AV16" s="19"/>
      <c r="AW16" s="76" t="s">
        <v>716</v>
      </c>
      <c r="AX16" s="666">
        <f>'баланс тритий'!E167*300/600</f>
        <v>6.0000000000000009</v>
      </c>
      <c r="AY16" s="434">
        <f>AX16/101325/0.0224</f>
        <v>2.643544464417892E-3</v>
      </c>
      <c r="AZ16" s="1251">
        <f>'баланс дейтерий'!E167*300/600</f>
        <v>6.0000000000000009</v>
      </c>
      <c r="BA16" s="434">
        <f>AZ16/101325/0.0224</f>
        <v>2.643544464417892E-3</v>
      </c>
      <c r="BB16" s="666">
        <f>'баланс тритий'!E168*300/600</f>
        <v>6.0000000000000009</v>
      </c>
      <c r="BC16" s="434">
        <f>BB16/101325/0.0224</f>
        <v>2.643544464417892E-3</v>
      </c>
      <c r="BD16" s="1251">
        <f>'баланс дейтерий'!E168*300/600</f>
        <v>6.0000000000000009</v>
      </c>
      <c r="BE16" s="434">
        <f>BD16/101325/0.0224</f>
        <v>2.643544464417892E-3</v>
      </c>
      <c r="BF16" s="666">
        <f>'баланс тритий'!E169*300/600</f>
        <v>6.0000000000000009</v>
      </c>
      <c r="BG16" s="434">
        <f>BF16/101325/0.0224</f>
        <v>2.643544464417892E-3</v>
      </c>
      <c r="BH16" s="1252">
        <f>'баланс дейтерий'!E169*300/600</f>
        <v>6.0000000000000009</v>
      </c>
      <c r="BI16" s="434">
        <f t="shared" si="5"/>
        <v>2.643544464417892E-3</v>
      </c>
      <c r="BJ16" s="1413">
        <f t="shared" si="6"/>
        <v>5.287088928835784E-3</v>
      </c>
      <c r="BK16" s="470">
        <f>'[4]поэлементый расчет систем'!$L$213</f>
        <v>0.15797728134479275</v>
      </c>
      <c r="BL16" s="470">
        <f>'[4]поэлементый расчет систем'!$L$214</f>
        <v>0.15797728134479275</v>
      </c>
      <c r="BM16" s="470">
        <f>'[4]поэлементый расчет систем'!L215</f>
        <v>0.15797728134479275</v>
      </c>
      <c r="BN16" s="22"/>
      <c r="BP16" s="1019"/>
      <c r="BQ16" s="22"/>
      <c r="BR16" s="1383">
        <f>BL23</f>
        <v>10.088958177369486</v>
      </c>
      <c r="BS16" s="1383">
        <f>BM23</f>
        <v>10.088958177369486</v>
      </c>
      <c r="BT16" s="1379" t="s">
        <v>926</v>
      </c>
      <c r="CD16" s="406"/>
      <c r="CE16" s="373"/>
      <c r="CF16" s="406"/>
      <c r="CG16" s="373"/>
      <c r="CH16" s="406"/>
      <c r="CI16" s="373"/>
      <c r="CK16" s="26"/>
      <c r="CL16" s="804"/>
      <c r="CM16" s="161"/>
      <c r="CN16" s="35"/>
      <c r="CO16" s="161"/>
      <c r="CP16" s="35"/>
      <c r="CQ16" s="802"/>
      <c r="CR16" s="161"/>
      <c r="CS16" s="35"/>
      <c r="CT16" s="161"/>
      <c r="CU16" s="35"/>
      <c r="CV16" s="161"/>
      <c r="CW16" s="35"/>
      <c r="CX16" s="161"/>
      <c r="CY16" s="35"/>
      <c r="CZ16" s="26"/>
    </row>
    <row r="17" spans="1:104" ht="15.65" customHeight="1" x14ac:dyDescent="0.35">
      <c r="A17" s="1241"/>
      <c r="B17" s="1241"/>
      <c r="C17" s="709">
        <f>C27</f>
        <v>2.9273743717546871E-2</v>
      </c>
      <c r="D17" s="426">
        <f>D27</f>
        <v>2.9273743717546871E-2</v>
      </c>
      <c r="E17" s="710">
        <f>'баланс дейтерий'!N136</f>
        <v>102.85010386352609</v>
      </c>
      <c r="F17" s="534">
        <f>'баланс дейтерий'!N134</f>
        <v>107.93896611299076</v>
      </c>
      <c r="H17" s="710">
        <f>'баланс дейтерий'!N139</f>
        <v>93.50208092846286</v>
      </c>
      <c r="I17" s="534">
        <f>'баланс дейтерий'!N137</f>
        <v>91.316901046405405</v>
      </c>
      <c r="K17" s="709">
        <f>'баланс тритий'!E227</f>
        <v>13.23769265659984</v>
      </c>
      <c r="L17" s="426">
        <f>'баланс тритий'!E225</f>
        <v>61.562231881246078</v>
      </c>
      <c r="P17" s="536">
        <f>'баланс тритий'!E209</f>
        <v>16.492302129831451</v>
      </c>
      <c r="Q17" s="538">
        <f>'баланс тритий'!E207</f>
        <v>16.030912905185222</v>
      </c>
      <c r="R17" s="444" t="s">
        <v>79</v>
      </c>
      <c r="Y17" s="531"/>
      <c r="Z17" s="531"/>
      <c r="AB17" s="128" t="s">
        <v>868</v>
      </c>
      <c r="AC17" s="1099">
        <f>'[2]динамика изотопов в ТЦ'!AL6/10^19</f>
        <v>111.62947416967056</v>
      </c>
      <c r="AD17" s="1099">
        <f>'[2]динамика изотопов в ТЦ'!AL35/10^19</f>
        <v>111.14242695417218</v>
      </c>
      <c r="AE17" s="1099">
        <f>'[2]динамика изотопов в ТЦ'!AM6/10^19</f>
        <v>111.62947416967056</v>
      </c>
      <c r="AF17" s="1099">
        <f>'[2]динамика изотопов в ТЦ'!AM35/10^19</f>
        <v>111.14242695417218</v>
      </c>
      <c r="AG17" s="1099">
        <f>'[2]динамика изотопов в ТЦ'!AN6/10^19</f>
        <v>111.62947416967056</v>
      </c>
      <c r="AH17" s="1099">
        <f>'[2]динамика изотопов в ТЦ'!AN35/10^19</f>
        <v>111.14242695417218</v>
      </c>
      <c r="AI17" s="964" t="s">
        <v>22</v>
      </c>
      <c r="AJ17" s="26"/>
      <c r="AK17" s="95" t="s">
        <v>943</v>
      </c>
      <c r="AL17" s="1099">
        <f>AC13*'[2]изменение параметров'!$W$6</f>
        <v>310.09361528334347</v>
      </c>
      <c r="AM17" s="787">
        <f>AD13*'[2]изменение параметров'!$W$35</f>
        <v>290.82355743953383</v>
      </c>
      <c r="AN17" s="1099">
        <f>AE13*'[2]изменение параметров'!$W$6</f>
        <v>310.09361528334347</v>
      </c>
      <c r="AO17" s="787">
        <f>AF13*'[2]изменение параметров'!$W$35</f>
        <v>290.82355743953383</v>
      </c>
      <c r="AP17" s="1099">
        <f>AG13*'[2]изменение параметров'!$W$6</f>
        <v>295.47402284659961</v>
      </c>
      <c r="AQ17" s="787">
        <f>AH13*'[2]изменение параметров'!$W$35</f>
        <v>277.11246610705024</v>
      </c>
      <c r="AU17" s="19"/>
      <c r="AV17" s="19"/>
      <c r="AW17" s="76" t="s">
        <v>717</v>
      </c>
      <c r="AX17" s="1011">
        <f>'баланс тритий'!E170*300/600</f>
        <v>1.3909861082554083E-4</v>
      </c>
      <c r="AY17" s="1054">
        <f>AX17/101325/0.0224</f>
        <v>6.1285560442679511E-8</v>
      </c>
      <c r="AZ17" s="1253">
        <f>'баланс дейтерий'!E170*300/600</f>
        <v>1.74927040886665E-4</v>
      </c>
      <c r="BA17" s="1054">
        <f>AZ17/101325/0.0224</f>
        <v>7.7071235102157568E-8</v>
      </c>
      <c r="BB17" s="1011">
        <f>'баланс тритий'!E171*300/600</f>
        <v>1.3909861082554083E-4</v>
      </c>
      <c r="BC17" s="1054">
        <f>BB17/101325/0.0224</f>
        <v>6.1285560442679511E-8</v>
      </c>
      <c r="BD17" s="1253">
        <f>'баланс дейтерий'!E171*300/600</f>
        <v>1.74927040886665E-4</v>
      </c>
      <c r="BE17" s="1054">
        <f>BD17/101325/0.0224</f>
        <v>7.7071235102157568E-8</v>
      </c>
      <c r="BF17" s="1011">
        <f>'баланс тритий'!E172*300/600</f>
        <v>1.3909861082554083E-4</v>
      </c>
      <c r="BG17" s="1054">
        <f>BF17/101325/0.0224</f>
        <v>6.1285560442679511E-8</v>
      </c>
      <c r="BH17" s="1254">
        <f>'баланс дейтерий'!E172*300/600</f>
        <v>1.74927040886665E-4</v>
      </c>
      <c r="BI17" s="1054">
        <f t="shared" si="5"/>
        <v>7.7071235102157568E-8</v>
      </c>
      <c r="BJ17" s="1413">
        <f t="shared" si="6"/>
        <v>1.3835679554483708E-7</v>
      </c>
      <c r="BK17" s="543">
        <f>'[4]поэлементый расчет систем'!$L$237</f>
        <v>6.5823867226996978E-3</v>
      </c>
      <c r="BL17" s="543">
        <f>'[4]поэлементый расчет систем'!$L$238</f>
        <v>6.5823867226996978E-3</v>
      </c>
      <c r="BM17" s="543">
        <f>'[4]поэлементый расчет систем'!$L$239</f>
        <v>6.5823867226996978E-3</v>
      </c>
      <c r="BN17" s="22"/>
      <c r="BP17" s="1019"/>
      <c r="BQ17" s="22"/>
      <c r="BR17" s="1387">
        <f>BL27</f>
        <v>80.617322511996122</v>
      </c>
      <c r="BS17" s="1387">
        <f>BM27</f>
        <v>114.46794688801326</v>
      </c>
      <c r="BT17" s="1379" t="s">
        <v>927</v>
      </c>
      <c r="CD17" s="406"/>
      <c r="CE17" s="373"/>
      <c r="CF17" s="406"/>
      <c r="CG17" s="373">
        <v>25</v>
      </c>
      <c r="CH17" s="406"/>
      <c r="CI17" s="373"/>
      <c r="CK17" s="26"/>
      <c r="CL17" s="95"/>
      <c r="CM17" s="161"/>
      <c r="CN17" s="35"/>
      <c r="CO17" s="161"/>
      <c r="CP17" s="35"/>
      <c r="CQ17" s="802"/>
      <c r="CR17" s="161"/>
      <c r="CS17" s="35"/>
      <c r="CT17" s="161"/>
      <c r="CU17" s="35"/>
      <c r="CV17" s="161"/>
      <c r="CW17" s="35"/>
      <c r="CX17" s="161"/>
      <c r="CY17" s="35"/>
      <c r="CZ17" s="26"/>
    </row>
    <row r="18" spans="1:104" ht="15.75" customHeight="1" x14ac:dyDescent="0.35">
      <c r="A18" s="1241"/>
      <c r="B18" s="1241"/>
      <c r="C18" s="542" t="s">
        <v>79</v>
      </c>
      <c r="E18" s="709">
        <f>'баланс тритий'!N136</f>
        <v>113.02782836245542</v>
      </c>
      <c r="F18" s="426">
        <f>'баланс тритий'!N134</f>
        <v>107.93896611299076</v>
      </c>
      <c r="H18" s="709">
        <f>'баланс тритий'!N139</f>
        <v>89.131721164347979</v>
      </c>
      <c r="I18" s="426">
        <f>'баланс тритий'!N137</f>
        <v>91.316901046405405</v>
      </c>
      <c r="M18" s="1241"/>
      <c r="AA18" s="104"/>
      <c r="AB18" s="1071" t="s">
        <v>907</v>
      </c>
      <c r="AC18" s="1060">
        <f>'[2]динамика изотопов в ТЦ'!EN6/10^19</f>
        <v>734.70764114804774</v>
      </c>
      <c r="AD18" s="1060">
        <f>'[2]динамика изотопов в ТЦ'!EN35/10^19</f>
        <v>734.88000260339811</v>
      </c>
      <c r="AE18" s="1060">
        <f>'[2]динамика изотопов в ТЦ'!EO6/10^19</f>
        <v>734.70764114804774</v>
      </c>
      <c r="AF18" s="1060">
        <f>'[2]динамика изотопов в ТЦ'!EO35/10^19</f>
        <v>734.88000260339811</v>
      </c>
      <c r="AG18" s="1060">
        <f>'[2]динамика изотопов в ТЦ'!EP6/10^19</f>
        <v>720.59724007647264</v>
      </c>
      <c r="AH18" s="1060">
        <f>'[2]динамика изотопов в ТЦ'!EP35/10^19</f>
        <v>720.76960153182279</v>
      </c>
      <c r="AI18" s="296"/>
      <c r="AJ18" s="26"/>
      <c r="AK18" s="26"/>
      <c r="AL18" s="1406">
        <f>AL19/(('[2]динамика изотопов в ТЦ'!$N$6-'[2]динамика изотопов в ТЦ'!$U$6)/10^19+AL6)</f>
        <v>1.8446973137246213E-2</v>
      </c>
      <c r="AM18" s="1407">
        <f>AM19/(('[2]динамика изотопов в ТЦ'!$N$35-'[2]динамика изотопов в ТЦ'!$U$35)/10^19+AM6)</f>
        <v>1.4682194446466224E-2</v>
      </c>
      <c r="AN18" s="1406">
        <f>AN19/(('[2]динамика изотопов в ТЦ'!$N$6-'[2]динамика изотопов в ТЦ'!$U$6)/10^19+AN6)</f>
        <v>1.8446973137246213E-2</v>
      </c>
      <c r="AO18" s="1407">
        <f>AO19/(('[2]динамика изотопов в ТЦ'!$N$35-'[2]динамика изотопов в ТЦ'!$U$35)/10^19+AO6)</f>
        <v>1.4682194446466224E-2</v>
      </c>
      <c r="AP18" s="1406">
        <f>AP19/(('[2]динамика изотопов в ТЦ'!$N$6-'[2]динамика изотопов в ТЦ'!$U$6)/10^19+AP6)</f>
        <v>1.8446973137246213E-2</v>
      </c>
      <c r="AQ18" s="1407">
        <f>AQ19/(('[2]динамика изотопов в ТЦ'!$N$35-'[2]динамика изотопов в ТЦ'!$U$35)/10^19+AQ6)</f>
        <v>1.4682194446466222E-2</v>
      </c>
      <c r="AU18" s="19"/>
      <c r="AV18" s="19"/>
      <c r="AW18" s="79" t="s">
        <v>718</v>
      </c>
      <c r="AX18" s="1057">
        <f>'баланс тритий'!E301</f>
        <v>23.705460901389174</v>
      </c>
      <c r="AY18" s="434">
        <f>AX18/101325/0.0224</f>
        <v>1.044440665705702E-2</v>
      </c>
      <c r="AZ18" s="1251">
        <f>'баланс дейтерий'!E301</f>
        <v>23.705425072959112</v>
      </c>
      <c r="BA18" s="434">
        <f>AZ18/101325/0.0224</f>
        <v>1.0444390871382358E-2</v>
      </c>
      <c r="BB18" s="405">
        <f>'баланс тритий'!E302</f>
        <v>23.705460901389174</v>
      </c>
      <c r="BC18" s="434">
        <f>BB18/101325/0.0224</f>
        <v>1.044440665705702E-2</v>
      </c>
      <c r="BD18" s="1251">
        <f>'баланс дейтерий'!E302</f>
        <v>23.705425072959112</v>
      </c>
      <c r="BE18" s="434">
        <f>BD18/101325/0.0224</f>
        <v>1.0444390871382358E-2</v>
      </c>
      <c r="BF18" s="405">
        <f>'баланс тритий'!E303</f>
        <v>23.705460901389174</v>
      </c>
      <c r="BG18" s="434">
        <f>BF18/101325/0.0224</f>
        <v>1.044440665705702E-2</v>
      </c>
      <c r="BH18" s="1252">
        <f>'баланс дейтерий'!E303</f>
        <v>23.705425072959112</v>
      </c>
      <c r="BI18" s="434">
        <f>BH18/101325/0.0224</f>
        <v>1.0444390871382358E-2</v>
      </c>
      <c r="BJ18" s="1413">
        <f t="shared" si="6"/>
        <v>2.0888797528439376E-2</v>
      </c>
      <c r="BK18" s="500">
        <f>ROUNDUP('[4]поэлементый расчет систем'!L138, 0)</f>
        <v>69</v>
      </c>
      <c r="BL18" s="500">
        <f>ROUNDUP('[4]поэлементый расчет систем'!L139, 0)</f>
        <v>69</v>
      </c>
      <c r="BM18" s="500">
        <f>ROUNDUP('[4]поэлементый расчет систем'!L140, 0)</f>
        <v>69</v>
      </c>
      <c r="BN18" s="22"/>
      <c r="BP18" s="159"/>
      <c r="BQ18" s="19"/>
      <c r="BS18" s="473">
        <f>BM26</f>
        <v>1</v>
      </c>
      <c r="BT18" s="1379" t="s">
        <v>928</v>
      </c>
      <c r="CD18" s="406"/>
      <c r="CE18" s="406"/>
      <c r="CF18" s="406"/>
      <c r="CG18" s="406"/>
      <c r="CH18" s="19"/>
      <c r="CI18" s="19"/>
      <c r="CK18" s="26"/>
      <c r="CL18" s="95"/>
      <c r="CM18" s="161"/>
      <c r="CN18" s="556"/>
      <c r="CO18" s="161"/>
      <c r="CP18" s="35"/>
      <c r="CQ18" s="802"/>
      <c r="CR18" s="161"/>
      <c r="CS18" s="556"/>
      <c r="CT18" s="161"/>
      <c r="CU18" s="35"/>
      <c r="CV18" s="161"/>
      <c r="CW18" s="556"/>
      <c r="CX18" s="161"/>
      <c r="CY18" s="35"/>
      <c r="CZ18" s="26"/>
    </row>
    <row r="19" spans="1:104" x14ac:dyDescent="0.35">
      <c r="A19" s="1241"/>
      <c r="B19" s="1241"/>
      <c r="D19" s="104"/>
      <c r="F19" s="436"/>
      <c r="H19" s="436"/>
      <c r="AA19" s="104"/>
      <c r="AB19" s="144" t="s">
        <v>908</v>
      </c>
      <c r="AC19" s="1100">
        <f>'[2]динамика изотопов в ТЦ'!EQ6/10^19</f>
        <v>734.70764114804774</v>
      </c>
      <c r="AD19" s="1100">
        <f>'[2]динамика изотопов в ТЦ'!EQ35/10^19</f>
        <v>734.88000260339811</v>
      </c>
      <c r="AE19" s="1100">
        <f>'[2]динамика изотопов в ТЦ'!ER6/10^19</f>
        <v>734.70764114804774</v>
      </c>
      <c r="AF19" s="1100">
        <f>'[2]динамика изотопов в ТЦ'!ER35/10^19</f>
        <v>734.88000260339811</v>
      </c>
      <c r="AG19" s="1100">
        <f>'[2]динамика изотопов в ТЦ'!ES6/10^19</f>
        <v>748.81804221962318</v>
      </c>
      <c r="AH19" s="1100">
        <f>'[2]динамика изотопов в ТЦ'!ES35/10^19</f>
        <v>748.99040367497355</v>
      </c>
      <c r="AI19" s="128"/>
      <c r="AJ19" s="26"/>
      <c r="AK19" s="95" t="s">
        <v>944</v>
      </c>
      <c r="AL19" s="222">
        <f>AC16*'[2]изменение параметров'!$Z$6</f>
        <v>3.460513699259788</v>
      </c>
      <c r="AM19" s="166">
        <f>AD16*'[2]изменение параметров'!$Z$35</f>
        <v>3.0877684678598039</v>
      </c>
      <c r="AN19" s="222">
        <f>AE16*'[2]изменение параметров'!$Z$6</f>
        <v>3.460513699259788</v>
      </c>
      <c r="AO19" s="166">
        <f>AF16*'[2]изменение параметров'!$Z$35</f>
        <v>3.0877684678598039</v>
      </c>
      <c r="AP19" s="222">
        <f>AG16*'[2]изменение параметров'!$Z$6</f>
        <v>3.460513699259788</v>
      </c>
      <c r="AQ19" s="166">
        <f>AH16*'[2]изменение параметров'!$Z$35</f>
        <v>3.0877684678598034</v>
      </c>
      <c r="AR19" s="896"/>
      <c r="AU19" s="19"/>
      <c r="AW19" s="94" t="s">
        <v>818</v>
      </c>
      <c r="AX19" s="505">
        <f>AX18+AX17+AX16</f>
        <v>29.7056</v>
      </c>
      <c r="AY19" s="434">
        <f>AX19/101325/0.0224</f>
        <v>1.3088012407035353E-2</v>
      </c>
      <c r="AZ19" s="505">
        <f>AZ18+AZ17+AZ16</f>
        <v>29.7056</v>
      </c>
      <c r="BA19" s="434">
        <f>AZ19/101325/0.0224</f>
        <v>1.3088012407035353E-2</v>
      </c>
      <c r="BB19" s="505">
        <f>BB18+BB17+BB16</f>
        <v>29.7056</v>
      </c>
      <c r="BC19" s="434">
        <f>BB19/101325/0.0224</f>
        <v>1.3088012407035353E-2</v>
      </c>
      <c r="BD19" s="505">
        <f>BD18+BD17+BD16</f>
        <v>29.7056</v>
      </c>
      <c r="BE19" s="434">
        <f>BD19/101325/0.0224</f>
        <v>1.3088012407035353E-2</v>
      </c>
      <c r="BF19" s="505">
        <f>BF18+BF17+BF16</f>
        <v>29.7056</v>
      </c>
      <c r="BG19" s="434">
        <f>BF19/101325/0.0224</f>
        <v>1.3088012407035353E-2</v>
      </c>
      <c r="BH19" s="505">
        <f>BH18+BH17+BH16</f>
        <v>29.7056</v>
      </c>
      <c r="BI19" s="434">
        <f>BH19/101325/0.0224</f>
        <v>1.3088012407035353E-2</v>
      </c>
      <c r="BJ19" s="1417">
        <f t="shared" si="6"/>
        <v>2.6176024814070706E-2</v>
      </c>
      <c r="BK19" s="1260">
        <f>'[4]поэлементый расчет систем'!$Q$138</f>
        <v>45.655400015328837</v>
      </c>
      <c r="BL19" s="1260">
        <f>'[4]поэлементый расчет систем'!$Q$139</f>
        <v>45.655400015328837</v>
      </c>
      <c r="BM19" s="1260">
        <f>'[4]поэлементый расчет систем'!$Q$140</f>
        <v>45.655400015328837</v>
      </c>
      <c r="BN19" s="1312" t="s">
        <v>239</v>
      </c>
      <c r="BO19" s="1416"/>
      <c r="BP19" s="1019"/>
      <c r="BQ19" s="22"/>
      <c r="BR19" s="1385"/>
      <c r="BS19" s="1385"/>
      <c r="BT19" s="1380" t="s">
        <v>929</v>
      </c>
      <c r="CD19" s="406"/>
      <c r="CE19" s="373"/>
      <c r="CF19" s="406"/>
      <c r="CG19" s="373">
        <v>200</v>
      </c>
      <c r="CH19" s="406"/>
      <c r="CI19" s="373"/>
      <c r="CK19" s="26"/>
      <c r="CL19" s="95"/>
      <c r="CM19" s="35"/>
      <c r="CN19" s="35"/>
      <c r="CO19" s="35"/>
      <c r="CP19" s="35"/>
      <c r="CQ19" s="802"/>
      <c r="CR19" s="35"/>
      <c r="CS19" s="35"/>
      <c r="CT19" s="35"/>
      <c r="CU19" s="35"/>
      <c r="CV19" s="35"/>
      <c r="CW19" s="35"/>
      <c r="CX19" s="35"/>
      <c r="CY19" s="35"/>
      <c r="CZ19" s="26"/>
    </row>
    <row r="20" spans="1:104" x14ac:dyDescent="0.35">
      <c r="A20" s="1241"/>
      <c r="B20" s="1241"/>
      <c r="D20" s="104"/>
      <c r="F20" s="436"/>
      <c r="W20" s="531"/>
      <c r="AB20" s="1071" t="s">
        <v>912</v>
      </c>
      <c r="AC20" s="222">
        <f>'[2]динамика изотопов в ТЦ'!DE6/10^19</f>
        <v>826.1971953404634</v>
      </c>
      <c r="AD20" s="222">
        <f>'[2]динамика изотопов в ТЦ'!DE35/10^19</f>
        <v>825.53778666961466</v>
      </c>
      <c r="AE20" s="222">
        <f>'[2]динамика изотопов в ТЦ'!DF6/10^19</f>
        <v>826.1971953404634</v>
      </c>
      <c r="AF20" s="222">
        <f>'[2]динамика изотопов в ТЦ'!DF35/10^19</f>
        <v>825.53778666961466</v>
      </c>
      <c r="AG20" s="222">
        <f>'[2]динамика изотопов в ТЦ'!DG6/10^19</f>
        <v>840.30759641203849</v>
      </c>
      <c r="AH20" s="222">
        <f>'[2]динамика изотопов в ТЦ'!DG35/10^19</f>
        <v>839.64818774118976</v>
      </c>
      <c r="AI20" s="963" t="s">
        <v>23</v>
      </c>
      <c r="AJ20" s="26"/>
      <c r="AL20" s="1406">
        <f>AL21/(('[2]динамика изотопов в ТЦ'!$Q$6-'[2]динамика изотопов в ТЦ'!$X$6)/10^19+AL6)</f>
        <v>1.8446973137246213E-2</v>
      </c>
      <c r="AM20" s="1407">
        <f>AM21/(('[2]динамика изотопов в ТЦ'!$Q$35-'[2]динамика изотопов в ТЦ'!$X$35)/10^19+AM6)</f>
        <v>2.4271204878764642E-2</v>
      </c>
      <c r="AN20" s="1406">
        <f>AN21/(('[2]динамика изотопов в ТЦ'!$Q$6-'[2]динамика изотопов в ТЦ'!$X$6)/10^19+AN6)</f>
        <v>1.8446973137246213E-2</v>
      </c>
      <c r="AO20" s="1407">
        <f>AO21/(('[2]динамика изотопов в ТЦ'!$Q$35-'[2]динамика изотопов в ТЦ'!$X$35)/10^19+AO6)</f>
        <v>2.4271204878764642E-2</v>
      </c>
      <c r="AP20" s="1406">
        <f>AP21/(('[2]динамика изотопов в ТЦ'!$Q$6-'[2]динамика изотопов в ТЦ'!$X$6)/10^19+AP6)</f>
        <v>1.8446973137246213E-2</v>
      </c>
      <c r="AQ20" s="1407">
        <f>AQ21/(('[2]динамика изотопов в ТЦ'!$Q$35-'[2]динамика изотопов в ТЦ'!$X$35)/10^19+AQ6)</f>
        <v>2.4271204878764642E-2</v>
      </c>
      <c r="AR20" s="26"/>
      <c r="AU20" s="19"/>
      <c r="AV20" s="19"/>
      <c r="AW20" s="19"/>
      <c r="AY20" s="434"/>
      <c r="AZ20" s="443"/>
      <c r="BA20" s="434"/>
      <c r="BC20" s="434"/>
      <c r="BD20" s="443"/>
      <c r="BE20" s="434"/>
      <c r="BG20" s="434"/>
      <c r="BI20" s="434"/>
      <c r="BJ20" s="1413"/>
      <c r="BK20" s="1"/>
      <c r="BL20" s="1"/>
      <c r="BM20" s="112"/>
      <c r="BN20" s="19"/>
      <c r="BP20" s="1019"/>
      <c r="BQ20" s="19"/>
      <c r="BR20" s="1383">
        <f>BL30</f>
        <v>102.85346589502372</v>
      </c>
      <c r="BS20" s="1383">
        <f>BM30</f>
        <v>102.35228971029488</v>
      </c>
      <c r="BT20" s="1380" t="s">
        <v>930</v>
      </c>
      <c r="CD20" s="406"/>
      <c r="CE20" s="406"/>
      <c r="CF20" s="406"/>
      <c r="CG20" s="406"/>
      <c r="CH20" s="406"/>
      <c r="CI20" s="406"/>
      <c r="CK20" s="26"/>
      <c r="CL20" s="804"/>
      <c r="CM20" s="161"/>
      <c r="CN20" s="35"/>
      <c r="CO20" s="161"/>
      <c r="CP20" s="35"/>
      <c r="CQ20" s="802"/>
      <c r="CR20" s="161"/>
      <c r="CS20" s="35"/>
      <c r="CT20" s="161"/>
      <c r="CU20" s="35"/>
      <c r="CV20" s="161"/>
      <c r="CW20" s="35"/>
      <c r="CX20" s="161"/>
      <c r="CY20" s="35"/>
      <c r="CZ20" s="26"/>
    </row>
    <row r="21" spans="1:104" x14ac:dyDescent="0.35">
      <c r="A21" s="1241"/>
      <c r="B21" s="1241"/>
      <c r="D21" s="104"/>
      <c r="U21" s="406"/>
      <c r="W21" s="531"/>
      <c r="AB21" s="144" t="s">
        <v>913</v>
      </c>
      <c r="AC21" s="1099">
        <f>'[2]динамика изотопов в ТЦ'!DH6/10^19</f>
        <v>826.1971953404634</v>
      </c>
      <c r="AD21" s="1099">
        <f>'[2]динамика изотопов в ТЦ'!DH35/10^19</f>
        <v>825.53778666961466</v>
      </c>
      <c r="AE21" s="1099">
        <f>'[2]динамика изотопов в ТЦ'!DI6/10^19</f>
        <v>826.1971953404634</v>
      </c>
      <c r="AF21" s="1099">
        <f>'[2]динамика изотопов в ТЦ'!DI35/10^19</f>
        <v>825.53778666961466</v>
      </c>
      <c r="AG21" s="1099">
        <f>'[2]динамика изотопов в ТЦ'!DJ6/10^19</f>
        <v>812.08679426888807</v>
      </c>
      <c r="AH21" s="1099">
        <f>'[2]динамика изотопов в ТЦ'!DJ35/10^19</f>
        <v>811.42738559803934</v>
      </c>
      <c r="AI21" s="964" t="s">
        <v>22</v>
      </c>
      <c r="AJ21" s="26"/>
      <c r="AK21" s="95" t="s">
        <v>945</v>
      </c>
      <c r="AL21" s="1099">
        <f>AC17*'[2]изменение параметров'!$Z$6</f>
        <v>3.460513699259788</v>
      </c>
      <c r="AM21" s="787">
        <f>AD17*'[2]изменение параметров'!$Z$35</f>
        <v>3.0877684678598039</v>
      </c>
      <c r="AN21" s="1099">
        <f>AE17*'[2]изменение параметров'!$Z$6</f>
        <v>3.460513699259788</v>
      </c>
      <c r="AO21" s="787">
        <f>AF17*'[2]изменение параметров'!$Z$35</f>
        <v>3.0877684678598039</v>
      </c>
      <c r="AP21" s="1099">
        <f>AG17*'[2]изменение параметров'!$Z$6</f>
        <v>3.460513699259788</v>
      </c>
      <c r="AQ21" s="787">
        <f>AH17*'[2]изменение параметров'!$Z$35</f>
        <v>3.0877684678598039</v>
      </c>
      <c r="AR21" s="46"/>
      <c r="AU21" s="120"/>
      <c r="AV21" s="19"/>
      <c r="AW21" s="120" t="s">
        <v>719</v>
      </c>
      <c r="AX21" s="1058">
        <f>'баланс тритий'!E307</f>
        <v>77.568750000000009</v>
      </c>
      <c r="AY21" s="434">
        <f>AX21/101325/0.0224</f>
        <v>3.417607327905256E-2</v>
      </c>
      <c r="AZ21" s="1251">
        <f>'баланс дейтерий'!E307</f>
        <v>77.568750000000009</v>
      </c>
      <c r="BA21" s="434">
        <f>AZ21/101325/0.0224</f>
        <v>3.417607327905256E-2</v>
      </c>
      <c r="BB21" s="1012">
        <f>'баланс тритий'!E308</f>
        <v>29.7056</v>
      </c>
      <c r="BC21" s="434">
        <f>BB21/101325/0.0224</f>
        <v>1.3088012407035353E-2</v>
      </c>
      <c r="BD21" s="1251">
        <f>'баланс дейтерий'!E308</f>
        <v>29.7056</v>
      </c>
      <c r="BE21" s="434">
        <f>BD21/101325/0.0224</f>
        <v>1.3088012407035353E-2</v>
      </c>
      <c r="BF21" s="470">
        <f>'баланс тритий'!E309</f>
        <v>29.7056</v>
      </c>
      <c r="BG21" s="434">
        <f>BF21/101325/0.0224</f>
        <v>1.3088012407035353E-2</v>
      </c>
      <c r="BH21" s="1252">
        <f>'баланс дейтерий'!E309</f>
        <v>29.7056</v>
      </c>
      <c r="BI21" s="434">
        <f t="shared" si="5"/>
        <v>1.3088012407035353E-2</v>
      </c>
      <c r="BJ21" s="1413">
        <f t="shared" si="6"/>
        <v>2.6176024814070706E-2</v>
      </c>
      <c r="BK21" s="846">
        <f>'[4]поэлементый расчет систем'!L292</f>
        <v>1.9812984035326091</v>
      </c>
      <c r="BL21" s="846">
        <f>'[4]поэлементый расчет систем'!L293</f>
        <v>1.9812984035326091</v>
      </c>
      <c r="BM21" s="846">
        <f>'[4]поэлементый расчет систем'!L294</f>
        <v>1.9812984035326091</v>
      </c>
      <c r="BN21" s="22"/>
      <c r="BP21" s="54"/>
      <c r="BQ21" s="22"/>
      <c r="BR21" s="1383">
        <f>BL32</f>
        <v>345.41156475550201</v>
      </c>
      <c r="BS21" s="1383">
        <f>BM32</f>
        <v>354.55803012680332</v>
      </c>
      <c r="BT21" s="1380" t="s">
        <v>931</v>
      </c>
      <c r="CD21" s="406"/>
      <c r="CE21" s="406"/>
      <c r="CF21" s="406"/>
      <c r="CG21" s="406"/>
      <c r="CH21" s="406"/>
      <c r="CI21" s="406"/>
      <c r="CK21" s="26"/>
      <c r="CL21" s="95"/>
      <c r="CM21" s="161"/>
      <c r="CN21" s="35"/>
      <c r="CO21" s="161"/>
      <c r="CP21" s="35"/>
      <c r="CQ21" s="802"/>
      <c r="CR21" s="161"/>
      <c r="CS21" s="35"/>
      <c r="CT21" s="161"/>
      <c r="CU21" s="35"/>
      <c r="CV21" s="161"/>
      <c r="CW21" s="35"/>
      <c r="CX21" s="161"/>
      <c r="CY21" s="35"/>
      <c r="CZ21" s="26"/>
    </row>
    <row r="22" spans="1:104" x14ac:dyDescent="0.35">
      <c r="A22" s="1241"/>
      <c r="B22" s="1241"/>
      <c r="D22" s="104"/>
      <c r="K22" s="710">
        <f>'баланс дейтерий'!E237</f>
        <v>0.56810000000000005</v>
      </c>
      <c r="L22" s="534">
        <f>'баланс дейтерий'!E235</f>
        <v>48</v>
      </c>
      <c r="N22" s="1166">
        <f>'баланс дейтерий'!E63*'баланс дейтерий'!B41</f>
        <v>95.431899999999985</v>
      </c>
      <c r="AB22" s="15" t="s">
        <v>914</v>
      </c>
      <c r="AC22" s="983">
        <f>AC10+AC12+AC16-AC8</f>
        <v>826.19719534046328</v>
      </c>
      <c r="AD22" s="983">
        <f t="shared" ref="AC22:AH23" si="7">AD10+AD12+AD16-AD8</f>
        <v>825.53778666961466</v>
      </c>
      <c r="AE22" s="983">
        <f t="shared" si="7"/>
        <v>826.19719534046328</v>
      </c>
      <c r="AF22" s="983">
        <f t="shared" si="7"/>
        <v>825.53778666961466</v>
      </c>
      <c r="AG22" s="983">
        <f t="shared" si="7"/>
        <v>840.30759641203838</v>
      </c>
      <c r="AH22" s="983">
        <f t="shared" si="7"/>
        <v>839.64818774118976</v>
      </c>
      <c r="AI22" s="963" t="s">
        <v>23</v>
      </c>
      <c r="AJ22" s="26"/>
      <c r="AK22" s="26"/>
      <c r="AU22" s="120"/>
      <c r="AV22" s="19"/>
      <c r="AW22" s="19"/>
      <c r="AX22" s="19"/>
      <c r="AY22" s="434"/>
      <c r="AZ22" s="443"/>
      <c r="BA22" s="434"/>
      <c r="BB22" s="19"/>
      <c r="BC22" s="434"/>
      <c r="BD22" s="443"/>
      <c r="BE22" s="434"/>
      <c r="BF22" s="19"/>
      <c r="BG22" s="434"/>
      <c r="BH22" s="495"/>
      <c r="BI22" s="434"/>
      <c r="BJ22" s="1413"/>
      <c r="BK22" s="19"/>
      <c r="BL22" s="19"/>
      <c r="BM22" s="19"/>
      <c r="BN22" s="19"/>
      <c r="BP22" s="1019"/>
      <c r="BQ22" s="22"/>
      <c r="BR22" s="1383">
        <f>BL33</f>
        <v>68.7752780586451</v>
      </c>
      <c r="BS22" s="1383">
        <f>BM33</f>
        <v>68.7752780586451</v>
      </c>
      <c r="BT22" s="1380" t="s">
        <v>932</v>
      </c>
      <c r="CD22" s="406"/>
      <c r="CE22" s="373"/>
      <c r="CF22" s="406"/>
      <c r="CG22" s="373">
        <v>70</v>
      </c>
      <c r="CH22" s="406"/>
      <c r="CI22" s="373"/>
      <c r="CK22" s="26"/>
      <c r="CL22" s="95"/>
      <c r="CM22" s="161"/>
      <c r="CN22" s="556"/>
      <c r="CO22" s="161"/>
      <c r="CP22" s="35"/>
      <c r="CQ22" s="802"/>
      <c r="CR22" s="161"/>
      <c r="CS22" s="556"/>
      <c r="CT22" s="161"/>
      <c r="CU22" s="35"/>
      <c r="CV22" s="161"/>
      <c r="CW22" s="556"/>
      <c r="CX22" s="161"/>
      <c r="CY22" s="35"/>
      <c r="CZ22" s="26"/>
    </row>
    <row r="23" spans="1:104" x14ac:dyDescent="0.35">
      <c r="A23" s="1241"/>
      <c r="B23" s="1241"/>
      <c r="I23" s="1241"/>
      <c r="K23" s="709">
        <f>'баланс тритий'!E237</f>
        <v>0</v>
      </c>
      <c r="L23" s="426">
        <f>'баланс тритий'!E235</f>
        <v>48</v>
      </c>
      <c r="N23" s="1167">
        <f>'баланс тритий'!E63*'баланс тритий'!B41</f>
        <v>0.29440000000000005</v>
      </c>
      <c r="S23" s="19"/>
      <c r="W23" s="25"/>
      <c r="AB23" s="144" t="s">
        <v>915</v>
      </c>
      <c r="AC23" s="787">
        <f t="shared" si="7"/>
        <v>826.19719534046328</v>
      </c>
      <c r="AD23" s="787">
        <f t="shared" si="7"/>
        <v>825.53778666961466</v>
      </c>
      <c r="AE23" s="787">
        <f t="shared" si="7"/>
        <v>826.19719534046328</v>
      </c>
      <c r="AF23" s="787">
        <f t="shared" si="7"/>
        <v>825.53778666961466</v>
      </c>
      <c r="AG23" s="787">
        <f t="shared" si="7"/>
        <v>812.08679426888796</v>
      </c>
      <c r="AH23" s="787">
        <f t="shared" si="7"/>
        <v>811.42738559803934</v>
      </c>
      <c r="AI23" s="964" t="s">
        <v>22</v>
      </c>
      <c r="AJ23" s="26"/>
      <c r="AU23" s="19"/>
      <c r="AV23" s="19"/>
      <c r="AW23" s="79" t="s">
        <v>720</v>
      </c>
      <c r="AX23" s="1056">
        <f>'баланс тритий'!E310</f>
        <v>1.5513749999999999</v>
      </c>
      <c r="AY23" s="1054">
        <f>AX23/101325/0.0224</f>
        <v>6.8352146558105112E-4</v>
      </c>
      <c r="AZ23" s="1251">
        <f>'баланс дейтерий'!E310</f>
        <v>1.5513749999999999</v>
      </c>
      <c r="BA23" s="434">
        <f>AZ23/101325/0.0224</f>
        <v>6.8352146558105112E-4</v>
      </c>
      <c r="BB23" s="470">
        <f>'баланс тритий'!E311</f>
        <v>0.59411199999999997</v>
      </c>
      <c r="BC23" s="1054">
        <f>BB23/101325/0.0224</f>
        <v>2.6176024814070703E-4</v>
      </c>
      <c r="BD23" s="1251">
        <f>'баланс дейтерий'!E311</f>
        <v>0.59411199999999997</v>
      </c>
      <c r="BE23" s="1054">
        <f>BD23/101325/0.0224</f>
        <v>2.6176024814070703E-4</v>
      </c>
      <c r="BF23" s="470">
        <f>'баланс тритий'!E312</f>
        <v>0.59411199999999997</v>
      </c>
      <c r="BG23" s="1054">
        <f>BF23/101325/0.0224</f>
        <v>2.6176024814070703E-4</v>
      </c>
      <c r="BH23" s="1252">
        <f>'баланс дейтерий'!E312</f>
        <v>0.59411199999999997</v>
      </c>
      <c r="BI23" s="1054">
        <f>BH23/101325/0.0224</f>
        <v>2.6176024814070703E-4</v>
      </c>
      <c r="BJ23" s="1413">
        <f t="shared" si="6"/>
        <v>5.2352049628141405E-4</v>
      </c>
      <c r="BK23" s="1059">
        <f>'[4]поэлементый расчет систем'!L339</f>
        <v>26.344792719919113</v>
      </c>
      <c r="BL23" s="500">
        <f>'[4]поэлементый расчет систем'!L340</f>
        <v>10.088958177369486</v>
      </c>
      <c r="BM23" s="500">
        <f>'[4]поэлементый расчет систем'!L341</f>
        <v>10.088958177369486</v>
      </c>
      <c r="BN23" s="26"/>
      <c r="BP23" s="1019"/>
      <c r="BQ23" s="19"/>
      <c r="BR23" s="1388">
        <f>BL12</f>
        <v>21</v>
      </c>
      <c r="BS23" s="1388">
        <f>BM12</f>
        <v>21</v>
      </c>
      <c r="BT23" s="1380" t="s">
        <v>933</v>
      </c>
      <c r="CD23" s="406"/>
      <c r="CE23" s="406"/>
      <c r="CF23" s="406"/>
      <c r="CG23" s="406"/>
      <c r="CH23" s="406"/>
      <c r="CI23" s="406"/>
      <c r="CK23" s="660"/>
      <c r="CL23" s="660"/>
      <c r="CM23" s="660"/>
      <c r="CN23" s="660"/>
      <c r="CO23" s="660"/>
      <c r="CP23" s="660"/>
      <c r="CQ23" s="660"/>
      <c r="CR23" s="660"/>
      <c r="CS23" s="660"/>
      <c r="CT23" s="660"/>
      <c r="CU23" s="660"/>
      <c r="CV23" s="660"/>
      <c r="CW23" s="660"/>
      <c r="CX23" s="660"/>
      <c r="CY23" s="660"/>
      <c r="CZ23" s="26"/>
    </row>
    <row r="24" spans="1:104" ht="19" thickBot="1" x14ac:dyDescent="0.4">
      <c r="A24" s="1241"/>
      <c r="B24" s="1241"/>
      <c r="J24" s="444" t="s">
        <v>85</v>
      </c>
      <c r="L24" s="444" t="s">
        <v>85</v>
      </c>
      <c r="N24" s="444" t="s">
        <v>79</v>
      </c>
      <c r="AB24" s="94"/>
      <c r="AC24" s="986">
        <f>AC20-AC22</f>
        <v>0</v>
      </c>
      <c r="AD24" s="986">
        <f t="shared" ref="AD24:AH25" si="8">AD20-AD22</f>
        <v>0</v>
      </c>
      <c r="AE24" s="986">
        <f t="shared" si="8"/>
        <v>0</v>
      </c>
      <c r="AF24" s="986">
        <f t="shared" si="8"/>
        <v>0</v>
      </c>
      <c r="AG24" s="986">
        <f t="shared" si="8"/>
        <v>0</v>
      </c>
      <c r="AH24" s="986">
        <f t="shared" si="8"/>
        <v>0</v>
      </c>
      <c r="AJ24" s="26"/>
      <c r="AU24" s="19"/>
      <c r="AV24" s="19"/>
      <c r="AW24" s="120" t="s">
        <v>721</v>
      </c>
      <c r="AX24" s="1062">
        <f>'баланс тритий'!E310*1%</f>
        <v>1.551375E-2</v>
      </c>
      <c r="AY24" s="1054">
        <f>AX24/101325/0.0224</f>
        <v>6.8352146558105111E-6</v>
      </c>
      <c r="AZ24" s="443" t="s">
        <v>11</v>
      </c>
      <c r="BA24" s="434"/>
      <c r="BB24" s="1062">
        <f>'баланс тритий'!E311*1%</f>
        <v>5.9411200000000003E-3</v>
      </c>
      <c r="BC24" s="434"/>
      <c r="BD24" s="443" t="s">
        <v>11</v>
      </c>
      <c r="BE24" s="434"/>
      <c r="BF24" s="1062">
        <f>'баланс тритий'!E312*1%</f>
        <v>5.9411200000000003E-3</v>
      </c>
      <c r="BG24" s="1054">
        <f>BF24/101325/0.0224</f>
        <v>2.6176024814070706E-6</v>
      </c>
      <c r="BH24" s="495" t="s">
        <v>11</v>
      </c>
      <c r="BI24" s="434"/>
      <c r="BJ24" s="1413">
        <f t="shared" si="6"/>
        <v>2.6176024814070706E-6</v>
      </c>
      <c r="BK24" s="500" t="s">
        <v>11</v>
      </c>
      <c r="BL24" s="500" t="s">
        <v>11</v>
      </c>
      <c r="BM24" s="500"/>
      <c r="BN24" s="26"/>
      <c r="BP24" s="1016"/>
      <c r="BQ24" s="26"/>
      <c r="BR24" s="1390" t="s">
        <v>897</v>
      </c>
      <c r="BS24" s="1390" t="s">
        <v>898</v>
      </c>
      <c r="BT24" s="1381" t="s">
        <v>934</v>
      </c>
      <c r="CD24" s="246" t="s">
        <v>241</v>
      </c>
      <c r="CE24" s="373"/>
      <c r="CF24" s="406"/>
      <c r="CG24" s="373">
        <v>15</v>
      </c>
      <c r="CH24" s="406"/>
      <c r="CI24" s="373"/>
      <c r="CK24" s="660"/>
      <c r="CL24" s="805"/>
      <c r="CM24" s="806"/>
      <c r="CN24" s="660"/>
      <c r="CO24" s="806"/>
      <c r="CP24" s="660"/>
      <c r="CQ24" s="660"/>
      <c r="CR24" s="806"/>
      <c r="CS24" s="660"/>
      <c r="CT24" s="806"/>
      <c r="CU24" s="660"/>
      <c r="CV24" s="806"/>
      <c r="CW24" s="660"/>
      <c r="CX24" s="806"/>
      <c r="CY24" s="660"/>
      <c r="CZ24" s="26"/>
    </row>
    <row r="25" spans="1:104" x14ac:dyDescent="0.35">
      <c r="A25" s="1241"/>
      <c r="B25" s="1241"/>
      <c r="I25" s="710">
        <f>'баланс дейтерий'!E133/1000*300</f>
        <v>0.86250000000000016</v>
      </c>
      <c r="J25" s="534">
        <f>'баланс дейтерий'!E131/1000*300</f>
        <v>0.43125000000000008</v>
      </c>
      <c r="M25" s="1241"/>
      <c r="AB25" s="94"/>
      <c r="AC25" s="1099">
        <f>AC21-AC23</f>
        <v>0</v>
      </c>
      <c r="AD25" s="1099">
        <f t="shared" si="8"/>
        <v>0</v>
      </c>
      <c r="AE25" s="1099">
        <f t="shared" si="8"/>
        <v>0</v>
      </c>
      <c r="AF25" s="1099">
        <f t="shared" si="8"/>
        <v>0</v>
      </c>
      <c r="AG25" s="1099">
        <f t="shared" si="8"/>
        <v>0</v>
      </c>
      <c r="AH25" s="1099">
        <f t="shared" si="8"/>
        <v>0</v>
      </c>
      <c r="AJ25" s="26"/>
      <c r="AR25" s="1110"/>
      <c r="AU25" s="19"/>
      <c r="AV25" s="19"/>
      <c r="AW25" s="19"/>
      <c r="AX25" s="19"/>
      <c r="AY25" s="434"/>
      <c r="AZ25" s="443"/>
      <c r="BA25" s="434"/>
      <c r="BB25" s="19"/>
      <c r="BC25" s="434"/>
      <c r="BD25" s="443"/>
      <c r="BE25" s="434"/>
      <c r="BF25" s="19"/>
      <c r="BG25" s="434"/>
      <c r="BH25" s="495"/>
      <c r="BI25" s="434"/>
      <c r="BJ25" s="1413"/>
      <c r="BK25" s="19"/>
      <c r="BL25" s="19"/>
      <c r="BM25" s="19"/>
      <c r="BN25" s="19"/>
      <c r="BP25" s="1016"/>
      <c r="BQ25" s="26"/>
      <c r="BR25" s="1391">
        <f>BR26-BR21</f>
        <v>602.62623190110992</v>
      </c>
      <c r="BS25" s="1391">
        <f>BS26-BS21</f>
        <v>494.97568009239814</v>
      </c>
      <c r="BT25" s="719" t="s">
        <v>900</v>
      </c>
      <c r="CD25" s="406"/>
      <c r="CE25" s="406"/>
      <c r="CF25" s="406"/>
      <c r="CG25" s="406"/>
      <c r="CH25" s="406"/>
      <c r="CI25" s="406"/>
      <c r="CK25" s="660"/>
      <c r="CL25" s="805"/>
      <c r="CM25" s="806"/>
      <c r="CN25" s="660"/>
      <c r="CO25" s="806"/>
      <c r="CP25" s="660"/>
      <c r="CQ25" s="660"/>
      <c r="CR25" s="806"/>
      <c r="CS25" s="660"/>
      <c r="CT25" s="806"/>
      <c r="CU25" s="660"/>
      <c r="CV25" s="806"/>
      <c r="CW25" s="660"/>
      <c r="CX25" s="806"/>
      <c r="CY25" s="660"/>
      <c r="CZ25" s="26"/>
    </row>
    <row r="26" spans="1:104" x14ac:dyDescent="0.35">
      <c r="A26" s="1241"/>
      <c r="B26" s="1241"/>
      <c r="G26" s="443"/>
      <c r="I26" s="539" t="s">
        <v>357</v>
      </c>
      <c r="J26" s="426">
        <f>'баланс тритий'!E131/1000*300</f>
        <v>0.43125000000000008</v>
      </c>
      <c r="M26" s="1241"/>
      <c r="AJ26" s="26"/>
      <c r="AU26" s="19"/>
      <c r="AV26" s="19"/>
      <c r="AW26" s="76" t="s">
        <v>722</v>
      </c>
      <c r="AX26" s="339" t="s">
        <v>11</v>
      </c>
      <c r="AY26" s="434"/>
      <c r="AZ26" s="495" t="s">
        <v>11</v>
      </c>
      <c r="BA26" s="434"/>
      <c r="BB26" s="339" t="s">
        <v>11</v>
      </c>
      <c r="BC26" s="434"/>
      <c r="BD26" s="443" t="s">
        <v>11</v>
      </c>
      <c r="BE26" s="434"/>
      <c r="BF26" s="561">
        <f>'[3]динамика трития в инжекторах'!R34</f>
        <v>0.29440000000000005</v>
      </c>
      <c r="BG26" s="1054">
        <f>BF26/101325/0.0224</f>
        <v>1.2970991505410458E-4</v>
      </c>
      <c r="BH26" s="495">
        <f>'[3]динамика трития в инжекторах'!$V$34-'[3]динамика трития в инжекторах'!$R$34</f>
        <v>5.5936000000000003</v>
      </c>
      <c r="BI26" s="1054">
        <f>BH26/101325/0.0224</f>
        <v>2.4644883860279864E-3</v>
      </c>
      <c r="BJ26" s="1417">
        <f>BG26+BI26</f>
        <v>2.5941983010820909E-3</v>
      </c>
      <c r="BK26" s="500" t="s">
        <v>11</v>
      </c>
      <c r="BL26" s="500" t="s">
        <v>11</v>
      </c>
      <c r="BM26" s="500">
        <f>ROUNDUP('[4]поэлементый расчет систем'!L354, 0)</f>
        <v>1</v>
      </c>
      <c r="BN26" s="22"/>
      <c r="BO26" s="1416"/>
      <c r="BP26" s="381"/>
      <c r="BQ26" s="19"/>
      <c r="BR26" s="1391">
        <f>SUM(BR8:BR23)</f>
        <v>948.03779665661193</v>
      </c>
      <c r="BS26" s="1391">
        <f>SUM(BS8:BS23)</f>
        <v>849.53371021920145</v>
      </c>
      <c r="BT26" s="719" t="s">
        <v>899</v>
      </c>
      <c r="CD26" s="19"/>
      <c r="CE26" s="19"/>
      <c r="CF26" s="19"/>
      <c r="CG26" s="19"/>
      <c r="CH26" s="19"/>
      <c r="CI26" s="19"/>
      <c r="CK26" s="660"/>
      <c r="CL26" s="805"/>
      <c r="CM26" s="806"/>
      <c r="CN26" s="660"/>
      <c r="CO26" s="806"/>
      <c r="CP26" s="660"/>
      <c r="CQ26" s="660"/>
      <c r="CR26" s="806"/>
      <c r="CS26" s="660"/>
      <c r="CT26" s="806"/>
      <c r="CU26" s="660"/>
      <c r="CV26" s="806"/>
      <c r="CW26" s="660"/>
      <c r="CX26" s="806"/>
      <c r="CY26" s="660"/>
      <c r="CZ26" s="26"/>
    </row>
    <row r="27" spans="1:104" ht="17.25" customHeight="1" x14ac:dyDescent="0.35">
      <c r="A27" s="1241"/>
      <c r="B27" s="1241"/>
      <c r="C27" s="709">
        <f>'баланс тритий'!E241</f>
        <v>2.9273743717546871E-2</v>
      </c>
      <c r="D27" s="426">
        <f>'баланс тритий'!E239</f>
        <v>2.9273743717546871E-2</v>
      </c>
      <c r="G27" s="111"/>
      <c r="N27" s="444"/>
      <c r="P27" s="541" t="s">
        <v>357</v>
      </c>
      <c r="Q27" s="1071"/>
      <c r="AC27" s="111">
        <f>'[2]динамика изотопов в ТЦ'!EN6/10^19</f>
        <v>734.70764114804774</v>
      </c>
      <c r="AD27" s="111">
        <f>'[2]динамика изотопов в ТЦ'!EN35/10^19</f>
        <v>734.88000260339811</v>
      </c>
      <c r="AE27" s="111">
        <f>'[2]динамика изотопов в ТЦ'!EO6/10^19</f>
        <v>734.70764114804774</v>
      </c>
      <c r="AF27" s="111">
        <f>'[2]динамика изотопов в ТЦ'!EO35/10^19</f>
        <v>734.88000260339811</v>
      </c>
      <c r="AG27" s="111">
        <f>'[2]динамика изотопов в ТЦ'!EP6/10^19</f>
        <v>720.59724007647264</v>
      </c>
      <c r="AH27" s="111">
        <f>'[2]динамика изотопов в ТЦ'!EP35/10^19</f>
        <v>720.76960153182279</v>
      </c>
      <c r="AI27" s="904"/>
      <c r="AJ27" s="26"/>
      <c r="AU27" s="19"/>
      <c r="AV27" s="19"/>
      <c r="AW27" s="246" t="s">
        <v>723</v>
      </c>
      <c r="AX27" s="405">
        <f>'баланс тритий'!E313</f>
        <v>16.030912905185222</v>
      </c>
      <c r="AY27" s="1054">
        <f>AX27/101325/0.0224</f>
        <v>7.063071845011289E-3</v>
      </c>
      <c r="AZ27" s="1251">
        <f>'баланс дейтерий'!E313</f>
        <v>16.030912905185222</v>
      </c>
      <c r="BA27" s="1054">
        <f>AZ27/101325/0.0224</f>
        <v>7.063071845011289E-3</v>
      </c>
      <c r="BB27" s="405">
        <f>'баланс тритий'!E314</f>
        <v>16.46216290518522</v>
      </c>
      <c r="BC27" s="1054">
        <f>BB27/101325/0.0224</f>
        <v>7.2530766033913245E-3</v>
      </c>
      <c r="BD27" s="1251">
        <f>'баланс дейтерий'!E314</f>
        <v>16.46216290518522</v>
      </c>
      <c r="BE27" s="1054">
        <f>BD27/101325/0.0224</f>
        <v>7.2530766033913245E-3</v>
      </c>
      <c r="BF27" s="405">
        <f>'баланс тритий'!E315</f>
        <v>16.78670212983145</v>
      </c>
      <c r="BG27" s="1054">
        <f>BF27/101325/0.0224</f>
        <v>7.3960655818579926E-3</v>
      </c>
      <c r="BH27" s="1252">
        <f>'баланс дейтерий'!E315</f>
        <v>16.78670212983145</v>
      </c>
      <c r="BI27" s="1054">
        <f>BH27/101325/0.0224</f>
        <v>7.3960655818579926E-3</v>
      </c>
      <c r="BJ27" s="1413">
        <f t="shared" si="6"/>
        <v>1.4792131163715985E-2</v>
      </c>
      <c r="BK27" s="1364">
        <f>'[4]поэлементый расчет систем'!L369</f>
        <v>78.700945963771716</v>
      </c>
      <c r="BL27" s="1364">
        <f>'[4]поэлементый расчет систем'!L370</f>
        <v>80.617322511996122</v>
      </c>
      <c r="BM27" s="1364">
        <f>'[4]поэлементый расчет систем'!L371</f>
        <v>114.46794688801326</v>
      </c>
      <c r="BN27" s="19"/>
      <c r="BP27" s="159"/>
      <c r="BQ27" s="22"/>
      <c r="CD27" s="406"/>
      <c r="CE27" s="406"/>
      <c r="CF27" s="406"/>
      <c r="CG27" s="406"/>
      <c r="CH27" s="406"/>
      <c r="CI27" s="406"/>
      <c r="CK27" s="660"/>
      <c r="CL27" s="807"/>
      <c r="CM27" s="806"/>
      <c r="CN27" s="660"/>
      <c r="CO27" s="806"/>
      <c r="CP27" s="660"/>
      <c r="CQ27" s="660"/>
      <c r="CR27" s="806"/>
      <c r="CS27" s="660"/>
      <c r="CT27" s="806"/>
      <c r="CU27" s="660"/>
      <c r="CV27" s="806"/>
      <c r="CW27" s="660"/>
      <c r="CX27" s="806"/>
      <c r="CY27" s="660"/>
      <c r="CZ27" s="26"/>
    </row>
    <row r="28" spans="1:104" ht="15.65" customHeight="1" x14ac:dyDescent="0.35">
      <c r="A28" s="1241"/>
      <c r="B28" s="1241"/>
      <c r="C28" s="542" t="s">
        <v>79</v>
      </c>
      <c r="G28" s="401"/>
      <c r="H28" s="1241"/>
      <c r="I28" s="710">
        <f>'баланс дейтерий'!N133</f>
        <v>5.8073647348144508</v>
      </c>
      <c r="J28" s="535">
        <f>'баланс дейтерий'!N131</f>
        <v>2.9036823674072254</v>
      </c>
      <c r="P28" s="997">
        <f>-'[3]динамика трития в инжекторах'!F12*(1/2*1.38E-23*300)</f>
        <v>0.29440000000000005</v>
      </c>
      <c r="Q28" s="444" t="s">
        <v>79</v>
      </c>
      <c r="R28" s="1071"/>
      <c r="AC28" s="1099">
        <f>'[2]динамика изотопов в ТЦ'!EQ6/10^19</f>
        <v>734.70764114804774</v>
      </c>
      <c r="AD28" s="1099">
        <f>'[2]динамика изотопов в ТЦ'!EQ35/10^19</f>
        <v>734.88000260339811</v>
      </c>
      <c r="AE28" s="1099">
        <f>'[2]динамика изотопов в ТЦ'!ER6/10^19</f>
        <v>734.70764114804774</v>
      </c>
      <c r="AF28" s="1099">
        <f>'[2]динамика изотопов в ТЦ'!ER35/10^19</f>
        <v>734.88000260339811</v>
      </c>
      <c r="AG28" s="1099">
        <f>'[2]динамика изотопов в ТЦ'!ES6/10^19</f>
        <v>748.81804221962318</v>
      </c>
      <c r="AH28" s="1099">
        <f>'[2]динамика изотопов в ТЦ'!ES35/10^19</f>
        <v>748.99040367497355</v>
      </c>
      <c r="AU28" s="19"/>
      <c r="AV28" s="19"/>
      <c r="AY28" s="434"/>
      <c r="AZ28" s="443"/>
      <c r="BA28" s="434"/>
      <c r="BC28" s="434"/>
      <c r="BD28" s="443"/>
      <c r="BE28" s="434"/>
      <c r="BF28" s="222">
        <f>BF26+BF27</f>
        <v>17.08110212983145</v>
      </c>
      <c r="BG28" s="434"/>
      <c r="BH28" s="443"/>
      <c r="BI28" s="434"/>
      <c r="BJ28" s="1413"/>
      <c r="BK28" s="1260">
        <f>'[4]поэлементый расчет систем'!$Q$369</f>
        <v>78.700945963771716</v>
      </c>
      <c r="BL28" s="1260">
        <f>'[4]поэлементый расчет систем'!$Q$370</f>
        <v>477.61174318195646</v>
      </c>
      <c r="BM28" s="1260">
        <f>'[4]поэлементый расчет систем'!$Q$371</f>
        <v>875.49656117682775</v>
      </c>
      <c r="BN28" s="1312" t="s">
        <v>239</v>
      </c>
      <c r="BP28" s="159"/>
      <c r="BQ28" s="19"/>
      <c r="BR28" s="1241">
        <v>50</v>
      </c>
      <c r="BS28" s="1054">
        <f>BR28/101325/0.0224</f>
        <v>2.2029537203482427E-2</v>
      </c>
      <c r="BU28" s="719"/>
      <c r="CD28" s="246" t="s">
        <v>237</v>
      </c>
      <c r="CE28" s="373"/>
      <c r="CF28" s="406"/>
      <c r="CG28" s="373">
        <v>230</v>
      </c>
      <c r="CH28" s="406"/>
      <c r="CI28" s="373"/>
      <c r="CK28" s="660"/>
      <c r="CL28" s="808"/>
      <c r="CM28" s="806"/>
      <c r="CN28" s="660"/>
      <c r="CO28" s="806"/>
      <c r="CP28" s="660"/>
      <c r="CQ28" s="660"/>
      <c r="CR28" s="806"/>
      <c r="CS28" s="660"/>
      <c r="CT28" s="806"/>
      <c r="CU28" s="660"/>
      <c r="CV28" s="806"/>
      <c r="CW28" s="660"/>
      <c r="CX28" s="806"/>
      <c r="CY28" s="660"/>
      <c r="CZ28" s="26"/>
    </row>
    <row r="29" spans="1:104" x14ac:dyDescent="0.35">
      <c r="A29" s="1241"/>
      <c r="B29" s="1241"/>
      <c r="G29" s="1241"/>
      <c r="H29" s="1241"/>
      <c r="I29" s="539" t="s">
        <v>357</v>
      </c>
      <c r="J29" s="426">
        <f>'баланс тритий'!N131</f>
        <v>2.9036823674072254</v>
      </c>
      <c r="L29" s="1241"/>
      <c r="P29" s="665"/>
      <c r="R29" s="708"/>
      <c r="AB29" s="1392" t="s">
        <v>939</v>
      </c>
      <c r="AC29" s="222">
        <f>AC18+AC20-AC16</f>
        <v>1449.2753623188405</v>
      </c>
      <c r="AD29" s="222">
        <f t="shared" ref="AC29:AH30" si="9">AD18+AD20-AD16</f>
        <v>1449.2753623188405</v>
      </c>
      <c r="AE29" s="222">
        <f t="shared" si="9"/>
        <v>1449.2753623188405</v>
      </c>
      <c r="AF29" s="222">
        <f t="shared" si="9"/>
        <v>1449.2753623188405</v>
      </c>
      <c r="AG29" s="222">
        <f t="shared" si="9"/>
        <v>1449.2753623188405</v>
      </c>
      <c r="AH29" s="222">
        <f t="shared" si="9"/>
        <v>1449.2753623188405</v>
      </c>
      <c r="AU29" s="19"/>
      <c r="AV29" s="19"/>
      <c r="AW29" s="79" t="s">
        <v>724</v>
      </c>
      <c r="AX29" s="1057">
        <f>'баланс тритий'!E316</f>
        <v>61.562231881246078</v>
      </c>
      <c r="AY29" s="434">
        <f>AX29/101325/0.0224</f>
        <v>2.7123749551146454E-2</v>
      </c>
      <c r="AZ29" s="1251">
        <f>'баланс дейтерий'!E316</f>
        <v>61.562231881246078</v>
      </c>
      <c r="BA29" s="434">
        <f>AZ29/101325/0.0224</f>
        <v>2.7123749551146454E-2</v>
      </c>
      <c r="BB29" s="405">
        <f>'баланс тритий'!E317</f>
        <v>13.993481881246069</v>
      </c>
      <c r="BC29" s="434">
        <f>BB29/101325/0.0224</f>
        <v>6.1653985941833508E-3</v>
      </c>
      <c r="BD29" s="1251">
        <f>'баланс дейтерий'!E317</f>
        <v>13.267831881246067</v>
      </c>
      <c r="BE29" s="434">
        <f>BD29/101325/0.0224</f>
        <v>5.8456839207492103E-3</v>
      </c>
      <c r="BF29" s="405">
        <f>'баланс тритий'!E318</f>
        <v>13.23769265659984</v>
      </c>
      <c r="BG29" s="434">
        <f>BF29/101325/0.0224</f>
        <v>5.8324048573366472E-3</v>
      </c>
      <c r="BH29" s="1252">
        <f>'баланс дейтерий'!E318</f>
        <v>12.943292656599839</v>
      </c>
      <c r="BI29" s="434">
        <f>BH29/101325/0.0224</f>
        <v>5.7026949422825414E-3</v>
      </c>
      <c r="BJ29" s="1413">
        <f t="shared" si="6"/>
        <v>1.1535099799619189E-2</v>
      </c>
      <c r="BK29" s="500" t="s">
        <v>11</v>
      </c>
      <c r="BL29" s="500" t="s">
        <v>11</v>
      </c>
      <c r="BM29" s="500"/>
      <c r="BN29" s="22"/>
      <c r="BR29" s="1241">
        <v>350</v>
      </c>
      <c r="BS29" s="1054">
        <f>BR29/101325/0.0224</f>
        <v>0.154206760424377</v>
      </c>
      <c r="BU29" s="719"/>
      <c r="CK29" s="660"/>
      <c r="CL29" s="660"/>
      <c r="CM29" s="660"/>
      <c r="CN29" s="660"/>
      <c r="CO29" s="660"/>
      <c r="CP29" s="660"/>
      <c r="CQ29" s="660"/>
      <c r="CR29" s="660"/>
      <c r="CS29" s="660"/>
      <c r="CT29" s="660"/>
      <c r="CU29" s="660"/>
      <c r="CV29" s="660"/>
      <c r="CW29" s="660"/>
      <c r="CX29" s="660"/>
      <c r="CY29" s="660"/>
      <c r="CZ29" s="26"/>
    </row>
    <row r="30" spans="1:104" x14ac:dyDescent="0.35">
      <c r="A30" s="1241"/>
      <c r="B30" s="1241"/>
      <c r="J30" s="13" t="s">
        <v>358</v>
      </c>
      <c r="L30" s="710">
        <f>'баланс дейтерий'!E166</f>
        <v>95.431899999999985</v>
      </c>
      <c r="M30" s="534">
        <f>'баланс дейтерий'!E164</f>
        <v>47.863149999999997</v>
      </c>
      <c r="N30" s="710">
        <f>'баланс дейтерий'!E192</f>
        <v>12.91889787016855</v>
      </c>
      <c r="O30" s="535">
        <f>'баланс дейтерий'!E190</f>
        <v>61.537837094814783</v>
      </c>
      <c r="S30" s="117"/>
      <c r="AB30" s="1392" t="s">
        <v>938</v>
      </c>
      <c r="AC30" s="1099">
        <f t="shared" si="9"/>
        <v>1449.2753623188405</v>
      </c>
      <c r="AD30" s="1099">
        <f t="shared" si="9"/>
        <v>1449.2753623188405</v>
      </c>
      <c r="AE30" s="1099">
        <f t="shared" si="9"/>
        <v>1449.2753623188405</v>
      </c>
      <c r="AF30" s="1099">
        <f t="shared" si="9"/>
        <v>1449.2753623188405</v>
      </c>
      <c r="AG30" s="1099">
        <f t="shared" si="9"/>
        <v>1449.2753623188405</v>
      </c>
      <c r="AH30" s="1099">
        <f t="shared" si="9"/>
        <v>1449.2753623188407</v>
      </c>
      <c r="AU30" s="19"/>
      <c r="AV30" s="19"/>
      <c r="AW30" s="29" t="s">
        <v>842</v>
      </c>
      <c r="AX30" s="470">
        <f>('баланс тритий'!B9+'баланс тритий'!B267)*(1/2*1.38E-23*300)</f>
        <v>2.4731985866237143E-2</v>
      </c>
      <c r="AY30" s="1054">
        <f>AX30/101325/0.0224</f>
        <v>1.0896684055125456E-5</v>
      </c>
      <c r="AZ30" s="1251">
        <f>('баланс дейтерий'!B9+'баланс дейтерий'!B275)*(1/2*1.38E-23*300)</f>
        <v>2.441918121772035E-2</v>
      </c>
      <c r="BA30" s="1054">
        <f>AZ30/101325/0.0224</f>
        <v>1.0758865222286997E-5</v>
      </c>
      <c r="BB30" s="470">
        <f>('баланс тритий'!B9+'баланс тритий'!B268)*(1/2*1.38E-23*300)</f>
        <v>2.472411612469615E-2</v>
      </c>
      <c r="BC30" s="1054">
        <f>BB30/101325/0.0224</f>
        <v>1.0893216719844274E-5</v>
      </c>
      <c r="BD30" s="1251">
        <f>('баланс дейтерий'!B9+'баланс дейтерий'!B275)*(1/2*1.38E-23*300)</f>
        <v>2.441918121772035E-2</v>
      </c>
      <c r="BE30" s="1054">
        <f>BD30/101325/0.0224</f>
        <v>1.0758865222286997E-5</v>
      </c>
      <c r="BF30" s="470">
        <f>('баланс тритий'!B9+'баланс тритий'!B269)*(1/2*1.38E-23*300)</f>
        <v>2.4603642418901783E-2</v>
      </c>
      <c r="BG30" s="1054">
        <f>BF30/101325/0.0224</f>
        <v>1.0840137120167506E-5</v>
      </c>
      <c r="BH30" s="1252">
        <f>('баланс дейтерий'!B9+'баланс дейтерий'!B275)*(1/2*1.38E-23*300)</f>
        <v>2.441918121772035E-2</v>
      </c>
      <c r="BI30" s="1054">
        <f>BH30/101325/0.0224</f>
        <v>1.0758865222286997E-5</v>
      </c>
      <c r="BJ30" s="1413">
        <f t="shared" si="6"/>
        <v>2.1599002342454506E-5</v>
      </c>
      <c r="BK30" s="500">
        <f>'[4]поэлементый расчет систем'!L433</f>
        <v>102.88620438359523</v>
      </c>
      <c r="BL30" s="500">
        <f>'[4]поэлементый расчет систем'!L434</f>
        <v>102.85346589502372</v>
      </c>
      <c r="BM30" s="500">
        <f>'[4]поэлементый расчет систем'!L435</f>
        <v>102.35228971029488</v>
      </c>
      <c r="BN30" s="22"/>
      <c r="BP30" s="85"/>
      <c r="BQ30" s="22"/>
      <c r="BS30" s="1346"/>
      <c r="BT30" s="1054"/>
      <c r="BU30" s="719"/>
      <c r="CD30" s="406"/>
      <c r="CE30" s="373" t="s">
        <v>238</v>
      </c>
      <c r="CF30" s="406"/>
      <c r="CG30" s="373">
        <v>320</v>
      </c>
      <c r="CH30" s="406"/>
      <c r="CI30" s="373"/>
      <c r="CK30" s="660"/>
      <c r="CL30" s="660"/>
      <c r="CM30" s="806"/>
      <c r="CN30" s="660"/>
      <c r="CO30" s="806"/>
      <c r="CP30" s="660"/>
      <c r="CQ30" s="660"/>
      <c r="CR30" s="806"/>
      <c r="CS30" s="660"/>
      <c r="CT30" s="806"/>
      <c r="CU30" s="660"/>
      <c r="CV30" s="806"/>
      <c r="CW30" s="660"/>
      <c r="CX30" s="806"/>
      <c r="CY30" s="660"/>
      <c r="CZ30" s="26"/>
    </row>
    <row r="31" spans="1:104" ht="18.5" x14ac:dyDescent="0.35">
      <c r="A31" s="1241"/>
      <c r="B31" s="1241"/>
      <c r="L31" s="709">
        <f>'баланс тритий'!E166</f>
        <v>0.29440000000000005</v>
      </c>
      <c r="M31" s="426">
        <f>'баланс тритий'!E164</f>
        <v>47.863149999999997</v>
      </c>
      <c r="N31" s="709">
        <f>'баланс тритий'!E192</f>
        <v>12.91889787016855</v>
      </c>
      <c r="O31" s="538">
        <f>'баланс тритий'!E190</f>
        <v>61.537837094814783</v>
      </c>
      <c r="P31" s="444" t="s">
        <v>79</v>
      </c>
      <c r="AC31" s="1365">
        <f>AC29-AC27</f>
        <v>714.56772117079277</v>
      </c>
      <c r="AD31" s="1365">
        <f t="shared" ref="AC31:AH32" si="10">AD29-AD27</f>
        <v>714.3953597154424</v>
      </c>
      <c r="AE31" s="1365">
        <f t="shared" si="10"/>
        <v>714.56772117079277</v>
      </c>
      <c r="AF31" s="1365">
        <f t="shared" si="10"/>
        <v>714.3953597154424</v>
      </c>
      <c r="AG31" s="1365">
        <f t="shared" si="10"/>
        <v>728.67812224236786</v>
      </c>
      <c r="AH31" s="1365">
        <f t="shared" si="10"/>
        <v>728.50576078701772</v>
      </c>
      <c r="AI31" s="1102">
        <f>(AD50+AD51)/10^19</f>
        <v>28.44444444444445</v>
      </c>
      <c r="AU31" s="19"/>
      <c r="AW31" s="1261" t="s">
        <v>817</v>
      </c>
      <c r="AX31" s="1241" t="s">
        <v>11</v>
      </c>
      <c r="AY31" s="1241"/>
      <c r="AZ31" s="1251">
        <f>'баланс дейтерий'!E262</f>
        <v>0</v>
      </c>
      <c r="BA31" s="1054">
        <f>AZ31/101325/0.0224</f>
        <v>0</v>
      </c>
      <c r="BB31" s="1241" t="s">
        <v>11</v>
      </c>
      <c r="BC31" s="1241"/>
      <c r="BD31" s="1251">
        <f>'баланс дейтерий'!E263</f>
        <v>0</v>
      </c>
      <c r="BE31" s="1054">
        <f>BD31/101325/0.0224</f>
        <v>0</v>
      </c>
      <c r="BF31" s="1241" t="s">
        <v>11</v>
      </c>
      <c r="BG31" s="1241"/>
      <c r="BH31" s="1251">
        <f>'баланс дейтерий'!E264</f>
        <v>-47.753119837076191</v>
      </c>
      <c r="BI31" s="1054">
        <f>BH31/101325/0.0224</f>
        <v>-2.1039582600664495E-2</v>
      </c>
      <c r="BJ31" s="1413">
        <f>BG31+BI31</f>
        <v>-2.1039582600664495E-2</v>
      </c>
      <c r="BK31" s="1260">
        <f>'[4]поэлементый расчет систем'!$Q$433</f>
        <v>1234.7151762998246</v>
      </c>
      <c r="BL31" s="1260">
        <f>'[4]поэлементый расчет систем'!$Q$434</f>
        <v>21827.242524916943</v>
      </c>
      <c r="BM31" s="1260">
        <f>'[4]поэлементый расчет систем'!$Q$435</f>
        <v>1234.7151762998246</v>
      </c>
      <c r="BN31" s="1312" t="s">
        <v>149</v>
      </c>
      <c r="BT31" s="1054"/>
      <c r="BU31" s="719"/>
      <c r="CD31" s="406"/>
      <c r="CE31" s="406"/>
      <c r="CF31" s="406"/>
      <c r="CG31" s="406"/>
      <c r="CH31" s="406"/>
      <c r="CI31" s="406"/>
      <c r="CK31" s="660"/>
      <c r="CL31" s="660"/>
      <c r="CM31" s="806"/>
      <c r="CN31" s="660"/>
      <c r="CO31" s="806"/>
      <c r="CP31" s="660"/>
      <c r="CQ31" s="660"/>
      <c r="CR31" s="806"/>
      <c r="CS31" s="660"/>
      <c r="CT31" s="806"/>
      <c r="CU31" s="660"/>
      <c r="CV31" s="806"/>
      <c r="CW31" s="660"/>
      <c r="CX31" s="806"/>
      <c r="CY31" s="660"/>
      <c r="CZ31" s="26"/>
    </row>
    <row r="32" spans="1:104" ht="18.5" x14ac:dyDescent="0.35">
      <c r="A32" s="1241"/>
      <c r="B32" s="41"/>
      <c r="M32" s="444" t="s">
        <v>79</v>
      </c>
      <c r="AC32" s="1366">
        <f t="shared" si="10"/>
        <v>714.56772117079277</v>
      </c>
      <c r="AD32" s="1366">
        <f t="shared" si="10"/>
        <v>714.3953597154424</v>
      </c>
      <c r="AE32" s="1366">
        <f t="shared" si="10"/>
        <v>714.56772117079277</v>
      </c>
      <c r="AF32" s="1366">
        <f t="shared" si="10"/>
        <v>714.3953597154424</v>
      </c>
      <c r="AG32" s="1366">
        <f t="shared" si="10"/>
        <v>700.45732009921733</v>
      </c>
      <c r="AH32" s="1366">
        <f t="shared" si="10"/>
        <v>700.28495864386718</v>
      </c>
      <c r="AI32" s="1101">
        <f>(AD50+AD51)/10^19</f>
        <v>28.44444444444445</v>
      </c>
      <c r="AU32" s="19"/>
      <c r="AV32" s="19"/>
      <c r="AW32" s="208" t="s">
        <v>725</v>
      </c>
      <c r="AX32" s="561">
        <f>'баланс тритий'!E262</f>
        <v>4.5417578513141914E-3</v>
      </c>
      <c r="AY32" s="1054">
        <f>AX32/101325/0.0224</f>
        <v>2.0010564710946881E-6</v>
      </c>
      <c r="AZ32" s="1256" t="s">
        <v>11</v>
      </c>
      <c r="BA32" s="1054"/>
      <c r="BB32" s="561">
        <f>'баланс тритий'!E263</f>
        <v>4.5496275928508436E-3</v>
      </c>
      <c r="BC32" s="1054">
        <f>BB32/101325/0.0224</f>
        <v>2.0045238063739572E-6</v>
      </c>
      <c r="BD32" s="1256" t="s">
        <v>11</v>
      </c>
      <c r="BE32" s="1054"/>
      <c r="BF32" s="561">
        <f>'баланс тритий'!E264</f>
        <v>4.6701012986452121E-3</v>
      </c>
      <c r="BG32" s="1054">
        <f>BF32/101325/0.0224</f>
        <v>2.0576034060507261E-6</v>
      </c>
      <c r="BH32" s="647" t="s">
        <v>11</v>
      </c>
      <c r="BI32" s="1054"/>
      <c r="BJ32" s="1413">
        <f t="shared" si="6"/>
        <v>2.0576034060507261E-6</v>
      </c>
      <c r="BK32" s="500">
        <f>'баланс тритий'!N262*1000</f>
        <v>344.81408733907176</v>
      </c>
      <c r="BL32" s="500">
        <f>'баланс тритий'!N263*1000</f>
        <v>345.41156475550201</v>
      </c>
      <c r="BM32" s="500">
        <f>'баланс тритий'!N264*1000</f>
        <v>354.55803012680332</v>
      </c>
      <c r="BN32" s="1259" t="s">
        <v>149</v>
      </c>
      <c r="BP32" s="847">
        <f>'[5]tritium breeding'!BP45*1000</f>
        <v>40.416314683834962</v>
      </c>
      <c r="BQ32" s="143" t="s">
        <v>2</v>
      </c>
      <c r="BR32" s="1013" t="s">
        <v>151</v>
      </c>
      <c r="BS32" s="1347"/>
      <c r="BT32" s="1054"/>
      <c r="BU32" s="719"/>
      <c r="CD32" s="406"/>
      <c r="CE32" s="373"/>
      <c r="CF32" s="406"/>
      <c r="CG32" s="373" t="s">
        <v>236</v>
      </c>
      <c r="CH32" s="406"/>
      <c r="CI32" s="373"/>
      <c r="CK32" s="660"/>
      <c r="CL32" s="660"/>
      <c r="CM32" s="806"/>
      <c r="CN32" s="660"/>
      <c r="CO32" s="806"/>
      <c r="CP32" s="660"/>
      <c r="CQ32" s="660"/>
      <c r="CR32" s="806"/>
      <c r="CS32" s="660"/>
      <c r="CT32" s="806"/>
      <c r="CU32" s="660"/>
      <c r="CV32" s="806"/>
      <c r="CW32" s="660"/>
      <c r="CX32" s="806"/>
      <c r="CY32" s="660"/>
      <c r="CZ32" s="26"/>
    </row>
    <row r="33" spans="1:104" x14ac:dyDescent="0.35">
      <c r="A33" s="1241"/>
      <c r="B33" s="553"/>
      <c r="AD33" s="69"/>
      <c r="AE33" s="136"/>
      <c r="AF33" s="308"/>
      <c r="AU33" s="19"/>
      <c r="AV33" s="19"/>
      <c r="AW33" s="120" t="s">
        <v>726</v>
      </c>
      <c r="BJ33" s="1241"/>
      <c r="BK33" s="500">
        <f>'[4]поэлементый расчет систем'!L396</f>
        <v>68.7752780586451</v>
      </c>
      <c r="BL33" s="500">
        <f>'[4]поэлементый расчет систем'!L397</f>
        <v>68.7752780586451</v>
      </c>
      <c r="BM33" s="500">
        <f>'[4]поэлементый расчет систем'!L398</f>
        <v>68.7752780586451</v>
      </c>
      <c r="BN33" s="22"/>
      <c r="BR33" s="74"/>
      <c r="BS33" s="1346"/>
      <c r="BT33" s="1054"/>
      <c r="BU33" s="719"/>
      <c r="CD33" s="406"/>
      <c r="CE33" s="406"/>
      <c r="CF33" s="406"/>
      <c r="CG33" s="406"/>
      <c r="CH33" s="406"/>
      <c r="CI33" s="406"/>
      <c r="CK33" s="660"/>
      <c r="CL33" s="660"/>
      <c r="CM33" s="806"/>
      <c r="CN33" s="660"/>
      <c r="CO33" s="806"/>
      <c r="CP33" s="660"/>
      <c r="CQ33" s="660"/>
      <c r="CR33" s="806"/>
      <c r="CS33" s="660"/>
      <c r="CT33" s="806"/>
      <c r="CU33" s="660"/>
      <c r="CV33" s="806"/>
      <c r="CW33" s="660"/>
      <c r="CX33" s="806"/>
      <c r="CY33" s="660"/>
      <c r="CZ33" s="26"/>
    </row>
    <row r="34" spans="1:104" x14ac:dyDescent="0.35">
      <c r="A34" s="1241"/>
      <c r="B34" s="1241"/>
      <c r="AC34" s="395">
        <f t="shared" ref="AC34:AH34" si="11">AC16+AC17</f>
        <v>223.25894833934112</v>
      </c>
      <c r="AD34" s="395">
        <f t="shared" si="11"/>
        <v>222.28485390834436</v>
      </c>
      <c r="AE34" s="395">
        <f t="shared" si="11"/>
        <v>223.25894833934112</v>
      </c>
      <c r="AF34" s="395">
        <f t="shared" si="11"/>
        <v>222.28485390834436</v>
      </c>
      <c r="AG34" s="395">
        <f t="shared" si="11"/>
        <v>223.25894833934112</v>
      </c>
      <c r="AH34" s="395">
        <f t="shared" si="11"/>
        <v>222.28485390834436</v>
      </c>
      <c r="AI34" s="296" t="s">
        <v>859</v>
      </c>
      <c r="AX34" s="276" t="s">
        <v>9</v>
      </c>
      <c r="AY34" s="1055" t="s">
        <v>618</v>
      </c>
      <c r="AZ34" s="1084" t="s">
        <v>9</v>
      </c>
      <c r="BA34" s="1085" t="s">
        <v>618</v>
      </c>
      <c r="BB34" s="276" t="s">
        <v>9</v>
      </c>
      <c r="BC34" s="1055" t="s">
        <v>618</v>
      </c>
      <c r="BD34" s="1084" t="s">
        <v>9</v>
      </c>
      <c r="BE34" s="1085" t="s">
        <v>618</v>
      </c>
      <c r="BF34" s="276" t="s">
        <v>9</v>
      </c>
      <c r="BG34" s="1055" t="s">
        <v>618</v>
      </c>
      <c r="BH34" s="1084" t="s">
        <v>9</v>
      </c>
      <c r="BI34" s="1085" t="s">
        <v>618</v>
      </c>
      <c r="BP34" s="1019"/>
      <c r="BQ34" s="22"/>
      <c r="BR34" s="74"/>
      <c r="BT34" s="1054"/>
      <c r="BU34" s="719"/>
      <c r="CD34" s="406"/>
      <c r="CE34" s="373"/>
      <c r="CF34" s="406"/>
      <c r="CG34" s="373" t="s">
        <v>240</v>
      </c>
      <c r="CH34" s="406"/>
      <c r="CI34" s="373"/>
      <c r="CK34" s="660"/>
      <c r="CL34" s="660"/>
      <c r="CM34" s="806"/>
      <c r="CN34" s="660"/>
      <c r="CO34" s="806"/>
      <c r="CP34" s="660"/>
      <c r="CQ34" s="660"/>
      <c r="CR34" s="806"/>
      <c r="CS34" s="660"/>
      <c r="CT34" s="806"/>
      <c r="CU34" s="660"/>
      <c r="CV34" s="806"/>
      <c r="CW34" s="660"/>
      <c r="CX34" s="806"/>
      <c r="CY34" s="660"/>
      <c r="CZ34" s="26"/>
    </row>
    <row r="35" spans="1:104" ht="16" thickBot="1" x14ac:dyDescent="0.4">
      <c r="A35" s="22"/>
      <c r="B35" s="406"/>
      <c r="C35" s="19"/>
      <c r="P35" s="1241"/>
      <c r="Q35" s="1241"/>
      <c r="AC35" s="661">
        <f t="shared" ref="AC35:AH35" si="12">AC22+AC23</f>
        <v>1652.3943906809266</v>
      </c>
      <c r="AD35" s="661">
        <f t="shared" si="12"/>
        <v>1651.0755733392293</v>
      </c>
      <c r="AE35" s="661">
        <f t="shared" si="12"/>
        <v>1652.3943906809266</v>
      </c>
      <c r="AF35" s="661">
        <f t="shared" si="12"/>
        <v>1651.0755733392293</v>
      </c>
      <c r="AG35" s="661">
        <f t="shared" si="12"/>
        <v>1652.3943906809263</v>
      </c>
      <c r="AH35" s="661">
        <f t="shared" si="12"/>
        <v>1651.0755733392291</v>
      </c>
      <c r="AI35" s="42" t="s">
        <v>873</v>
      </c>
      <c r="AL35" s="531"/>
      <c r="AM35" s="531"/>
      <c r="AN35" s="531"/>
      <c r="AV35" s="19"/>
      <c r="BM35" s="506"/>
      <c r="BN35" s="473"/>
      <c r="BR35" s="25"/>
      <c r="CD35" s="1018"/>
      <c r="CE35" s="1018"/>
      <c r="CF35" s="1018"/>
      <c r="CG35" s="1018"/>
      <c r="CH35" s="1018"/>
      <c r="CI35" s="1018"/>
      <c r="CK35" s="660"/>
      <c r="CL35" s="660"/>
      <c r="CM35" s="660"/>
      <c r="CN35" s="660"/>
      <c r="CO35" s="660"/>
      <c r="CP35" s="660"/>
      <c r="CQ35" s="660"/>
      <c r="CR35" s="660"/>
      <c r="CS35" s="660"/>
      <c r="CT35" s="660"/>
      <c r="CU35" s="660"/>
      <c r="CV35" s="660"/>
      <c r="CW35" s="660"/>
      <c r="CX35" s="660"/>
      <c r="CY35" s="660"/>
      <c r="CZ35" s="26"/>
    </row>
    <row r="36" spans="1:104" ht="16" thickBot="1" x14ac:dyDescent="0.4">
      <c r="A36" s="1072"/>
      <c r="B36" s="19"/>
      <c r="C36" s="19"/>
      <c r="G36" s="443">
        <f>'баланс дейтерий'!E167</f>
        <v>12.000000000000002</v>
      </c>
      <c r="H36" s="710">
        <f>'баланс дейтерий'!E163</f>
        <v>23.705425072959112</v>
      </c>
      <c r="I36" s="534">
        <f>'баланс дейтерий'!E161</f>
        <v>23.705425072959112</v>
      </c>
      <c r="P36" s="836"/>
      <c r="Q36" s="534"/>
      <c r="R36" s="444"/>
      <c r="AL36" s="531"/>
      <c r="AM36" s="531"/>
      <c r="AN36" s="531"/>
      <c r="AT36" s="1258"/>
      <c r="AZ36" s="71" t="s">
        <v>916</v>
      </c>
      <c r="BA36" s="553">
        <f>AY27+BA27</f>
        <v>1.4126143690022578E-2</v>
      </c>
      <c r="BB36" s="553">
        <f>BC27+BE27</f>
        <v>1.4506153206782649E-2</v>
      </c>
      <c r="BC36" s="553">
        <f>BG27+BI27</f>
        <v>1.4792131163715985E-2</v>
      </c>
      <c r="BD36" s="550" t="s">
        <v>618</v>
      </c>
      <c r="BI36" s="71" t="s">
        <v>49</v>
      </c>
      <c r="BK36" s="544">
        <f>BK8+BK9+BK10+BK12+BK13+BK15+BK16+BK17+BK18+BK21+BK23+BK30+BK33+BK27</f>
        <v>562.69918368679407</v>
      </c>
      <c r="BL36" s="544">
        <f>BL8+BL9+BL10+BL13+BL15+BL16+BL17+BL18+BL21+BL23+BL30+BL33+BL12+BL27</f>
        <v>548.32698720389726</v>
      </c>
      <c r="BM36" s="544">
        <f>BM8+BM9+BM10+BM13+BM15+BM16+BM17+BM18+BM21+BM23+BM26+BM30+BM33+BM12+BM27</f>
        <v>440.67643539518565</v>
      </c>
      <c r="BN36" s="436" t="s">
        <v>2</v>
      </c>
      <c r="BP36" s="378">
        <f>'[5]tritium breeding'!BP44*1000</f>
        <v>1041.6966101513528</v>
      </c>
      <c r="BQ36" s="436" t="s">
        <v>2</v>
      </c>
      <c r="BR36" s="25"/>
      <c r="BS36" s="1349"/>
      <c r="CD36" s="1018"/>
      <c r="CE36" s="78">
        <f>CE10+0.6+65.6</f>
        <v>100.6</v>
      </c>
      <c r="CF36" s="436" t="s">
        <v>2</v>
      </c>
      <c r="CG36" s="78">
        <f>CG9+CG10+CG17+CG22+CG24+CG28+CG30+CG19</f>
        <v>945</v>
      </c>
      <c r="CH36" s="13" t="s">
        <v>2</v>
      </c>
      <c r="CI36" s="78"/>
      <c r="CK36" s="660"/>
      <c r="CL36" s="660"/>
      <c r="CM36" s="806"/>
      <c r="CN36" s="660"/>
      <c r="CO36" s="806"/>
      <c r="CP36" s="660"/>
      <c r="CQ36" s="660"/>
      <c r="CR36" s="806"/>
      <c r="CS36" s="660"/>
      <c r="CT36" s="806"/>
      <c r="CU36" s="660"/>
      <c r="CV36" s="806"/>
      <c r="CW36" s="660"/>
      <c r="CX36" s="806"/>
      <c r="CY36" s="660"/>
      <c r="CZ36" s="26"/>
    </row>
    <row r="37" spans="1:104" ht="16.5" customHeight="1" x14ac:dyDescent="0.35">
      <c r="A37" s="1072"/>
      <c r="B37" s="19"/>
      <c r="C37" s="19"/>
      <c r="G37" s="111">
        <f>'баланс тритий'!E167</f>
        <v>12.000000000000002</v>
      </c>
      <c r="H37" s="709">
        <f>'баланс тритий'!E163</f>
        <v>23.705460901389174</v>
      </c>
      <c r="I37" s="426">
        <f>'баланс тритий'!E161</f>
        <v>23.705460901389174</v>
      </c>
      <c r="J37" s="444" t="s">
        <v>79</v>
      </c>
      <c r="K37" s="533">
        <f>'баланс дейтерий'!E176</f>
        <v>29.7056</v>
      </c>
      <c r="L37" s="534">
        <f>'баланс дейтерий'!E174</f>
        <v>77.568750000000009</v>
      </c>
      <c r="M37" s="444" t="s">
        <v>79</v>
      </c>
      <c r="N37" s="534"/>
      <c r="P37" s="540">
        <f>'баланс дейтерий'!E183</f>
        <v>0.59411199999999997</v>
      </c>
      <c r="Q37" s="443">
        <f>'баланс дейтерий'!E181</f>
        <v>1.5513749999999999</v>
      </c>
      <c r="R37" s="444" t="s">
        <v>79</v>
      </c>
      <c r="AC37" s="1250">
        <f>AC8/(AC10+AC12+AC18)</f>
        <v>8.1249885650696359E-4</v>
      </c>
      <c r="AD37" s="1250">
        <f>AC8/(AC10+AC12)</f>
        <v>1.6465222955879182E-3</v>
      </c>
      <c r="AE37" s="1250">
        <f>AE8/(AE10+AE12+AE18)</f>
        <v>8.1249885650696359E-4</v>
      </c>
      <c r="AF37" s="1250">
        <f>AE8/(AE10+AE12)</f>
        <v>1.6465222955879182E-3</v>
      </c>
      <c r="AH37" s="104">
        <f>AH18-AH14</f>
        <v>81.09517937116641</v>
      </c>
      <c r="AL37" s="531"/>
      <c r="AM37" s="531"/>
      <c r="AN37" s="531"/>
      <c r="AW37" s="81"/>
      <c r="BA37" s="173">
        <f>BA36*3600</f>
        <v>50.854117284081283</v>
      </c>
      <c r="BB37" s="173">
        <f>BB36*3600</f>
        <v>52.222151544417535</v>
      </c>
      <c r="BC37" s="173">
        <f>BC36*3600</f>
        <v>53.251672189377544</v>
      </c>
      <c r="BD37" s="550" t="s">
        <v>909</v>
      </c>
      <c r="BE37" s="15"/>
      <c r="BI37" s="94" t="s">
        <v>83</v>
      </c>
      <c r="BL37" s="1315">
        <f>BK36/BL36</f>
        <v>1.0262109960266326</v>
      </c>
      <c r="BM37" s="1316">
        <f>BK36/BM36</f>
        <v>1.2768987367844664</v>
      </c>
      <c r="CD37" s="1018"/>
      <c r="CE37" s="1018"/>
      <c r="CF37" s="436"/>
      <c r="CG37" s="1018"/>
      <c r="CI37" s="1018"/>
      <c r="CK37" s="660"/>
      <c r="CL37" s="660"/>
      <c r="CM37" s="806"/>
      <c r="CN37" s="660"/>
      <c r="CO37" s="806"/>
      <c r="CP37" s="660"/>
      <c r="CQ37" s="660"/>
      <c r="CR37" s="806"/>
      <c r="CS37" s="660"/>
      <c r="CT37" s="806"/>
      <c r="CU37" s="660"/>
      <c r="CV37" s="806"/>
      <c r="CW37" s="660"/>
      <c r="CX37" s="806"/>
      <c r="CY37" s="660"/>
      <c r="CZ37" s="26"/>
    </row>
    <row r="38" spans="1:104" ht="16.5" customHeight="1" thickBot="1" x14ac:dyDescent="0.4">
      <c r="A38" s="19"/>
      <c r="B38" s="406"/>
      <c r="C38" s="19"/>
      <c r="K38" s="536">
        <f>'баланс тритий'!E176</f>
        <v>29.7056</v>
      </c>
      <c r="L38" s="426">
        <f>'баланс тритий'!E174</f>
        <v>77.568750000000009</v>
      </c>
      <c r="M38" s="381"/>
      <c r="N38" s="426"/>
      <c r="P38" s="210">
        <f>'баланс тритий'!E183</f>
        <v>0.59411199999999997</v>
      </c>
      <c r="Q38" s="111">
        <f>'баланс тритий'!E181</f>
        <v>1.5513749999999999</v>
      </c>
      <c r="AH38" s="104">
        <f>AH19-AH15</f>
        <v>77.95953468859409</v>
      </c>
      <c r="AL38" s="531"/>
      <c r="AM38" s="531"/>
      <c r="AN38" s="531"/>
      <c r="AW38" s="1351"/>
      <c r="AX38" s="1350"/>
      <c r="AY38" s="1350"/>
      <c r="AZ38" s="1378" t="s">
        <v>917</v>
      </c>
      <c r="BA38" s="222">
        <f>AY9*3600</f>
        <v>25.427058642040642</v>
      </c>
      <c r="BB38" s="222">
        <f>BC9*3600</f>
        <v>25.427058642040642</v>
      </c>
      <c r="BC38" s="222">
        <f>BG9*3600</f>
        <v>26.625836094688772</v>
      </c>
      <c r="BD38" s="550" t="s">
        <v>909</v>
      </c>
      <c r="BS38" s="1018"/>
      <c r="CC38" s="1018"/>
      <c r="CD38" s="1018"/>
      <c r="CE38" s="1018"/>
      <c r="CJ38" s="19"/>
      <c r="CK38" s="660"/>
      <c r="CL38" s="660"/>
      <c r="CM38" s="806"/>
      <c r="CN38" s="660"/>
      <c r="CO38" s="806"/>
      <c r="CP38" s="660"/>
      <c r="CQ38" s="660"/>
      <c r="CR38" s="806"/>
      <c r="CS38" s="660"/>
      <c r="CT38" s="806"/>
      <c r="CU38" s="660"/>
      <c r="CV38" s="806"/>
      <c r="CW38" s="660"/>
      <c r="CX38" s="806"/>
      <c r="CY38" s="660"/>
      <c r="CZ38" s="26"/>
    </row>
    <row r="39" spans="1:104" x14ac:dyDescent="0.35">
      <c r="A39" s="376"/>
      <c r="B39" s="406"/>
      <c r="C39" s="19"/>
      <c r="H39" s="1071"/>
      <c r="I39" s="436"/>
      <c r="K39" s="1241" t="s">
        <v>166</v>
      </c>
      <c r="L39" s="1241"/>
      <c r="M39" s="19"/>
      <c r="AC39" s="981" t="s">
        <v>537</v>
      </c>
      <c r="AD39" s="981" t="s">
        <v>856</v>
      </c>
      <c r="AL39" s="531"/>
      <c r="AM39" s="531"/>
      <c r="AN39" s="531"/>
      <c r="AW39" s="1351"/>
      <c r="AX39" s="1350"/>
      <c r="AY39" s="1350"/>
      <c r="AZ39" s="1350"/>
      <c r="BI39" s="851" t="s">
        <v>151</v>
      </c>
      <c r="BK39" s="656">
        <f>BK36+BK32-BK47-'баланс тритий'!K333*1000</f>
        <v>881.91280547499025</v>
      </c>
      <c r="BL39" s="656">
        <f>BL36+BL32-BL47-'баланс тритий'!K333*1000</f>
        <v>868.73556382495383</v>
      </c>
      <c r="BM39" s="657">
        <f>BM36+BM32-BM47-'баланс тритий'!K333*1000</f>
        <v>779.37794275884494</v>
      </c>
      <c r="BN39" s="22" t="s">
        <v>2</v>
      </c>
      <c r="BP39" s="206">
        <f>'[5]tritium breeding'!AH40*1000</f>
        <v>1142.8890840042175</v>
      </c>
      <c r="BQ39" s="22" t="s">
        <v>2</v>
      </c>
      <c r="BS39" s="1018"/>
      <c r="CC39" s="1018"/>
      <c r="CD39" s="1018"/>
      <c r="CE39" s="25" t="s">
        <v>531</v>
      </c>
      <c r="CK39" s="660"/>
      <c r="CL39" s="660"/>
      <c r="CM39" s="806"/>
      <c r="CN39" s="660"/>
      <c r="CO39" s="806"/>
      <c r="CP39" s="660"/>
      <c r="CQ39" s="660"/>
      <c r="CR39" s="806"/>
      <c r="CS39" s="660"/>
      <c r="CT39" s="806"/>
      <c r="CU39" s="660"/>
      <c r="CV39" s="806"/>
      <c r="CW39" s="660"/>
      <c r="CX39" s="806"/>
      <c r="CY39" s="660"/>
      <c r="CZ39" s="26"/>
    </row>
    <row r="40" spans="1:104" x14ac:dyDescent="0.35">
      <c r="A40" s="13"/>
      <c r="B40" s="1241"/>
      <c r="E40" s="715">
        <f>'[4]поэлементый расчет систем'!M233</f>
        <v>3.4985408177333E-4</v>
      </c>
      <c r="F40" s="716">
        <f>'[4]поэлементый расчет систем'!M233</f>
        <v>3.4985408177333E-4</v>
      </c>
      <c r="G40" s="540">
        <f>'баланс дейтерий'!E169</f>
        <v>12.000000000000002</v>
      </c>
      <c r="H40" s="710">
        <f>G40</f>
        <v>12.000000000000002</v>
      </c>
      <c r="I40" s="534">
        <f>G36</f>
        <v>12.000000000000002</v>
      </c>
      <c r="M40" s="19"/>
      <c r="AB40" s="41" t="s">
        <v>498</v>
      </c>
      <c r="AC40" s="73">
        <f>'[2]динамика изотопов в ТЦ'!FB6+'[2]динамика изотопов в ТЦ'!FE6</f>
        <v>2.8985507246376812E+22</v>
      </c>
      <c r="AD40" s="73">
        <f>'[2]динамика изотопов в ТЦ'!FB35+'[2]динамика изотопов в ТЦ'!FE35</f>
        <v>2.8985507246376812E+22</v>
      </c>
      <c r="AE40" s="13" t="s">
        <v>14</v>
      </c>
      <c r="AF40" s="119">
        <f t="shared" ref="AF40:AG42" si="13">AC40*(1/2*1.38E-23*300)</f>
        <v>60.000000000000007</v>
      </c>
      <c r="AG40" s="119">
        <f t="shared" si="13"/>
        <v>60.000000000000007</v>
      </c>
      <c r="AH40" s="124" t="s">
        <v>9</v>
      </c>
      <c r="AJ40" s="1412" t="s">
        <v>955</v>
      </c>
      <c r="AL40" s="531"/>
      <c r="AM40" s="531"/>
      <c r="AN40" s="531"/>
      <c r="AW40" s="1352"/>
      <c r="AX40" s="1350"/>
      <c r="AY40" s="1350"/>
      <c r="AZ40" s="1418" t="s">
        <v>960</v>
      </c>
      <c r="BA40" s="222">
        <f>'баланс тритий'!B9*(1/2*1.38E-23*300)+'баланс дейтерий'!B9*(1/2*1.38E-23*300)</f>
        <v>4.8789572862578123E-2</v>
      </c>
      <c r="BB40" s="276" t="s">
        <v>9</v>
      </c>
      <c r="BC40" s="1054">
        <f>BA40/101325/0.0224</f>
        <v>2.149623421036363E-5</v>
      </c>
      <c r="BD40" s="1055" t="s">
        <v>618</v>
      </c>
      <c r="BI40" s="1"/>
      <c r="BK40" s="1"/>
      <c r="BL40" s="1"/>
      <c r="BM40" s="1"/>
      <c r="BP40" s="104"/>
      <c r="CE40" s="25" t="s">
        <v>607</v>
      </c>
      <c r="CJ40" s="813"/>
      <c r="CK40" s="660"/>
      <c r="CL40" s="660"/>
      <c r="CM40" s="806"/>
      <c r="CN40" s="660"/>
      <c r="CO40" s="806"/>
      <c r="CP40" s="660"/>
      <c r="CQ40" s="660"/>
      <c r="CR40" s="806"/>
      <c r="CS40" s="660"/>
      <c r="CT40" s="806"/>
      <c r="CU40" s="660"/>
      <c r="CV40" s="806"/>
      <c r="CW40" s="660"/>
      <c r="CX40" s="806"/>
      <c r="CY40" s="660"/>
      <c r="CZ40" s="26"/>
    </row>
    <row r="41" spans="1:104" ht="15.65" customHeight="1" x14ac:dyDescent="0.35">
      <c r="A41" s="1241"/>
      <c r="B41" s="1241"/>
      <c r="E41" s="717">
        <f>'[4]поэлементый расчет систем'!K233</f>
        <v>2.7819722165108165E-4</v>
      </c>
      <c r="F41" s="718">
        <f>'[4]поэлементый расчет систем'!K233</f>
        <v>2.7819722165108165E-4</v>
      </c>
      <c r="G41" s="210">
        <f>'баланс тритий'!E169</f>
        <v>12.000000000000002</v>
      </c>
      <c r="H41" s="709">
        <f>G41</f>
        <v>12.000000000000002</v>
      </c>
      <c r="I41" s="426">
        <f>G37</f>
        <v>12.000000000000002</v>
      </c>
      <c r="J41" s="444" t="s">
        <v>79</v>
      </c>
      <c r="M41" s="19"/>
      <c r="AB41" s="1071" t="s">
        <v>626</v>
      </c>
      <c r="AC41" s="585">
        <f>'[2]динамика изотопов в ТЦ'!FC6+'[2]динамика изотопов в ТЦ'!FF6</f>
        <v>2.8985507246376812E+22</v>
      </c>
      <c r="AD41" s="585">
        <f>'[2]динамика изотопов в ТЦ'!FC35+'[2]динамика изотопов в ТЦ'!FF35</f>
        <v>2.8985507246376812E+22</v>
      </c>
      <c r="AF41" s="581">
        <f t="shared" si="13"/>
        <v>60.000000000000007</v>
      </c>
      <c r="AG41" s="581">
        <f t="shared" si="13"/>
        <v>60.000000000000007</v>
      </c>
      <c r="AJ41" s="1412" t="s">
        <v>956</v>
      </c>
      <c r="AW41" s="1351"/>
      <c r="AX41" s="473"/>
      <c r="AY41" s="473"/>
      <c r="AZ41" s="1350"/>
      <c r="BG41" s="25"/>
      <c r="BH41" s="25"/>
      <c r="BI41" s="208" t="s">
        <v>840</v>
      </c>
      <c r="BJ41" s="14"/>
      <c r="BK41" s="847">
        <f>'[4]поэлементый расчет систем'!L443</f>
        <v>672.84763125781615</v>
      </c>
      <c r="BL41" s="847">
        <f>'[4]поэлементый расчет систем'!L444</f>
        <v>658.47543477491945</v>
      </c>
      <c r="BM41" s="847">
        <f>'[4]поэлементый расчет систем'!L445</f>
        <v>438.45908967895934</v>
      </c>
      <c r="BN41" s="102" t="s">
        <v>2</v>
      </c>
      <c r="BP41" s="206">
        <f>'[5]tritium breeding'!BP46*1000</f>
        <v>800</v>
      </c>
      <c r="BQ41" s="22" t="s">
        <v>2</v>
      </c>
      <c r="BR41" s="85" t="s">
        <v>242</v>
      </c>
      <c r="BS41" s="1348"/>
      <c r="CE41" s="25" t="s">
        <v>532</v>
      </c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</row>
    <row r="42" spans="1:104" x14ac:dyDescent="0.35">
      <c r="A42" s="1241"/>
      <c r="B42" s="1241"/>
      <c r="E42" s="719"/>
      <c r="F42" s="719"/>
      <c r="M42" s="19"/>
      <c r="Q42" s="41" t="s">
        <v>406</v>
      </c>
      <c r="AC42" s="190">
        <f>'[2]динамика изотопов в ТЦ'!FD6+'[2]динамика изотопов в ТЦ'!FG6</f>
        <v>2.8985507246376812E+22</v>
      </c>
      <c r="AD42" s="190">
        <f>'[2]динамика изотопов в ТЦ'!FD35+'[2]динамика изотопов в ТЦ'!FG35</f>
        <v>2.8985507246376808E+22</v>
      </c>
      <c r="AF42" s="210">
        <f t="shared" si="13"/>
        <v>60.000000000000007</v>
      </c>
      <c r="AG42" s="210">
        <f t="shared" si="13"/>
        <v>59.999999999999993</v>
      </c>
      <c r="AJ42" s="1412" t="s">
        <v>957</v>
      </c>
      <c r="AW42" s="1351"/>
      <c r="AX42" s="473"/>
      <c r="AY42" s="473"/>
      <c r="AZ42" s="1350"/>
      <c r="BA42" s="1350"/>
      <c r="BB42" s="1350"/>
      <c r="BC42" s="1350"/>
      <c r="BI42" s="94" t="s">
        <v>843</v>
      </c>
      <c r="BJ42" s="25"/>
      <c r="BK42" s="1317">
        <f>BK30</f>
        <v>102.88620438359523</v>
      </c>
      <c r="BL42" s="1317">
        <f>BL30</f>
        <v>102.85346589502372</v>
      </c>
      <c r="BM42" s="1318">
        <f>BM30</f>
        <v>102.35228971029488</v>
      </c>
      <c r="CE42" s="25"/>
      <c r="CJ42" s="619"/>
      <c r="CK42" s="161"/>
      <c r="CL42" s="26"/>
      <c r="CM42" s="26"/>
      <c r="CN42" s="798"/>
      <c r="CO42" s="27"/>
      <c r="CP42" s="798"/>
      <c r="CQ42" s="26"/>
      <c r="CR42" s="161"/>
      <c r="CS42" s="35"/>
      <c r="CT42" s="35"/>
      <c r="CU42" s="798"/>
      <c r="CV42" s="27"/>
      <c r="CW42" s="798"/>
      <c r="CX42" s="26"/>
      <c r="CY42" s="161"/>
      <c r="CZ42" s="26"/>
    </row>
    <row r="43" spans="1:104" x14ac:dyDescent="0.35">
      <c r="A43" s="1241"/>
      <c r="B43" s="1241"/>
      <c r="E43" s="719"/>
      <c r="F43" s="719"/>
      <c r="H43" s="1071"/>
      <c r="AJ43" s="1412">
        <f>(1.93-0.3+2)*(1/2*1.38E-23*300)*10^22/2</f>
        <v>37.570499999999996</v>
      </c>
      <c r="AR43" s="25"/>
      <c r="BI43" s="171" t="s">
        <v>841</v>
      </c>
      <c r="BK43" s="1314">
        <f>'[4]поэлементый расчет систем'!$Q$439</f>
        <v>405.90937172010342</v>
      </c>
      <c r="BL43" s="1314">
        <f>'[4]поэлементый расчет систем'!$Q$440</f>
        <v>793.98294590992168</v>
      </c>
      <c r="BM43" s="1314">
        <f>'[4]поэлементый расчет систем'!$Q$441</f>
        <v>1167.0306394616741</v>
      </c>
      <c r="BN43" s="102" t="s">
        <v>2</v>
      </c>
      <c r="CE43" s="25" t="s">
        <v>533</v>
      </c>
      <c r="CJ43" s="545"/>
      <c r="CK43" s="161"/>
      <c r="CL43" s="26"/>
      <c r="CM43" s="26"/>
      <c r="CN43" s="798"/>
      <c r="CO43" s="26"/>
      <c r="CP43" s="26"/>
      <c r="CQ43" s="26"/>
      <c r="CR43" s="161"/>
      <c r="CS43" s="35"/>
      <c r="CT43" s="35"/>
      <c r="CU43" s="798"/>
      <c r="CV43" s="26"/>
      <c r="CW43" s="26"/>
      <c r="CX43" s="26"/>
      <c r="CY43" s="161"/>
      <c r="CZ43" s="26"/>
    </row>
    <row r="44" spans="1:104" x14ac:dyDescent="0.35">
      <c r="A44" s="1241"/>
      <c r="B44" s="1241"/>
      <c r="T44" s="436" t="s">
        <v>820</v>
      </c>
      <c r="AC44" s="1004">
        <f t="shared" ref="AC44:AD46" si="14">AC40/10^19</f>
        <v>2898.550724637681</v>
      </c>
      <c r="AD44" s="1004">
        <f t="shared" si="14"/>
        <v>2898.550724637681</v>
      </c>
      <c r="AF44" s="1004">
        <f>AC29+AC30</f>
        <v>2898.550724637681</v>
      </c>
      <c r="AG44" s="1004">
        <f>AD29+AD30</f>
        <v>2898.550724637681</v>
      </c>
      <c r="AK44" s="26"/>
      <c r="AL44" s="26"/>
      <c r="AM44" s="1073"/>
      <c r="AN44" s="26"/>
      <c r="AO44" s="1073"/>
      <c r="AP44" s="26"/>
      <c r="AQ44" s="26"/>
      <c r="AR44" s="25"/>
      <c r="CE44" s="25" t="s">
        <v>608</v>
      </c>
      <c r="CJ44" s="294"/>
      <c r="CK44" s="161"/>
      <c r="CL44" s="26"/>
      <c r="CM44" s="26"/>
      <c r="CN44" s="798"/>
      <c r="CO44" s="26"/>
      <c r="CP44" s="26"/>
      <c r="CQ44" s="26"/>
      <c r="CR44" s="161"/>
      <c r="CS44" s="35"/>
      <c r="CT44" s="35"/>
      <c r="CU44" s="798"/>
      <c r="CV44" s="26"/>
      <c r="CW44" s="26"/>
      <c r="CX44" s="26"/>
      <c r="CY44" s="161"/>
      <c r="CZ44" s="26"/>
    </row>
    <row r="45" spans="1:104" x14ac:dyDescent="0.35">
      <c r="A45" s="1241"/>
      <c r="B45" s="1241"/>
      <c r="T45" s="13" t="s">
        <v>821</v>
      </c>
      <c r="AC45" s="1004">
        <f t="shared" si="14"/>
        <v>2898.550724637681</v>
      </c>
      <c r="AD45" s="1004">
        <f t="shared" si="14"/>
        <v>2898.550724637681</v>
      </c>
      <c r="AF45" s="1004">
        <f>AE29+AE30</f>
        <v>2898.550724637681</v>
      </c>
      <c r="AG45" s="1004">
        <f>AF29+AF30</f>
        <v>2898.550724637681</v>
      </c>
      <c r="BI45" s="15" t="s">
        <v>330</v>
      </c>
      <c r="BK45" s="472">
        <f>BK41/(BK32)</f>
        <v>1.9513345189872526</v>
      </c>
      <c r="BL45" s="472">
        <f>BL41/(BL32)</f>
        <v>1.9063502845975011</v>
      </c>
      <c r="BM45" s="472">
        <f>BM41/(BM32)</f>
        <v>1.2366356207533922</v>
      </c>
      <c r="BN45" s="13" t="s">
        <v>297</v>
      </c>
      <c r="CE45" s="25" t="s">
        <v>534</v>
      </c>
      <c r="CJ45" s="785"/>
      <c r="CK45" s="565"/>
      <c r="CL45" s="26"/>
      <c r="CM45" s="26"/>
      <c r="CN45" s="800"/>
      <c r="CO45" s="801"/>
      <c r="CP45" s="800"/>
      <c r="CQ45" s="26"/>
      <c r="CR45" s="565"/>
      <c r="CS45" s="26"/>
      <c r="CT45" s="26"/>
      <c r="CU45" s="800"/>
      <c r="CV45" s="801"/>
      <c r="CW45" s="800"/>
      <c r="CX45" s="26"/>
      <c r="CY45" s="565"/>
      <c r="CZ45" s="26"/>
    </row>
    <row r="46" spans="1:104" x14ac:dyDescent="0.35">
      <c r="A46" s="1241"/>
      <c r="B46" s="1241"/>
      <c r="G46" s="14"/>
      <c r="T46" s="1262" t="s">
        <v>819</v>
      </c>
      <c r="AC46" s="1004">
        <f t="shared" si="14"/>
        <v>2898.550724637681</v>
      </c>
      <c r="AD46" s="1004">
        <f t="shared" si="14"/>
        <v>2898.5507246376806</v>
      </c>
      <c r="AF46" s="1004">
        <f>AG29+AG30</f>
        <v>2898.550724637681</v>
      </c>
      <c r="AG46" s="1004">
        <f>AH29+AH30</f>
        <v>2898.550724637681</v>
      </c>
      <c r="AH46" s="105"/>
      <c r="AZ46" s="19"/>
      <c r="BA46" s="19"/>
      <c r="BB46" s="19"/>
      <c r="BC46" s="19"/>
      <c r="BD46" s="19"/>
      <c r="BE46" s="19"/>
      <c r="CK46" s="148"/>
      <c r="CL46" s="26"/>
      <c r="CM46" s="26"/>
      <c r="CN46" s="26"/>
      <c r="CO46" s="26"/>
      <c r="CP46" s="26"/>
      <c r="CQ46" s="26"/>
      <c r="CR46" s="148"/>
      <c r="CS46" s="26"/>
      <c r="CT46" s="26"/>
      <c r="CU46" s="26"/>
      <c r="CV46" s="26"/>
      <c r="CW46" s="26"/>
      <c r="CX46" s="26"/>
      <c r="CY46" s="148"/>
      <c r="CZ46" s="26"/>
    </row>
    <row r="47" spans="1:104" x14ac:dyDescent="0.35">
      <c r="A47" s="1241"/>
      <c r="B47" s="1241"/>
      <c r="AZ47" s="19"/>
      <c r="BA47" s="19"/>
      <c r="BB47" s="19"/>
      <c r="BC47" s="19"/>
      <c r="BD47" s="19"/>
      <c r="BE47" s="19"/>
      <c r="BI47" s="15" t="s">
        <v>354</v>
      </c>
      <c r="BK47" s="470">
        <f>'баланс тритий'!K281*1000</f>
        <v>23.748392786425875</v>
      </c>
      <c r="BL47" s="470">
        <f>'баланс тритий'!K282*1000</f>
        <v>23.150915369995658</v>
      </c>
      <c r="BM47" s="470">
        <f>'баланс тритий'!K283*1000</f>
        <v>14.004449998694351</v>
      </c>
      <c r="BN47" s="241" t="s">
        <v>2</v>
      </c>
      <c r="CD47" s="94" t="s">
        <v>312</v>
      </c>
      <c r="CE47" s="961">
        <f>CG47/(1/2*1.38E-23*1000)</f>
        <v>4.8260869565217388E+22</v>
      </c>
      <c r="CF47" s="74" t="s">
        <v>14</v>
      </c>
      <c r="CG47" s="427">
        <v>333</v>
      </c>
      <c r="CH47" s="74" t="s">
        <v>9</v>
      </c>
      <c r="CI47" s="678">
        <f>CE47*3/(6.02*10^23)</f>
        <v>0.24050267225191393</v>
      </c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</row>
    <row r="48" spans="1:104" x14ac:dyDescent="0.35">
      <c r="A48" s="1241"/>
      <c r="B48" s="1241"/>
      <c r="F48" s="1241"/>
      <c r="J48" s="1241"/>
      <c r="K48" s="1241"/>
      <c r="L48" s="495"/>
      <c r="M48" s="443"/>
      <c r="N48" s="444"/>
      <c r="AB48" s="410" t="s">
        <v>499</v>
      </c>
      <c r="AC48" s="403">
        <f>(AC18+AC19+AC20+AC21-AC16-AC17)*10000000000000000000</f>
        <v>2.8985507246376812E+22</v>
      </c>
      <c r="AD48" s="403">
        <f>(AD18+AD19+AD20+AD21-AD16-AD17)*10000000000000000000</f>
        <v>2.8985507246376812E+22</v>
      </c>
      <c r="AF48" s="495">
        <f>AC48*(1/2*1.38E-23*300)</f>
        <v>60.000000000000007</v>
      </c>
      <c r="AG48" s="495">
        <f>AD48*(1/2*1.38E-23*300)</f>
        <v>60.000000000000007</v>
      </c>
      <c r="AH48" s="896"/>
      <c r="AJ48" s="94"/>
      <c r="AL48" s="69"/>
      <c r="AM48" s="26"/>
      <c r="AN48" s="69"/>
      <c r="AP48" s="1071" t="s">
        <v>648</v>
      </c>
      <c r="AZ48" s="19"/>
      <c r="BA48" s="19"/>
      <c r="BB48" s="19"/>
      <c r="BC48" s="19"/>
      <c r="BD48" s="19"/>
      <c r="BE48" s="19"/>
      <c r="BI48" s="15" t="s">
        <v>143</v>
      </c>
      <c r="BK48" s="500">
        <f>'баланс тритий'!H335</f>
        <v>1877.6732300006131</v>
      </c>
      <c r="BL48" s="500">
        <f>'баланс тритий'!H336</f>
        <v>1877.0757525841832</v>
      </c>
      <c r="BM48" s="500">
        <f>'баланс тритий'!H337</f>
        <v>1867.9292872128817</v>
      </c>
      <c r="CC48" s="25"/>
      <c r="CD48" s="94"/>
      <c r="CE48" s="25"/>
      <c r="CF48" s="25"/>
      <c r="CG48" s="25"/>
      <c r="CH48" s="25"/>
      <c r="CI48" s="844"/>
      <c r="CJ48" s="430"/>
    </row>
    <row r="49" spans="1:88" x14ac:dyDescent="0.35">
      <c r="A49" s="1241"/>
      <c r="B49" s="1241"/>
      <c r="J49" s="1241"/>
      <c r="K49" s="1241"/>
      <c r="L49" s="1072"/>
      <c r="M49" s="111"/>
      <c r="AB49" s="410" t="s">
        <v>500</v>
      </c>
      <c r="AC49" s="311">
        <f>(AE18+AE19+AE20+AE21-AE16-AE17)*10000000000000000000</f>
        <v>2.8985507246376812E+22</v>
      </c>
      <c r="AD49" s="311">
        <f>(AF18+AF19+AF20+AF21-AF16-AF17)*10000000000000000000</f>
        <v>2.8985507246376812E+22</v>
      </c>
      <c r="AF49" s="429">
        <f>AC49*(1/2*1.38E-23*300)</f>
        <v>60.000000000000007</v>
      </c>
      <c r="AG49" s="429">
        <f>AD49*(1/2*1.38E-23*300)</f>
        <v>60.000000000000007</v>
      </c>
      <c r="AH49" s="26"/>
      <c r="AL49" s="94" t="s">
        <v>647</v>
      </c>
      <c r="AM49" s="316">
        <f>'[1]параметры для расчета'!$K$33</f>
        <v>1.5E+24</v>
      </c>
      <c r="AN49" s="1409">
        <f>AM49*(1/2*1.38E-23*300)</f>
        <v>3105</v>
      </c>
      <c r="AO49" s="1265">
        <f>AC40/AM49</f>
        <v>1.932367149758454E-2</v>
      </c>
      <c r="AP49" s="1095">
        <f>'[1]параметры для расчета'!$K$35</f>
        <v>0</v>
      </c>
      <c r="AQ49" s="37" t="s">
        <v>18</v>
      </c>
      <c r="AZ49" s="95"/>
      <c r="BA49" s="1170"/>
      <c r="BB49" s="1170"/>
      <c r="BC49" s="546"/>
      <c r="BD49" s="19"/>
      <c r="BE49" s="19"/>
      <c r="BK49" s="1"/>
      <c r="BL49" s="1"/>
      <c r="BM49" s="1"/>
      <c r="BN49" s="548"/>
      <c r="CE49" s="308" t="s">
        <v>535</v>
      </c>
      <c r="CJ49" s="19"/>
    </row>
    <row r="50" spans="1:88" x14ac:dyDescent="0.35">
      <c r="A50" s="1241"/>
      <c r="B50" s="1241"/>
      <c r="J50" s="1241"/>
      <c r="K50" s="1241"/>
      <c r="L50" s="406"/>
      <c r="M50" s="1241"/>
      <c r="Y50" s="104"/>
      <c r="Z50" s="104"/>
      <c r="AA50" s="426"/>
      <c r="AB50" s="1311" t="s">
        <v>872</v>
      </c>
      <c r="AC50" s="988">
        <f>AC48-AC40</f>
        <v>0</v>
      </c>
      <c r="AD50" s="1098">
        <f>'баланс тритий'!B59</f>
        <v>1.4222222222222225E+20</v>
      </c>
      <c r="AE50" s="13" t="s">
        <v>634</v>
      </c>
      <c r="AH50" s="46"/>
      <c r="AL50" s="25"/>
      <c r="AM50" s="296" t="s">
        <v>14</v>
      </c>
      <c r="AN50" s="203" t="s">
        <v>9</v>
      </c>
      <c r="AO50" s="26"/>
      <c r="AP50" s="160"/>
      <c r="BI50" s="1168" t="s">
        <v>374</v>
      </c>
      <c r="BK50" s="1313">
        <f>'баланс тритий'!B9/'баланс тритий'!B245</f>
        <v>3.1439357817541347E-4</v>
      </c>
      <c r="BL50" s="1313">
        <f>'баланс тритий'!B9/'баланс тритий'!B246</f>
        <v>8.1249885650696348E-4</v>
      </c>
      <c r="BM50" s="1313">
        <f>'баланс тритий'!B9/'баланс тритий'!B247</f>
        <v>8.1249885650696348E-4</v>
      </c>
      <c r="BN50" s="548"/>
      <c r="CE50" s="25" t="s">
        <v>536</v>
      </c>
      <c r="CJ50" s="430"/>
    </row>
    <row r="51" spans="1:88" x14ac:dyDescent="0.35">
      <c r="A51" s="1241"/>
      <c r="B51" s="1241"/>
      <c r="J51" s="1241"/>
      <c r="K51" s="1241"/>
      <c r="L51" s="19"/>
      <c r="Y51" s="104"/>
      <c r="Z51" s="104"/>
      <c r="AA51" s="426"/>
      <c r="AC51" s="362">
        <f>AC49-AC41</f>
        <v>0</v>
      </c>
      <c r="AD51" s="526">
        <f>'баланс дейтерий'!B59</f>
        <v>1.4222222222222225E+20</v>
      </c>
      <c r="AE51" s="13" t="s">
        <v>635</v>
      </c>
      <c r="AH51" s="26"/>
      <c r="AO51" s="26"/>
      <c r="AP51" s="26"/>
      <c r="BI51" s="1169" t="s">
        <v>66</v>
      </c>
      <c r="BK51" s="1313">
        <f>'баланс тритий'!B9/('баланс тритий'!B245-'баланс тритий'!B288)</f>
        <v>8.2054459163318763E-4</v>
      </c>
      <c r="BL51" s="1313" t="s">
        <v>11</v>
      </c>
      <c r="BM51" s="1313" t="s">
        <v>11</v>
      </c>
      <c r="BP51" s="549" t="s">
        <v>353</v>
      </c>
      <c r="BZ51" s="25"/>
      <c r="CA51" s="25"/>
      <c r="CB51" s="25"/>
      <c r="CC51" s="25"/>
    </row>
    <row r="52" spans="1:88" x14ac:dyDescent="0.35">
      <c r="A52" s="1241"/>
      <c r="B52" s="1241"/>
      <c r="J52" s="1241"/>
      <c r="K52" s="1241"/>
      <c r="L52" s="495"/>
      <c r="M52" s="443"/>
      <c r="N52" s="550"/>
      <c r="O52" s="19"/>
      <c r="AC52" s="14"/>
      <c r="AL52" s="94" t="s">
        <v>649</v>
      </c>
      <c r="AM52" s="1093">
        <f>'[1]параметры для расчета'!$K$37</f>
        <v>0</v>
      </c>
      <c r="AN52" s="427">
        <f>AM52*(1/2*1.38E-23*300)</f>
        <v>0</v>
      </c>
      <c r="AO52" s="427">
        <f>AM52*(3+2)/2/(6.02*10^23)</f>
        <v>0</v>
      </c>
      <c r="AP52" s="85" t="s">
        <v>7</v>
      </c>
      <c r="BF52" s="79"/>
      <c r="BI52" s="19"/>
      <c r="BK52" s="1"/>
      <c r="BL52" s="1"/>
      <c r="BM52" s="1"/>
    </row>
    <row r="53" spans="1:88" x14ac:dyDescent="0.35">
      <c r="A53" s="1241"/>
      <c r="B53" s="1241"/>
      <c r="J53" s="1241"/>
      <c r="K53" s="1241"/>
      <c r="L53" s="1072"/>
      <c r="M53" s="1072"/>
      <c r="AB53" s="9" t="s">
        <v>951</v>
      </c>
      <c r="AC53" s="1049">
        <f>'баланс тритий'!B117+'баланс дейтерий'!B117</f>
        <v>1.3103605682363351E+22</v>
      </c>
      <c r="AD53" s="1050">
        <f>'баланс тритий'!B118+'баланс дейтерий'!B118</f>
        <v>1.3103605682363351E+22</v>
      </c>
      <c r="AE53" s="1051">
        <f>'баланс тритий'!B119+'баланс дейтерий'!B119</f>
        <v>1.3103605682363353E+22</v>
      </c>
      <c r="AF53" s="53" t="s">
        <v>14</v>
      </c>
      <c r="AG53" s="1410">
        <f>AE53/10^19</f>
        <v>1310.3605682363354</v>
      </c>
      <c r="AH53" s="1411">
        <f>AH14+AH15</f>
        <v>1310.705291147036</v>
      </c>
      <c r="AI53" s="13" t="s">
        <v>954</v>
      </c>
      <c r="AL53" s="12" t="s">
        <v>388</v>
      </c>
      <c r="AM53" s="311">
        <f>AM52*'параметры для расчета'!C21%</f>
        <v>0</v>
      </c>
      <c r="AN53" s="491">
        <f>AM53*(1/2*1.38E-23*300)</f>
        <v>0</v>
      </c>
      <c r="AO53" s="491">
        <f>AM53*3/(6.02*10^23)</f>
        <v>0</v>
      </c>
      <c r="BF53" s="26"/>
      <c r="BG53" s="521"/>
      <c r="BH53" s="1016"/>
      <c r="BI53" s="76" t="s">
        <v>77</v>
      </c>
      <c r="BK53" s="1313">
        <f>AC8/(AC10+AC12+AC18)</f>
        <v>8.1249885650696359E-4</v>
      </c>
      <c r="BL53" s="1313">
        <f>AE8/(AE10+AE12+AE18)</f>
        <v>8.1249885650696359E-4</v>
      </c>
      <c r="BM53" s="1313">
        <f>AG8/(AG10+AG12+AG18)</f>
        <v>8.1249885650696359E-4</v>
      </c>
      <c r="BO53" s="52"/>
      <c r="BP53" s="25" t="s">
        <v>150</v>
      </c>
      <c r="BY53" s="25"/>
      <c r="BZ53" s="25"/>
      <c r="CA53" s="25"/>
      <c r="CB53" s="25"/>
      <c r="CC53" s="25"/>
    </row>
    <row r="54" spans="1:88" x14ac:dyDescent="0.35">
      <c r="A54" s="1241"/>
      <c r="B54" s="1241"/>
      <c r="J54" s="1241"/>
      <c r="K54" s="410"/>
      <c r="L54" s="376"/>
      <c r="M54" s="1241"/>
      <c r="AB54" s="53"/>
      <c r="AC54" s="114">
        <f>AC53*(1/2*1.38E-23*300)</f>
        <v>27.124463762492137</v>
      </c>
      <c r="AD54" s="580">
        <f>AD53*(1/2*1.38E-23*300)</f>
        <v>27.124463762492137</v>
      </c>
      <c r="AE54" s="431">
        <f>AE53*(1/2*1.38E-23*300)</f>
        <v>27.124463762492141</v>
      </c>
      <c r="AF54" s="1" t="s">
        <v>9</v>
      </c>
      <c r="AG54" s="1408" t="s">
        <v>953</v>
      </c>
      <c r="AH54" s="1408" t="s">
        <v>952</v>
      </c>
      <c r="AL54" s="94" t="s">
        <v>22</v>
      </c>
      <c r="AM54" s="311">
        <f>AM52*(1-'параметры для расчета'!C21%)</f>
        <v>0</v>
      </c>
      <c r="AN54" s="491">
        <f>AM54*(1/2*1.38E-23*300)</f>
        <v>0</v>
      </c>
      <c r="AO54" s="491">
        <f>AM54*2/(6.02*10^23)</f>
        <v>0</v>
      </c>
      <c r="BG54" s="25"/>
      <c r="BQ54" s="26"/>
      <c r="BR54" s="95"/>
      <c r="BS54" s="1016"/>
      <c r="BW54" s="161"/>
      <c r="BX54" s="26"/>
      <c r="CA54" s="26"/>
      <c r="CB54" s="342"/>
      <c r="CC54" s="342"/>
    </row>
    <row r="55" spans="1:88" x14ac:dyDescent="0.35">
      <c r="AW55" s="843"/>
      <c r="AX55" s="248"/>
      <c r="BK55" s="303">
        <f>BK39+BK42</f>
        <v>984.79900985858546</v>
      </c>
      <c r="BL55" s="303">
        <f>BL39+BL42</f>
        <v>971.58902971997759</v>
      </c>
      <c r="BM55" s="303">
        <f>BM39+BM42</f>
        <v>881.73023246913976</v>
      </c>
      <c r="BX55" s="26"/>
      <c r="BY55" s="26"/>
      <c r="BZ55" s="26"/>
      <c r="CA55" s="26"/>
      <c r="CB55" s="26"/>
    </row>
    <row r="56" spans="1:88" x14ac:dyDescent="0.35">
      <c r="BK56" s="1241"/>
      <c r="BL56" s="1241"/>
      <c r="BM56" s="1241"/>
    </row>
    <row r="57" spans="1:88" x14ac:dyDescent="0.35">
      <c r="BF57" s="732"/>
    </row>
    <row r="58" spans="1:88" x14ac:dyDescent="0.35">
      <c r="AF58" s="761"/>
      <c r="AH58" s="31"/>
      <c r="AI58" s="31"/>
    </row>
    <row r="60" spans="1:88" ht="17.5" x14ac:dyDescent="0.45">
      <c r="AP60" s="761"/>
      <c r="AT60" s="2"/>
      <c r="AU60" s="2"/>
      <c r="AV60" s="2"/>
      <c r="AW60" s="2"/>
      <c r="AX60" s="275" t="s">
        <v>416</v>
      </c>
      <c r="AY60" s="440">
        <v>0.01</v>
      </c>
      <c r="AZ60" s="26" t="s">
        <v>9</v>
      </c>
      <c r="BA60" s="229" t="s">
        <v>417</v>
      </c>
      <c r="BB60" s="2"/>
    </row>
    <row r="61" spans="1:88" x14ac:dyDescent="0.35">
      <c r="C61" s="732"/>
      <c r="D61" s="732"/>
      <c r="P61" s="1422" t="s">
        <v>727</v>
      </c>
      <c r="Q61" s="1422"/>
      <c r="AM61" s="31"/>
      <c r="AN61" s="775" t="s">
        <v>625</v>
      </c>
      <c r="AO61" s="761"/>
      <c r="AT61" s="2"/>
      <c r="AU61" s="2"/>
      <c r="AV61" s="2"/>
      <c r="AW61" s="2"/>
      <c r="AX61" s="275" t="s">
        <v>419</v>
      </c>
      <c r="AY61" s="440">
        <v>2.6</v>
      </c>
      <c r="AZ61" s="26" t="s">
        <v>9</v>
      </c>
      <c r="BA61" s="229" t="s">
        <v>418</v>
      </c>
      <c r="BB61" s="2"/>
      <c r="BD61" s="2"/>
      <c r="BE61" s="2"/>
      <c r="BF61" s="2"/>
      <c r="BG61" s="2"/>
      <c r="BH61" s="2"/>
      <c r="BI61" s="2"/>
      <c r="BJ61" s="2"/>
      <c r="BK61" s="2"/>
      <c r="BL61" s="2"/>
      <c r="BM61" s="2"/>
    </row>
    <row r="62" spans="1:88" x14ac:dyDescent="0.35">
      <c r="C62" s="732"/>
      <c r="D62" s="732"/>
      <c r="P62" s="1003" t="s">
        <v>582</v>
      </c>
      <c r="Q62" s="32" t="s">
        <v>583</v>
      </c>
      <c r="R62" s="13" t="s">
        <v>13</v>
      </c>
      <c r="AA62" s="14"/>
      <c r="AL62" s="967" t="s">
        <v>537</v>
      </c>
      <c r="AM62" s="61">
        <f>'[2]динамика изотопов в ТЦ'!Q6</f>
        <v>3.9163048082686361E+21</v>
      </c>
      <c r="AN62" s="759">
        <f>'[2]динамика изотопов в ТЦ'!R6</f>
        <v>3.9163048082686361E+21</v>
      </c>
      <c r="AO62" s="760">
        <f>'[2]динамика изотопов в ТЦ'!S6</f>
        <v>3.9163048082686361E+21</v>
      </c>
      <c r="AT62" s="2"/>
      <c r="AU62" s="2"/>
      <c r="AV62" s="2"/>
      <c r="AW62" s="2"/>
      <c r="AX62" s="2"/>
      <c r="AY62" s="2"/>
      <c r="AZ62" s="2"/>
      <c r="BA62" s="2"/>
      <c r="BB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88" x14ac:dyDescent="0.35">
      <c r="D63" s="379"/>
      <c r="P63" s="1001">
        <f>'баланс дейтерий'!E235</f>
        <v>48</v>
      </c>
      <c r="Q63" s="534">
        <f>'баланс тритий'!E235</f>
        <v>48</v>
      </c>
      <c r="S63" s="850"/>
      <c r="T63" s="849"/>
      <c r="U63" s="248"/>
      <c r="AH63" s="761"/>
      <c r="AI63" s="761"/>
      <c r="AJ63" s="31"/>
      <c r="AK63" s="31"/>
      <c r="AL63" s="967" t="s">
        <v>538</v>
      </c>
      <c r="AM63" s="762">
        <f>'[2]динамика изотопов в ТЦ'!Q35</f>
        <v>3.3350697310021857E+21</v>
      </c>
      <c r="AN63" s="763">
        <f>'[2]динамика изотопов в ТЦ'!R35</f>
        <v>3.3350697310021857E+21</v>
      </c>
      <c r="AO63" s="763">
        <f>'[2]динамика изотопов в ТЦ'!S35</f>
        <v>3.3219028748620907E+21</v>
      </c>
      <c r="AQ63" s="31"/>
      <c r="AT63" s="2"/>
      <c r="AU63" s="2"/>
      <c r="AV63" s="2"/>
      <c r="AW63" s="796" t="s">
        <v>606</v>
      </c>
      <c r="AX63" s="2"/>
      <c r="AY63" s="2"/>
      <c r="AZ63" s="2"/>
      <c r="BA63" s="2"/>
      <c r="BB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88" x14ac:dyDescent="0.35">
      <c r="D64" s="379"/>
      <c r="O64" s="279"/>
      <c r="P64" s="972">
        <f>'баланс дейтерий'!E236</f>
        <v>0.13684999999999997</v>
      </c>
      <c r="Q64" s="549">
        <f>'баланс тритий'!E236</f>
        <v>0.43125000000000002</v>
      </c>
      <c r="R64" s="843"/>
      <c r="S64" s="848"/>
      <c r="T64" s="843"/>
      <c r="U64" s="248"/>
      <c r="AH64" s="761"/>
      <c r="AI64" s="761"/>
      <c r="AJ64" s="31"/>
      <c r="AK64" s="31"/>
      <c r="AQ64" s="31"/>
      <c r="AT64" s="2"/>
      <c r="AU64" s="440" t="s">
        <v>415</v>
      </c>
      <c r="AV64" s="2"/>
      <c r="AW64" s="934" t="s">
        <v>487</v>
      </c>
      <c r="AX64" s="80"/>
      <c r="AY64" s="2"/>
      <c r="AZ64" s="2"/>
      <c r="BA64" s="2"/>
      <c r="BB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4:66" x14ac:dyDescent="0.35">
      <c r="P65" s="1000">
        <f>'баланс дейтерий'!E237</f>
        <v>0.56810000000000005</v>
      </c>
      <c r="Q65" s="786">
        <f>'баланс тритий'!E237</f>
        <v>0</v>
      </c>
      <c r="AH65" s="761"/>
      <c r="AI65" s="31"/>
      <c r="AJ65" s="31"/>
      <c r="AK65" s="31"/>
      <c r="AT65" s="321">
        <v>40</v>
      </c>
      <c r="AU65" s="65" t="s">
        <v>55</v>
      </c>
      <c r="AV65" s="852">
        <f>AT65*10^6/(((17.589)*10^6)*1.6*10^(-19))</f>
        <v>1.421342884757519E+19</v>
      </c>
      <c r="AW65" s="440" t="s">
        <v>298</v>
      </c>
      <c r="AX65" s="664">
        <f>AV65*(1.38E-23*273)</f>
        <v>5.354767184035477E-2</v>
      </c>
      <c r="AY65" s="899" t="s">
        <v>9</v>
      </c>
      <c r="AZ65" s="107">
        <f>AV65*4/(6.02*10^23)</f>
        <v>9.4441387691529514E-5</v>
      </c>
      <c r="BA65" s="687" t="s">
        <v>59</v>
      </c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4:66" x14ac:dyDescent="0.35">
      <c r="AH66" s="761"/>
      <c r="AI66" s="31"/>
      <c r="AJ66" s="31"/>
      <c r="AK66" s="31"/>
      <c r="AT66" s="440">
        <v>2037</v>
      </c>
      <c r="AU66" s="65" t="s">
        <v>55</v>
      </c>
      <c r="AV66" s="852">
        <f>AT66*10^6/(((17.589)*10^6)*1.6*10^(-19))</f>
        <v>7.2381886406276651E+20</v>
      </c>
      <c r="AW66" s="440" t="s">
        <v>298</v>
      </c>
      <c r="AX66" s="339">
        <f>AV66*(1.38E-23*273)</f>
        <v>2.7269151884700666</v>
      </c>
      <c r="AY66" s="1016" t="s">
        <v>9</v>
      </c>
      <c r="AZ66" s="107">
        <f>AV66*4/(6.02*10^23)</f>
        <v>4.8094276681911402E-3</v>
      </c>
      <c r="BA66" s="687" t="s">
        <v>59</v>
      </c>
      <c r="BD66" s="2"/>
      <c r="BE66" s="2"/>
      <c r="BF66" s="409"/>
      <c r="BG66" s="2"/>
      <c r="BH66" s="2"/>
      <c r="BI66" s="2"/>
      <c r="BJ66" s="2"/>
      <c r="BK66" s="2"/>
      <c r="BL66" s="2"/>
      <c r="BM66" s="2"/>
      <c r="BN66" s="2"/>
    </row>
    <row r="67" spans="4:66" x14ac:dyDescent="0.35">
      <c r="I67" s="436" t="s">
        <v>653</v>
      </c>
      <c r="AH67" s="761"/>
      <c r="AI67" s="31"/>
      <c r="AJ67" s="31"/>
      <c r="AK67" s="31"/>
      <c r="AL67" s="775" t="str">
        <f>'[2]динамика изотопов в ТЦ'!$DV$4</f>
        <v xml:space="preserve">тритий </v>
      </c>
      <c r="AM67" s="954">
        <f>'[2]динамика изотопов в ТЦ'!$HH$6</f>
        <v>0.51305531221796552</v>
      </c>
      <c r="AN67" s="944">
        <f>'[2]динамика изотопов в ТЦ'!$HI$6</f>
        <v>0.50549204950835669</v>
      </c>
      <c r="AO67" s="944">
        <f>'[2]динамика изотопов в ТЦ'!$HJ$6</f>
        <v>0</v>
      </c>
      <c r="AP67" s="967" t="s">
        <v>537</v>
      </c>
      <c r="AT67" s="2"/>
      <c r="AU67" s="2"/>
      <c r="AV67" s="902" t="s">
        <v>488</v>
      </c>
      <c r="AW67" s="2"/>
      <c r="AX67" s="2"/>
      <c r="AY67" s="176" t="s">
        <v>632</v>
      </c>
      <c r="AZ67" s="2"/>
      <c r="BA67" s="176" t="s">
        <v>633</v>
      </c>
      <c r="BD67" s="2"/>
      <c r="BE67" s="388"/>
      <c r="BF67" s="2"/>
      <c r="BG67" s="2"/>
      <c r="BH67" s="2"/>
      <c r="BI67" s="2"/>
      <c r="BJ67" s="2"/>
      <c r="BK67" s="2"/>
      <c r="BL67" s="2"/>
      <c r="BM67" s="2"/>
      <c r="BN67" s="2"/>
    </row>
    <row r="68" spans="4:66" x14ac:dyDescent="0.35">
      <c r="AH68" s="761"/>
      <c r="AI68" s="31"/>
      <c r="AJ68" s="31"/>
      <c r="AK68" s="31"/>
      <c r="AM68" s="989">
        <f>'[2]динамика изотопов в ТЦ'!HH35</f>
        <v>0.51305193895817758</v>
      </c>
      <c r="AN68" s="990">
        <f>'[2]динамика изотопов в ТЦ'!HI35</f>
        <v>0.50550120509508389</v>
      </c>
      <c r="AO68" s="990">
        <f>'[2]динамика изотопов в ТЦ'!HJ35</f>
        <v>0</v>
      </c>
      <c r="AP68" s="967" t="s">
        <v>538</v>
      </c>
      <c r="AT68" s="2"/>
      <c r="AU68" s="2"/>
      <c r="AV68" s="2"/>
      <c r="AW68" s="4"/>
      <c r="AX68" s="2"/>
      <c r="AY68" s="2"/>
      <c r="AZ68" s="2"/>
      <c r="BA68" s="2"/>
      <c r="BB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4:66" x14ac:dyDescent="0.35">
      <c r="N69" s="545">
        <f>'баланс тритий'!E235+'баланс дейтерий'!E235</f>
        <v>96</v>
      </c>
      <c r="O69" s="102" t="s">
        <v>9</v>
      </c>
      <c r="AH69" s="761"/>
      <c r="AI69" s="31"/>
      <c r="AJ69" s="31"/>
      <c r="AK69" s="31"/>
      <c r="AL69" s="948" t="str">
        <f>'[2]динамика изотопов в ТЦ'!$DS$1</f>
        <v>NBIs</v>
      </c>
      <c r="AM69" s="952">
        <f>'[2]динамика изотопов в ТЦ'!$DS$6</f>
        <v>1.661007386240667E-2</v>
      </c>
      <c r="AN69" s="1394">
        <f>'[2]динамика изотопов в ТЦ'!$DT$6</f>
        <v>1.661007386240667E-2</v>
      </c>
      <c r="AO69" s="1394">
        <f>'[2]динамика изотопов в ТЦ'!$DU$6</f>
        <v>0</v>
      </c>
      <c r="AT69" s="2"/>
      <c r="AU69" s="2"/>
      <c r="AV69" s="2"/>
      <c r="AW69" s="2"/>
      <c r="AX69" s="2"/>
      <c r="AY69" s="2"/>
      <c r="AZ69" s="2"/>
      <c r="BA69" s="2"/>
      <c r="BB69" s="2"/>
      <c r="BD69" s="2"/>
      <c r="BE69" s="491"/>
      <c r="BF69" s="2"/>
      <c r="BG69" s="2"/>
      <c r="BH69" s="2"/>
      <c r="BI69" s="2"/>
      <c r="BJ69" s="2"/>
      <c r="BK69" s="2"/>
      <c r="BL69" s="2"/>
      <c r="BM69" s="2"/>
      <c r="BN69" s="2"/>
    </row>
    <row r="70" spans="4:66" x14ac:dyDescent="0.35">
      <c r="N70" s="294">
        <f>'баланс тритий'!E236+'баланс дейтерий'!E236</f>
        <v>0.56810000000000005</v>
      </c>
      <c r="AH70" s="761"/>
      <c r="AI70" s="31"/>
      <c r="AJ70" s="31"/>
      <c r="AK70" s="31"/>
      <c r="AL70" s="31"/>
      <c r="AM70" s="764">
        <f>'[2]динамика изотопов в ТЦ'!DS35</f>
        <v>1.837937899578285E-2</v>
      </c>
      <c r="AN70" s="1395">
        <f>'[2]динамика изотопов в ТЦ'!DT35</f>
        <v>1.8379378995782847E-2</v>
      </c>
      <c r="AO70" s="1395">
        <f>'[2]динамика изотопов в ТЦ'!DU35</f>
        <v>0</v>
      </c>
      <c r="AP70" s="967" t="s">
        <v>538</v>
      </c>
      <c r="AQ70" s="31"/>
      <c r="BD70" s="790" t="s">
        <v>390</v>
      </c>
      <c r="BE70" s="795">
        <v>0.01</v>
      </c>
      <c r="BG70" s="815">
        <f>BE70*результаты!$I$94</f>
        <v>2.1222673957212433E-3</v>
      </c>
      <c r="BI70" s="814">
        <f>результаты!$I$98*BE70</f>
        <v>0</v>
      </c>
      <c r="BJ70" s="19"/>
      <c r="BK70" s="817">
        <f>BI70</f>
        <v>0</v>
      </c>
      <c r="BL70" s="339"/>
      <c r="BM70" s="820">
        <v>5.0000000000000001E-3</v>
      </c>
      <c r="BN70" s="2"/>
    </row>
    <row r="71" spans="4:66" x14ac:dyDescent="0.35">
      <c r="N71" s="785">
        <f>'баланс тритий'!E237+'баланс дейтерий'!E237</f>
        <v>0.56810000000000005</v>
      </c>
      <c r="S71" s="1171">
        <v>0</v>
      </c>
      <c r="AH71" s="761"/>
      <c r="AI71" s="31"/>
      <c r="AJ71" s="31"/>
      <c r="AK71" s="31"/>
      <c r="AL71" s="948" t="str">
        <f>'[2]динамика изотопов в ТЦ'!$DV$1</f>
        <v>PIS</v>
      </c>
      <c r="AM71" s="952">
        <f>'[2]динамика изотопов в ТЦ'!$DV$6</f>
        <v>0.61744845782477642</v>
      </c>
      <c r="AN71" s="1396">
        <f>'[2]динамика изотопов в ТЦ'!$DV$6</f>
        <v>0.61744845782477642</v>
      </c>
      <c r="AO71" s="1396">
        <f>'[2]динамика изотопов в ТЦ'!$DX$6</f>
        <v>0.64727382236714692</v>
      </c>
      <c r="AP71" s="31"/>
      <c r="AQ71" s="31"/>
      <c r="BD71" s="790" t="s">
        <v>60</v>
      </c>
      <c r="BE71" s="795">
        <v>0.24</v>
      </c>
      <c r="BG71" s="531">
        <f>BE71*результаты!$I$94</f>
        <v>5.0934417497309835E-2</v>
      </c>
      <c r="BI71" s="814">
        <f>результаты!$I$98*BE71</f>
        <v>0</v>
      </c>
      <c r="BJ71" s="19"/>
      <c r="BK71" s="816">
        <f>BI71+BG71</f>
        <v>5.0934417497309835E-2</v>
      </c>
      <c r="BL71" s="818">
        <f>1-BK76</f>
        <v>0.79201779521931814</v>
      </c>
      <c r="BM71" s="821">
        <v>0.245</v>
      </c>
      <c r="BN71" s="2"/>
    </row>
    <row r="72" spans="4:66" x14ac:dyDescent="0.35">
      <c r="S72" s="1172">
        <v>0</v>
      </c>
      <c r="AH72" s="81"/>
      <c r="AI72" s="993"/>
      <c r="AJ72" s="993"/>
      <c r="AK72" s="993"/>
      <c r="AL72" s="31"/>
      <c r="AM72" s="764">
        <f>'[2]динамика изотопов в ТЦ'!DV35</f>
        <v>0.68321906998906778</v>
      </c>
      <c r="AN72" s="1397">
        <f>'[2]динамика изотопов в ТЦ'!DV35</f>
        <v>0.68321906998906778</v>
      </c>
      <c r="AO72" s="1397">
        <f>'[2]динамика изотопов в ТЦ'!DX35</f>
        <v>0.69431689591078927</v>
      </c>
      <c r="AP72" s="967" t="s">
        <v>538</v>
      </c>
      <c r="AQ72" s="31"/>
      <c r="AT72" s="199" t="s">
        <v>629</v>
      </c>
      <c r="BD72" s="790" t="s">
        <v>61</v>
      </c>
      <c r="BE72" s="795">
        <v>0.24</v>
      </c>
      <c r="BG72" s="531">
        <f>BE72*результаты!$I$94</f>
        <v>5.0934417497309835E-2</v>
      </c>
      <c r="BI72" s="814">
        <f>результаты!$I$98*BE72</f>
        <v>0</v>
      </c>
      <c r="BJ72" s="19"/>
      <c r="BK72" s="816">
        <f>BI72+BG72</f>
        <v>5.0934417497309835E-2</v>
      </c>
      <c r="BL72" s="393"/>
      <c r="BM72" s="821">
        <v>0.245</v>
      </c>
      <c r="BN72" s="2"/>
    </row>
    <row r="73" spans="4:66" x14ac:dyDescent="0.35">
      <c r="S73" s="1173">
        <f>-'[3]динамика трития в инжекторах'!F12</f>
        <v>1.4222222222222225E+20</v>
      </c>
      <c r="AH73" s="761"/>
      <c r="AI73" s="31"/>
      <c r="AJ73" s="31"/>
      <c r="AK73" s="31"/>
      <c r="AL73" s="948"/>
      <c r="AM73" s="774">
        <f>'[2]динамика изотопов в ТЦ'!$DZ$6</f>
        <v>0.63405853168718307</v>
      </c>
      <c r="AN73" s="1398">
        <f>'[2]динамика изотопов в ТЦ'!$EA$6</f>
        <v>0.63405853168718307</v>
      </c>
      <c r="AO73" s="1399">
        <f>'[2]динамика изотопов в ТЦ'!$EB$6</f>
        <v>0.64727382236714692</v>
      </c>
      <c r="AQ73" s="31"/>
      <c r="AT73" s="1096">
        <v>1.99E+26</v>
      </c>
      <c r="AU73" s="1" t="s">
        <v>14</v>
      </c>
      <c r="AV73" s="1096">
        <f>AT73*(1/2*1.38E-23*273)</f>
        <v>374856.3</v>
      </c>
      <c r="AW73" s="124" t="s">
        <v>9</v>
      </c>
      <c r="AX73" s="470">
        <f>AT73*(3+2)/2/(6.02*10^23)</f>
        <v>826.4119601328905</v>
      </c>
      <c r="AY73" s="36" t="s">
        <v>7</v>
      </c>
      <c r="AZ73" s="470">
        <f>AV73/101325/0.0224</f>
        <v>165.15821613619539</v>
      </c>
      <c r="BA73" s="36" t="s">
        <v>618</v>
      </c>
      <c r="BD73" s="790" t="s">
        <v>401</v>
      </c>
      <c r="BE73" s="795">
        <v>0.01</v>
      </c>
      <c r="BG73" s="531">
        <f>BE73*результаты!$I$94</f>
        <v>2.1222673957212433E-3</v>
      </c>
      <c r="BH73" s="898" t="s">
        <v>62</v>
      </c>
      <c r="BI73" s="814">
        <f>результаты!$I$98*BE73</f>
        <v>0</v>
      </c>
      <c r="BJ73" s="406" t="s">
        <v>76</v>
      </c>
      <c r="BK73" s="816">
        <f>BI73+BG73</f>
        <v>2.1222673957212433E-3</v>
      </c>
      <c r="BL73" s="393"/>
      <c r="BM73" s="820">
        <v>1.4999999999999999E-2</v>
      </c>
      <c r="BN73" s="2"/>
    </row>
    <row r="74" spans="4:66" x14ac:dyDescent="0.35">
      <c r="V74" s="104"/>
      <c r="AH74" s="761"/>
      <c r="AI74" s="31"/>
      <c r="AJ74" s="31"/>
      <c r="AK74" s="31"/>
      <c r="AL74" s="1016"/>
      <c r="AM74" s="494">
        <f>'[2]динамика изотопов в ТЦ'!DZ35</f>
        <v>0.70159844898485069</v>
      </c>
      <c r="AN74" s="1397">
        <f>'[2]динамика изотопов в ТЦ'!EA35</f>
        <v>0.70159844898485058</v>
      </c>
      <c r="AO74" s="1397">
        <f>'[2]динамика изотопов в ТЦ'!EB35</f>
        <v>0.69431689591078927</v>
      </c>
      <c r="AP74" s="967" t="s">
        <v>538</v>
      </c>
      <c r="AQ74" s="1016"/>
      <c r="BD74" s="790" t="s">
        <v>402</v>
      </c>
      <c r="BE74" s="795">
        <v>0.01</v>
      </c>
      <c r="BG74" s="815">
        <f>BE74*результаты!$I$94</f>
        <v>2.1222673957212433E-3</v>
      </c>
      <c r="BI74" s="814">
        <f>результаты!$I$98*BE74</f>
        <v>0</v>
      </c>
      <c r="BJ74" s="19"/>
      <c r="BK74" s="817">
        <f>BI74</f>
        <v>0</v>
      </c>
      <c r="BL74" s="393"/>
      <c r="BM74" s="820">
        <v>1.4999999999999999E-2</v>
      </c>
      <c r="BN74" s="2"/>
    </row>
    <row r="75" spans="4:66" ht="17.149999999999999" customHeight="1" x14ac:dyDescent="0.35">
      <c r="D75" s="19"/>
      <c r="R75" s="545">
        <f>'баланс тритий'!E202+'баланс дейтерий'!E202</f>
        <v>32.061825810370443</v>
      </c>
      <c r="AH75" s="761"/>
      <c r="AI75" s="137"/>
      <c r="AJ75" s="31"/>
      <c r="AK75" s="31"/>
      <c r="AN75" s="1"/>
      <c r="AO75" s="1"/>
      <c r="AU75" s="11" t="s">
        <v>630</v>
      </c>
      <c r="AV75" s="1096">
        <f>AV73/'параметры для расчета'!C9</f>
        <v>187428.15</v>
      </c>
      <c r="AW75" s="124" t="s">
        <v>253</v>
      </c>
      <c r="AZ75" s="25">
        <f>2*6.022*10^26/(101325*22.4)</f>
        <v>5.3064749215748483E+20</v>
      </c>
      <c r="BD75" s="790" t="s">
        <v>391</v>
      </c>
      <c r="BE75" s="795">
        <v>0.49</v>
      </c>
      <c r="BG75" s="531">
        <f>BE75*результаты!$I$94</f>
        <v>0.10399110239034091</v>
      </c>
      <c r="BI75" s="814">
        <f>результаты!$I$98*BE75</f>
        <v>0</v>
      </c>
      <c r="BJ75" s="19"/>
      <c r="BK75" s="816">
        <f>BI75+BG75</f>
        <v>0.10399110239034091</v>
      </c>
      <c r="BL75" s="900"/>
      <c r="BM75" s="821">
        <v>0.47499999999999998</v>
      </c>
      <c r="BN75" s="2"/>
    </row>
    <row r="76" spans="4:66" x14ac:dyDescent="0.35">
      <c r="D76" s="19"/>
      <c r="N76" s="545">
        <f>'баланс дейтерий'!E98/1000*300</f>
        <v>16.030912905185222</v>
      </c>
      <c r="O76" s="102" t="s">
        <v>9</v>
      </c>
      <c r="R76" s="294">
        <f>'баланс тритий'!E203+'баланс дейтерий'!E203</f>
        <v>32.924325810370441</v>
      </c>
      <c r="S76" s="102" t="s">
        <v>9</v>
      </c>
      <c r="AH76" s="761"/>
      <c r="AI76" s="31"/>
      <c r="AJ76" s="914"/>
      <c r="AK76" s="137"/>
      <c r="AL76" s="1309" t="str">
        <f>'[2]динамика изотопов в ТЦ'!$EF$4</f>
        <v>дейтерий</v>
      </c>
      <c r="AM76" s="954">
        <f>'[2]динамика изотопов в ТЦ'!$HK$6</f>
        <v>0</v>
      </c>
      <c r="AN76" s="1400">
        <f>'[2]динамика изотопов в ТЦ'!$HL$6</f>
        <v>0</v>
      </c>
      <c r="AO76" s="1400">
        <f>'[2]динамика изотопов в ТЦ'!$HM$6</f>
        <v>-3.2751167131461701E+20</v>
      </c>
      <c r="AZ76" s="25">
        <f>1/(1/2*1.38E-23*273)</f>
        <v>5.3087009608748741E+20</v>
      </c>
      <c r="BE76" s="822">
        <f>SUM(BE70:BE75)</f>
        <v>1</v>
      </c>
      <c r="BI76" s="19"/>
      <c r="BJ76" s="19"/>
      <c r="BK76" s="819">
        <f>SUM(BK70:BK75)</f>
        <v>0.20798220478068183</v>
      </c>
      <c r="BM76" s="822">
        <f>SUM(BM70:BM75)</f>
        <v>1</v>
      </c>
      <c r="BN76" s="2"/>
    </row>
    <row r="77" spans="4:66" x14ac:dyDescent="0.35">
      <c r="D77" s="19"/>
      <c r="R77" s="785">
        <f>'баланс тритий'!E204+'баланс дейтерий'!E204</f>
        <v>33.573404259662901</v>
      </c>
      <c r="AH77" s="761"/>
      <c r="AI77" s="761"/>
      <c r="AJ77" s="31"/>
      <c r="AK77" s="31"/>
      <c r="AM77" s="989">
        <f>'[2]динамика изотопов в ТЦ'!HK35</f>
        <v>0</v>
      </c>
      <c r="AN77" s="1401">
        <f>'[2]динамика изотопов в ТЦ'!HL35</f>
        <v>0</v>
      </c>
      <c r="AO77" s="1401">
        <f>'[2]динамика изотопов в ТЦ'!HM35</f>
        <v>-3.2777182170006946E+20</v>
      </c>
      <c r="AU77" s="401"/>
      <c r="AV77" s="2"/>
      <c r="AW77" s="53"/>
      <c r="AX77" s="53"/>
      <c r="AY77" s="25"/>
      <c r="AZ77" s="25"/>
      <c r="BA77" s="1"/>
      <c r="BB77" s="1"/>
      <c r="BC77" s="1"/>
      <c r="BE77" s="823">
        <f>BE70+BE73/2+BE74/2</f>
        <v>0.02</v>
      </c>
      <c r="BM77" s="823">
        <f>BM70+BM73/2+BM74/2</f>
        <v>0.02</v>
      </c>
      <c r="BN77" s="2"/>
    </row>
    <row r="78" spans="4:66" x14ac:dyDescent="0.35">
      <c r="D78" s="19"/>
      <c r="N78" s="545">
        <f>'баланс тритий'!E98/1000*300</f>
        <v>16.030912905185222</v>
      </c>
      <c r="O78" s="102" t="s">
        <v>9</v>
      </c>
      <c r="AA78" s="71"/>
      <c r="AL78" s="948" t="str">
        <f>AL69</f>
        <v>NBIs</v>
      </c>
      <c r="AM78" s="953">
        <f>'[2]динамика изотопов в ТЦ'!$EC$6</f>
        <v>1.661007386240667E-2</v>
      </c>
      <c r="AN78" s="1402">
        <f>'[2]динамика изотопов в ТЦ'!$ED$6</f>
        <v>1.661007386240667E-2</v>
      </c>
      <c r="AO78" s="1402">
        <f>'[2]динамика изотопов в ТЦ'!$EE$6</f>
        <v>3.3183476724627993E-2</v>
      </c>
      <c r="AP78" s="967" t="s">
        <v>537</v>
      </c>
      <c r="BG78" s="815">
        <f>BE70*результаты!$I$96</f>
        <v>0</v>
      </c>
      <c r="BI78" s="814">
        <f>результаты!$I$100*BE70</f>
        <v>0</v>
      </c>
      <c r="BJ78" s="19"/>
      <c r="BK78" s="817">
        <f>BI78</f>
        <v>0</v>
      </c>
      <c r="BM78" s="820">
        <v>5.0000000000000001E-3</v>
      </c>
      <c r="BN78" s="2"/>
    </row>
    <row r="79" spans="4:66" x14ac:dyDescent="0.35">
      <c r="D79" s="19"/>
      <c r="AL79" s="31"/>
      <c r="AM79" s="764">
        <f>'[2]динамика изотопов в ТЦ'!EC35</f>
        <v>1.4442241430841017E-2</v>
      </c>
      <c r="AN79" s="1403">
        <f>'[2]динамика изотопов в ТЦ'!ED35</f>
        <v>1.4442241430841019E-2</v>
      </c>
      <c r="AO79" s="1403">
        <f>'[2]динамика изотопов в ТЦ'!EE35</f>
        <v>2.9591556499801976E-2</v>
      </c>
      <c r="AP79" s="967" t="s">
        <v>538</v>
      </c>
      <c r="AQ79" s="31"/>
      <c r="BG79" s="531">
        <f>BE71*результаты!$I$96</f>
        <v>0</v>
      </c>
      <c r="BI79" s="814">
        <f>результаты!$I$100*BE71</f>
        <v>0</v>
      </c>
      <c r="BJ79" s="19"/>
      <c r="BK79" s="816">
        <f>BI79+BG79</f>
        <v>0</v>
      </c>
      <c r="BL79" s="818">
        <f>1-BK84</f>
        <v>1</v>
      </c>
      <c r="BM79" s="821">
        <v>0.25</v>
      </c>
      <c r="BN79" s="2"/>
    </row>
    <row r="80" spans="4:66" x14ac:dyDescent="0.35">
      <c r="D80" s="19"/>
      <c r="AL80" s="948" t="str">
        <f>AL71</f>
        <v>PIS</v>
      </c>
      <c r="AM80" s="953">
        <f>'[2]динамика изотопов в ТЦ'!$EF$6</f>
        <v>0.61744845782477642</v>
      </c>
      <c r="AN80" s="1404">
        <f>'[2]динамика изотопов в ТЦ'!$EG$6</f>
        <v>0.61744845782477642</v>
      </c>
      <c r="AO80" s="1404">
        <f>'[2]динамика изотопов в ТЦ'!$EH$6</f>
        <v>0.58768894042780229</v>
      </c>
      <c r="AP80" s="31"/>
      <c r="AQ80" s="31"/>
      <c r="BG80" s="531">
        <f>BE72*результаты!$I$96</f>
        <v>0</v>
      </c>
      <c r="BI80" s="814">
        <f>результаты!$I$100*BE72</f>
        <v>0</v>
      </c>
      <c r="BJ80" s="19"/>
      <c r="BK80" s="816">
        <f>BI80+BG80</f>
        <v>0</v>
      </c>
      <c r="BM80" s="821">
        <v>0.245</v>
      </c>
      <c r="BN80" s="2"/>
    </row>
    <row r="81" spans="1:66" x14ac:dyDescent="0.35">
      <c r="D81" s="19"/>
      <c r="AH81" s="761"/>
      <c r="AI81" s="761"/>
      <c r="AJ81" s="31"/>
      <c r="AK81" s="31"/>
      <c r="AL81" s="31"/>
      <c r="AM81" s="764">
        <f>'[2]динамика изотопов в ТЦ'!EF35</f>
        <v>0.53686333804862607</v>
      </c>
      <c r="AN81" s="1397">
        <f>'[2]динамика изотопов в ТЦ'!EG35</f>
        <v>0.53686333804862607</v>
      </c>
      <c r="AO81" s="1397">
        <f>'[2]динамика изотопов в ТЦ'!EH35</f>
        <v>0.52407499760479148</v>
      </c>
      <c r="AP81" s="967" t="s">
        <v>538</v>
      </c>
      <c r="BG81" s="531">
        <f>BE73*результаты!$I$96</f>
        <v>0</v>
      </c>
      <c r="BH81" s="898" t="s">
        <v>62</v>
      </c>
      <c r="BI81" s="814">
        <f>результаты!$I$100*BE73</f>
        <v>0</v>
      </c>
      <c r="BJ81" s="406" t="s">
        <v>76</v>
      </c>
      <c r="BK81" s="816">
        <f>BI81+BG81</f>
        <v>0</v>
      </c>
      <c r="BM81" s="820">
        <v>0.01</v>
      </c>
      <c r="BN81" s="2"/>
    </row>
    <row r="82" spans="1:66" x14ac:dyDescent="0.35">
      <c r="D82" s="19"/>
      <c r="AH82" s="761"/>
      <c r="AI82" s="761"/>
      <c r="AJ82" s="31"/>
      <c r="AK82" s="31"/>
      <c r="AM82" s="774">
        <f>'[2]динамика изотопов в ТЦ'!$EJ$6</f>
        <v>0.63405853168718307</v>
      </c>
      <c r="AN82" s="1398">
        <f>'[2]динамика изотопов в ТЦ'!$EK$6</f>
        <v>0.63405853168718307</v>
      </c>
      <c r="AO82" s="1399">
        <f>'[2]динамика изотопов в ТЦ'!$EL$6</f>
        <v>0.62087241715243024</v>
      </c>
      <c r="BG82" s="815">
        <f>BE74*результаты!$I$96</f>
        <v>0</v>
      </c>
      <c r="BI82" s="814">
        <f>результаты!$I$100*BE74</f>
        <v>0</v>
      </c>
      <c r="BJ82" s="19"/>
      <c r="BK82" s="817">
        <f>BI82</f>
        <v>0</v>
      </c>
      <c r="BM82" s="820">
        <v>0.01</v>
      </c>
      <c r="BN82" s="2"/>
    </row>
    <row r="83" spans="1:66" x14ac:dyDescent="0.35">
      <c r="D83" s="19"/>
      <c r="AH83" s="761"/>
      <c r="AI83" s="761"/>
      <c r="AJ83" s="31"/>
      <c r="AK83" s="764"/>
      <c r="AM83" s="494">
        <f>'[2]динамика изотопов в ТЦ'!EJ35</f>
        <v>0.55130557947946712</v>
      </c>
      <c r="AN83" s="1397">
        <f>'[2]динамика изотопов в ТЦ'!EK35</f>
        <v>0.55130557947946712</v>
      </c>
      <c r="AO83" s="1397">
        <f>'[2]динамика изотопов в ТЦ'!EJ35</f>
        <v>0.55130557947946712</v>
      </c>
      <c r="AP83" s="967" t="s">
        <v>538</v>
      </c>
      <c r="BG83" s="531">
        <f>BE75*результаты!$I$96</f>
        <v>0</v>
      </c>
      <c r="BI83" s="814">
        <f>результаты!$I$100*BE75</f>
        <v>0</v>
      </c>
      <c r="BJ83" s="19"/>
      <c r="BK83" s="816">
        <f>BI83+BG83</f>
        <v>0</v>
      </c>
      <c r="BM83" s="821">
        <v>0.48</v>
      </c>
      <c r="BN83" s="2"/>
    </row>
    <row r="84" spans="1:66" x14ac:dyDescent="0.35">
      <c r="K84" s="545">
        <f>('баланс тритий'!B161+'баланс тритий'!B167+'баланс тритий'!B170+'баланс дейтерий'!B161+'баланс дейтерий'!B167+'баланс дейтерий'!B170)*(1/2*1.38E-23*1000)</f>
        <v>198.03733333333332</v>
      </c>
      <c r="L84" s="102" t="s">
        <v>9</v>
      </c>
      <c r="N84" s="545">
        <f>'баланс тритий'!E229+'баланс дейтерий'!E229</f>
        <v>27.124463762492137</v>
      </c>
      <c r="O84" s="102" t="s">
        <v>9</v>
      </c>
      <c r="Y84" s="1018"/>
      <c r="AF84" s="2"/>
      <c r="AH84" s="761"/>
      <c r="AI84" s="31"/>
      <c r="AJ84" s="31"/>
      <c r="AK84" s="764"/>
      <c r="AL84" s="948"/>
      <c r="AM84" s="764"/>
      <c r="AN84" s="765"/>
      <c r="AO84" s="765"/>
      <c r="AP84" s="31"/>
      <c r="AU84" s="89" t="s">
        <v>386</v>
      </c>
      <c r="BK84" s="819">
        <f>SUM(BK78:BK83)</f>
        <v>0</v>
      </c>
      <c r="BM84" s="822">
        <f>SUM(BM78:BM83)</f>
        <v>1</v>
      </c>
      <c r="BN84" s="2"/>
    </row>
    <row r="85" spans="1:66" x14ac:dyDescent="0.35">
      <c r="K85" s="294">
        <f>('баланс тритий'!B162+'баланс тритий'!B168+'баланс тритий'!B171+'баланс дейтерий'!B162+'баланс дейтерий'!B168+'баланс дейтерий'!B171)*(1/2*1.38E-23*1000)</f>
        <v>198.03733333333332</v>
      </c>
      <c r="N85" s="294">
        <f>'баланс тритий'!E230+'баланс дейтерий'!E230</f>
        <v>27.124463762492137</v>
      </c>
      <c r="AF85" s="2"/>
      <c r="AH85" s="761"/>
      <c r="AI85" s="31"/>
      <c r="AJ85" s="31"/>
      <c r="AK85" s="31"/>
      <c r="AL85" s="31"/>
      <c r="AM85" s="764"/>
      <c r="AN85" s="765"/>
      <c r="AO85" s="765"/>
      <c r="AQ85" s="31"/>
      <c r="AU85" s="13" t="s">
        <v>609</v>
      </c>
      <c r="BD85" s="2"/>
      <c r="BE85" s="17"/>
      <c r="BG85" s="2"/>
      <c r="BH85" s="2"/>
      <c r="BI85" s="410"/>
      <c r="BJ85" s="863"/>
      <c r="BM85" s="823">
        <f>BM78+BM81/2+BM82/2</f>
        <v>1.4999999999999999E-2</v>
      </c>
      <c r="BN85" s="2"/>
    </row>
    <row r="86" spans="1:66" x14ac:dyDescent="0.35">
      <c r="K86" s="785">
        <f>('баланс тритий'!B163+'баланс тритий'!B169+'баланс тритий'!B172+'баланс дейтерий'!B163+'баланс дейтерий'!B169+'баланс дейтерий'!B172)*(1/2*1.38E-23*1000)</f>
        <v>198.03733333333332</v>
      </c>
      <c r="N86" s="785">
        <f>'баланс тритий'!E231+'баланс дейтерий'!E231</f>
        <v>27.124463762492141</v>
      </c>
      <c r="O86" s="102"/>
      <c r="AQ86" s="764"/>
      <c r="AU86" s="13" t="s">
        <v>610</v>
      </c>
      <c r="BN86" s="2"/>
    </row>
    <row r="87" spans="1:66" x14ac:dyDescent="0.35">
      <c r="V87" s="545"/>
      <c r="AQ87" s="31"/>
      <c r="AU87" s="13" t="s">
        <v>563</v>
      </c>
    </row>
    <row r="88" spans="1:66" x14ac:dyDescent="0.35">
      <c r="K88" s="545">
        <f>'баланс тритий'!E174+'баланс дейтерий'!E174</f>
        <v>155.13750000000002</v>
      </c>
      <c r="L88" s="102" t="s">
        <v>9</v>
      </c>
      <c r="Q88" s="443"/>
    </row>
    <row r="89" spans="1:66" x14ac:dyDescent="0.35">
      <c r="K89" s="294">
        <f>'баланс тритий'!E175+'баланс дейтерий'!E175</f>
        <v>59.411200000000001</v>
      </c>
      <c r="O89" s="102"/>
      <c r="Q89" s="395"/>
      <c r="AL89" s="31"/>
      <c r="AP89" s="31"/>
      <c r="AV89" s="13" t="s">
        <v>387</v>
      </c>
      <c r="AW89" s="89" t="s">
        <v>404</v>
      </c>
    </row>
    <row r="90" spans="1:66" x14ac:dyDescent="0.35">
      <c r="K90" s="785">
        <f>'баланс тритий'!E176+'баланс дейтерий'!E176</f>
        <v>59.411200000000001</v>
      </c>
      <c r="N90" s="545">
        <f>'баланс тритий'!E225+'баланс дейтерий'!E225</f>
        <v>123.12446376249216</v>
      </c>
      <c r="O90" s="102" t="s">
        <v>9</v>
      </c>
      <c r="Q90" s="1002"/>
      <c r="W90" s="1001">
        <f>('[2]динамика изотопов в ТЦ'!AW6+'[2]динамика изотопов в ТЦ'!BK6+'[2]динамика изотопов в ТЦ'!BY6)*(1/2*1.38E-23*300)+('[2]динамика изотопов в ТЦ'!AZ6+'[2]динамика изотопов в ТЦ'!BN6+'[2]динамика изотопов в ТЦ'!CB6)*(1/2*1.38E-23*300)</f>
        <v>29.7181432293334</v>
      </c>
      <c r="AM90" s="969" t="s">
        <v>636</v>
      </c>
      <c r="AN90" s="31"/>
      <c r="AO90" s="761"/>
      <c r="AU90" s="545">
        <f>N69+N84+N78+N76+V87</f>
        <v>155.18628957286259</v>
      </c>
      <c r="AV90" s="102" t="s">
        <v>9</v>
      </c>
      <c r="AW90" s="520"/>
    </row>
    <row r="91" spans="1:66" x14ac:dyDescent="0.35">
      <c r="D91" s="104"/>
      <c r="N91" s="294">
        <f>'баланс тритий'!E226+'баланс дейтерий'!E226</f>
        <v>27.261313762492136</v>
      </c>
      <c r="W91" s="972">
        <f>('[2]динамика изотопов в ТЦ'!AX6+'[2]динамика изотопов в ТЦ'!BL6+'[2]динамика изотопов в ТЦ'!BZ6)*(1/2*1.38E-23*300)+('[2]динамика изотопов в ТЦ'!BA6+'[2]динамика изотопов в ТЦ'!BO6+'[2]динамика изотопов в ТЦ'!CC6)*(1/2*1.38E-23*300)</f>
        <v>29.7181432293334</v>
      </c>
      <c r="AM91" s="61">
        <f>'[2]динамика изотопов в ТЦ'!J7</f>
        <v>6.3473440049385726E+19</v>
      </c>
      <c r="AN91" s="759">
        <f>'[2]динамика изотопов в ТЦ'!K7</f>
        <v>6.3473440049385726E+19</v>
      </c>
      <c r="AO91" s="760">
        <f>'[2]динамика изотопов в ТЦ'!L7</f>
        <v>6.347344004938571E+19</v>
      </c>
      <c r="AP91" s="967" t="s">
        <v>537</v>
      </c>
      <c r="AU91" s="294">
        <f>N70+N85+N78+N76+V87</f>
        <v>59.754389572862578</v>
      </c>
      <c r="AW91" s="520"/>
    </row>
    <row r="92" spans="1:66" x14ac:dyDescent="0.35">
      <c r="D92" s="104"/>
      <c r="N92" s="785">
        <f>'баланс тритий'!E227+'баланс дейтерий'!E227</f>
        <v>26.180985313199677</v>
      </c>
      <c r="V92" s="785"/>
      <c r="W92" s="1000">
        <f>('[2]динамика изотопов в ТЦ'!AY6+'[2]динамика изотопов в ТЦ'!BM6+'[2]динамика изотопов в ТЦ'!CA6)*(1/2*1.38E-23*300)+('[2]динамика изотопов в ТЦ'!BB6+'[2]динамика изотопов в ТЦ'!BP6+'[2]динамика изотопов в ТЦ'!CD6)*(1/2*1.38E-23*300)</f>
        <v>29.7181432293334</v>
      </c>
      <c r="AM92" s="762">
        <f>'[2]динамика изотопов в ТЦ'!J35</f>
        <v>6.1976497198907154E+19</v>
      </c>
      <c r="AN92" s="763">
        <f>'[2]динамика изотопов в ТЦ'!J35</f>
        <v>6.1976497198907154E+19</v>
      </c>
      <c r="AO92" s="763">
        <f>'[2]динамика изотопов в ТЦ'!J35</f>
        <v>6.1976497198907154E+19</v>
      </c>
      <c r="AP92" s="967" t="s">
        <v>538</v>
      </c>
      <c r="AU92" s="785">
        <f>N71+N86+N78+N76+V87</f>
        <v>59.754389572862578</v>
      </c>
      <c r="AW92" s="520"/>
    </row>
    <row r="93" spans="1:66" x14ac:dyDescent="0.35">
      <c r="D93" s="104"/>
      <c r="G93" s="38" t="s">
        <v>407</v>
      </c>
      <c r="AM93" s="783"/>
      <c r="AN93" s="783"/>
      <c r="AO93" s="967"/>
      <c r="AV93" s="89" t="s">
        <v>388</v>
      </c>
      <c r="BD93" s="2"/>
      <c r="BE93" s="2"/>
      <c r="BF93" s="874"/>
      <c r="BG93" s="9" t="s">
        <v>320</v>
      </c>
      <c r="BH93" s="244">
        <f>'[6]динамика протия в ТЦ'!F19</f>
        <v>99.68915991617807</v>
      </c>
      <c r="BI93" s="634" t="s">
        <v>11</v>
      </c>
      <c r="BJ93" s="590">
        <f>'[6]динамика протия в ТЦ'!H19</f>
        <v>99.68915991617807</v>
      </c>
      <c r="BK93" s="634" t="s">
        <v>11</v>
      </c>
      <c r="BL93" s="245">
        <f>'[6]динамика протия в ТЦ'!J19</f>
        <v>98.881746610364615</v>
      </c>
      <c r="BM93" s="53" t="s">
        <v>18</v>
      </c>
    </row>
    <row r="94" spans="1:66" x14ac:dyDescent="0.35">
      <c r="I94" s="400">
        <f>R76/K88</f>
        <v>0.21222673957212432</v>
      </c>
      <c r="AM94" s="1335">
        <f>'[2]динамика изотопов в ТЦ'!J$3</f>
        <v>0</v>
      </c>
      <c r="AN94" s="1335">
        <f>'[2]динамика изотопов в ТЦ'!K$3</f>
        <v>0</v>
      </c>
      <c r="AO94" s="1335">
        <f>'[2]динамика изотопов в ТЦ'!L$3</f>
        <v>0</v>
      </c>
      <c r="AP94" s="13" t="s">
        <v>870</v>
      </c>
      <c r="AU94" s="545">
        <f>'баланс тритий'!E235+'баланс тритий'!E229+'баланс тритий'!E232</f>
        <v>77.593144786431296</v>
      </c>
      <c r="AV94" s="665">
        <f>AU94/(1/2*1.38E-23*600)*3/(6.02*10^23)</f>
        <v>9.3400193541373328E-2</v>
      </c>
      <c r="BD94" s="2"/>
      <c r="BE94" s="2"/>
      <c r="BF94" s="2"/>
      <c r="BG94" s="635" t="s">
        <v>598</v>
      </c>
      <c r="BH94" s="470">
        <f>100-BH93</f>
        <v>0.31084008382192962</v>
      </c>
      <c r="BI94" s="634" t="s">
        <v>11</v>
      </c>
      <c r="BJ94" s="470">
        <f>100-BJ93</f>
        <v>0.31084008382192962</v>
      </c>
      <c r="BK94" s="679" t="s">
        <v>11</v>
      </c>
      <c r="BL94" s="470">
        <f>100-BL93</f>
        <v>1.1182533896353846</v>
      </c>
      <c r="BM94" s="53" t="s">
        <v>18</v>
      </c>
    </row>
    <row r="95" spans="1:66" x14ac:dyDescent="0.35">
      <c r="I95" s="400">
        <f>R77/K89</f>
        <v>0.56510227464960983</v>
      </c>
      <c r="L95" s="19"/>
      <c r="M95" s="19"/>
      <c r="N95" s="19"/>
      <c r="O95" s="19"/>
      <c r="P95" s="19"/>
      <c r="Q95" s="19"/>
      <c r="R95" s="19"/>
      <c r="S95" s="406"/>
      <c r="AM95" s="61">
        <f>'[2]динамика изотопов в ТЦ'!J$2</f>
        <v>6.4716265525384389E+19</v>
      </c>
      <c r="AN95" s="759">
        <f>'[2]динамика изотопов в ТЦ'!K$2</f>
        <v>6.4716265525384389E+19</v>
      </c>
      <c r="AO95" s="760">
        <f>'[2]динамика изотопов в ТЦ'!L$2</f>
        <v>6.4716265525384389E+19</v>
      </c>
      <c r="AP95" s="13" t="s">
        <v>871</v>
      </c>
      <c r="AU95" s="294">
        <f>'баланс тритий'!E236+'баланс тритий'!E230+'баланс тритий'!E233</f>
        <v>30.024394786431291</v>
      </c>
      <c r="AV95" s="665">
        <f>AU95/(1/2*1.38E-23*600)*3/(6.02*10^23)</f>
        <v>3.6140876771186971E-2</v>
      </c>
      <c r="AW95" s="13" t="s">
        <v>74</v>
      </c>
      <c r="BD95" s="2"/>
      <c r="BE95" s="2"/>
      <c r="BF95" s="2"/>
      <c r="BG95" s="4" t="s">
        <v>599</v>
      </c>
      <c r="BH95" s="2"/>
      <c r="BI95" s="2"/>
      <c r="BJ95" s="2"/>
      <c r="BK95" s="2"/>
      <c r="BL95" s="2"/>
      <c r="BM95" s="2"/>
    </row>
    <row r="96" spans="1:66" x14ac:dyDescent="0.35">
      <c r="A96" s="13"/>
      <c r="I96" s="400">
        <f>V92/K90</f>
        <v>0</v>
      </c>
      <c r="L96" s="19"/>
      <c r="M96" s="19"/>
      <c r="N96" s="230"/>
      <c r="O96" s="393"/>
      <c r="P96" s="495"/>
      <c r="Q96" s="393"/>
      <c r="R96" s="495"/>
      <c r="S96" s="406"/>
      <c r="AU96" s="785">
        <f>'баланс тритий'!E237+'баланс тритий'!E231+'баланс тритий'!E234</f>
        <v>30.024394786431291</v>
      </c>
      <c r="AV96" s="665">
        <f>AU96/(1/2*1.38E-23*600)*3/(6.02*10^23)</f>
        <v>3.6140876771186971E-2</v>
      </c>
      <c r="BD96" s="2"/>
      <c r="BE96" s="2"/>
      <c r="BF96" s="2"/>
      <c r="BG96" s="53" t="s">
        <v>408</v>
      </c>
      <c r="BH96" s="2"/>
      <c r="BI96" s="2"/>
      <c r="BJ96" s="2"/>
      <c r="BK96" s="2"/>
      <c r="BL96" s="2"/>
      <c r="BM96" s="2"/>
    </row>
    <row r="97" spans="1:65" x14ac:dyDescent="0.35">
      <c r="A97" s="13"/>
      <c r="B97" s="13"/>
      <c r="G97" s="531"/>
      <c r="I97" s="573" t="s">
        <v>581</v>
      </c>
      <c r="L97" s="19"/>
      <c r="M97" s="19"/>
      <c r="N97" s="230"/>
      <c r="O97" s="627"/>
      <c r="P97" s="516"/>
      <c r="Q97" s="627"/>
      <c r="R97" s="516"/>
      <c r="S97" s="406"/>
      <c r="AV97" s="1046" t="s">
        <v>22</v>
      </c>
      <c r="BD97" s="790" t="s">
        <v>495</v>
      </c>
      <c r="BE97" s="921">
        <v>5.0000000000000001E-4</v>
      </c>
      <c r="BF97" s="2"/>
      <c r="BG97" s="53" t="s">
        <v>484</v>
      </c>
      <c r="BH97" s="53"/>
      <c r="BI97" s="53"/>
      <c r="BJ97" s="919"/>
      <c r="BK97" s="154"/>
      <c r="BL97" s="154"/>
      <c r="BM97" s="827">
        <f>(BE97+BE98/2)/(BE99/2+BE98/2+BE97)</f>
        <v>0.58369098712446355</v>
      </c>
    </row>
    <row r="98" spans="1:65" x14ac:dyDescent="0.35">
      <c r="A98" s="13"/>
      <c r="B98" s="13"/>
      <c r="G98" s="531"/>
      <c r="I98" s="400">
        <f>Q88/K88</f>
        <v>0</v>
      </c>
      <c r="K98" s="545">
        <f>'баланс тритий'!E181+'баланс дейтерий'!E181</f>
        <v>3.1027499999999999</v>
      </c>
      <c r="L98" s="102" t="s">
        <v>9</v>
      </c>
      <c r="M98" s="19"/>
      <c r="N98" s="230"/>
      <c r="O98" s="393"/>
      <c r="P98" s="495"/>
      <c r="Q98" s="393"/>
      <c r="R98" s="495"/>
      <c r="S98" s="406"/>
      <c r="AU98" s="545">
        <f>'баланс дейтерий'!E235+'баланс дейтерий'!E229+'баланс дейтерий'!E232</f>
        <v>77.593144786431296</v>
      </c>
      <c r="AV98" s="665">
        <f>AU98/(1/2*1.38E-23*600)*2/(6.02*10^23)</f>
        <v>6.226679569424888E-2</v>
      </c>
      <c r="BD98" s="790" t="s">
        <v>402</v>
      </c>
      <c r="BE98" s="921">
        <f>(0.049-BE97)/5*2</f>
        <v>1.9400000000000001E-2</v>
      </c>
      <c r="BF98" s="2"/>
      <c r="BG98" s="53" t="s">
        <v>485</v>
      </c>
      <c r="BH98" s="2"/>
      <c r="BI98" s="2"/>
      <c r="BJ98" s="2"/>
      <c r="BK98" s="53"/>
      <c r="BL98" s="53"/>
      <c r="BM98" s="53"/>
    </row>
    <row r="99" spans="1:65" x14ac:dyDescent="0.35">
      <c r="G99" s="531"/>
      <c r="I99" s="400">
        <f>Q89/K89</f>
        <v>0</v>
      </c>
      <c r="K99" s="294">
        <f>'баланс тритий'!E182+'баланс дейтерий'!E182</f>
        <v>1.1882239999999999</v>
      </c>
      <c r="L99" s="19"/>
      <c r="M99" s="19"/>
      <c r="N99" s="230"/>
      <c r="O99" s="627"/>
      <c r="P99" s="495"/>
      <c r="Q99" s="627"/>
      <c r="R99" s="495"/>
      <c r="S99" s="406"/>
      <c r="AU99" s="294">
        <f>'баланс дейтерий'!E236+'баланс дейтерий'!E230+'баланс дейтерий'!E233</f>
        <v>29.729994786431291</v>
      </c>
      <c r="AV99" s="665">
        <f>AU99/(1/2*1.38E-23*600)*2/(6.02*10^23)</f>
        <v>2.3857668308882862E-2</v>
      </c>
      <c r="AW99" s="13" t="s">
        <v>74</v>
      </c>
      <c r="BD99" s="790" t="s">
        <v>401</v>
      </c>
      <c r="BE99" s="921">
        <f>(0.049-BE97)/5*1.5</f>
        <v>1.455E-2</v>
      </c>
      <c r="BF99" s="2"/>
      <c r="BG99" s="53" t="s">
        <v>483</v>
      </c>
      <c r="BH99" s="53"/>
      <c r="BI99" s="53"/>
      <c r="BJ99" s="53"/>
      <c r="BK99" s="53"/>
      <c r="BL99" s="53"/>
      <c r="BM99" s="53"/>
    </row>
    <row r="100" spans="1:65" x14ac:dyDescent="0.35">
      <c r="I100" s="400">
        <f>Q90/K90</f>
        <v>0</v>
      </c>
      <c r="K100" s="785">
        <f>'баланс тритий'!E183+'баланс дейтерий'!E183</f>
        <v>1.1882239999999999</v>
      </c>
      <c r="M100" s="19"/>
      <c r="O100" s="339"/>
      <c r="P100" s="647"/>
      <c r="Q100" s="339"/>
      <c r="R100" s="495"/>
      <c r="S100" s="19"/>
      <c r="T100" s="146" t="s">
        <v>414</v>
      </c>
      <c r="AU100" s="785">
        <f>'баланс дейтерий'!E237+'баланс дейтерий'!E231+'баланс дейтерий'!E234</f>
        <v>29.729994786431291</v>
      </c>
      <c r="AV100" s="665">
        <f>AU100/(1/2*1.38E-23*600)*2/(6.02*10^23)</f>
        <v>2.3857668308882862E-2</v>
      </c>
      <c r="BD100" s="2"/>
      <c r="BE100" s="2"/>
      <c r="BF100" s="2"/>
      <c r="BG100" s="53" t="s">
        <v>478</v>
      </c>
      <c r="BH100" s="53"/>
      <c r="BI100" s="53"/>
      <c r="BJ100" s="53"/>
      <c r="BK100" s="53"/>
      <c r="BL100" s="53"/>
      <c r="BM100" s="825">
        <f>1/BM97</f>
        <v>1.713235294117647</v>
      </c>
    </row>
    <row r="101" spans="1:65" x14ac:dyDescent="0.35">
      <c r="R101" s="551"/>
      <c r="S101" s="124"/>
      <c r="BD101" s="2"/>
      <c r="BE101" s="2"/>
      <c r="BF101" s="2"/>
      <c r="BG101" s="2"/>
      <c r="BH101" s="2"/>
      <c r="BI101" s="2"/>
      <c r="BJ101" s="2"/>
      <c r="BK101" s="2"/>
      <c r="BL101" s="2"/>
      <c r="BM101" s="2"/>
    </row>
    <row r="102" spans="1:65" x14ac:dyDescent="0.35">
      <c r="R102" s="339"/>
      <c r="S102" s="406"/>
      <c r="AW102" s="71" t="s">
        <v>405</v>
      </c>
      <c r="BD102" s="2"/>
      <c r="BE102" s="2"/>
      <c r="BF102" s="2"/>
      <c r="BG102" s="9" t="s">
        <v>243</v>
      </c>
      <c r="BH102" s="378">
        <f>BH94*BM100</f>
        <v>0.53254220243021766</v>
      </c>
      <c r="BI102" s="825" t="s">
        <v>11</v>
      </c>
      <c r="BJ102" s="378">
        <f>BJ94*BM100</f>
        <v>0.53254220243021766</v>
      </c>
      <c r="BK102" s="826" t="s">
        <v>11</v>
      </c>
      <c r="BL102" s="378">
        <f>BL94*BM100</f>
        <v>1.9158311748900339</v>
      </c>
      <c r="BM102" s="145" t="s">
        <v>18</v>
      </c>
    </row>
    <row r="103" spans="1:65" x14ac:dyDescent="0.35">
      <c r="Z103" s="229"/>
      <c r="AU103" s="545">
        <f>AV103/(60*60)</f>
        <v>1.6735011232353489</v>
      </c>
      <c r="AV103" s="506">
        <f>(BK36)/AV94</f>
        <v>6024.6040436472558</v>
      </c>
      <c r="AX103" s="545">
        <f>AY103/(60*60)</f>
        <v>0.91141507251143672</v>
      </c>
      <c r="AY103" s="506">
        <f>(BA103)/AV94</f>
        <v>3281.0942610411721</v>
      </c>
      <c r="BA103" s="104">
        <f>'[4]поэлементый расчет систем'!L14+'[4]поэлементый расчет систем'!L89+'[4]поэлементый расчет систем'!L138+'[4]поэлементый расчет систем'!L213+'[4]поэлементый расчет систем'!L237+'[4]поэлементый расчет систем'!L292+'[4]поэлементый расчет систем'!L396</f>
        <v>306.45483900873478</v>
      </c>
      <c r="BD103" s="2"/>
      <c r="BE103" s="2"/>
      <c r="BF103" s="2"/>
      <c r="BG103" s="2"/>
      <c r="BH103" s="633">
        <f>('[6]динамика протия в ТЦ'!F23)*BH102%</f>
        <v>0.82617265929517902</v>
      </c>
      <c r="BI103" s="634" t="s">
        <v>11</v>
      </c>
      <c r="BJ103" s="377">
        <f>('[6]динамика протия в ТЦ'!H23)*BJ102%</f>
        <v>0.31638971297022145</v>
      </c>
      <c r="BK103" s="679" t="s">
        <v>11</v>
      </c>
      <c r="BL103" s="377">
        <f>('[6]динамика протия в ТЦ'!J23)*BL102%</f>
        <v>1.1382182909762677</v>
      </c>
      <c r="BM103" s="1" t="s">
        <v>9</v>
      </c>
    </row>
    <row r="104" spans="1:65" x14ac:dyDescent="0.35">
      <c r="AT104" s="12" t="s">
        <v>39</v>
      </c>
      <c r="AU104" s="294">
        <f>AV104/(60*60)</f>
        <v>4.2144260352453031</v>
      </c>
      <c r="AV104" s="506">
        <f>(BL36)/AV95</f>
        <v>15171.933726883091</v>
      </c>
      <c r="AW104" s="13" t="s">
        <v>227</v>
      </c>
      <c r="AX104" s="294">
        <f>AY104/(60*60)</f>
        <v>2.3554034039638823</v>
      </c>
      <c r="AY104" s="506">
        <f>(BA104)/AV95</f>
        <v>8479.452254269976</v>
      </c>
      <c r="AZ104" s="13" t="s">
        <v>227</v>
      </c>
      <c r="BA104" s="104">
        <f>'[4]поэлементый расчет систем'!L15+'[4]поэлементый расчет систем'!L90+'[4]поэлементый расчет систем'!L139+'[4]поэлементый расчет систем'!L214+'[4]поэлементый расчет систем'!L238+'[4]поэлементый расчет систем'!L293+'[4]поэлементый расчет систем'!L397</f>
        <v>306.45483900873478</v>
      </c>
      <c r="BD104" s="2"/>
      <c r="BE104" s="2"/>
      <c r="BF104" s="2"/>
      <c r="BG104" s="9" t="s">
        <v>321</v>
      </c>
      <c r="BH104" s="672">
        <f>BH103*'параметры для расчета'!F73</f>
        <v>2974.2215734626443</v>
      </c>
      <c r="BI104" s="636" t="s">
        <v>11</v>
      </c>
      <c r="BJ104" s="672">
        <f>BJ103*'параметры для расчета'!F73</f>
        <v>1139.0029666927971</v>
      </c>
      <c r="BK104" s="636" t="s">
        <v>11</v>
      </c>
      <c r="BL104" s="672">
        <f>BL103*'параметры для расчета'!F73</f>
        <v>4097.5858475145633</v>
      </c>
      <c r="BM104" s="1" t="s">
        <v>28</v>
      </c>
    </row>
    <row r="105" spans="1:65" x14ac:dyDescent="0.35">
      <c r="AU105" s="785">
        <f>AV105/(60*60)</f>
        <v>3.3870268759140241</v>
      </c>
      <c r="AV105" s="506">
        <f>(BM36)/AV96</f>
        <v>12193.296753290486</v>
      </c>
      <c r="AX105" s="785">
        <f>AY105/(60*60)</f>
        <v>1.2582624624478647</v>
      </c>
      <c r="AY105" s="506">
        <f>(BA105)/AV96</f>
        <v>4529.7448648123127</v>
      </c>
      <c r="BA105" s="104">
        <f>'[4]поэлементый расчет систем'!L16+'[4]поэлементый расчет систем'!L91+'[4]поэлементый расчет систем'!L140+'[4]поэлементый расчет систем'!L215+'[4]поэлементый расчет систем'!L239+'[4]поэлементый расчет систем'!L294+'[4]поэлементый расчет систем'!L398</f>
        <v>163.70895096409879</v>
      </c>
      <c r="BD105" s="2"/>
      <c r="BE105" s="2"/>
      <c r="BF105" s="2"/>
      <c r="BG105" s="720" t="s">
        <v>454</v>
      </c>
      <c r="BH105" s="244">
        <f>'баланс тритий'!E202+'баланс дейтерий'!E202</f>
        <v>32.061825810370443</v>
      </c>
      <c r="BI105" s="634" t="s">
        <v>11</v>
      </c>
      <c r="BJ105" s="590">
        <f>'баланс тритий'!E203+'баланс дейтерий'!E203</f>
        <v>32.924325810370441</v>
      </c>
      <c r="BK105" s="634" t="s">
        <v>11</v>
      </c>
      <c r="BL105" s="245">
        <f>'баланс тритий'!E204+'баланс дейтерий'!E204</f>
        <v>33.573404259662901</v>
      </c>
      <c r="BM105" s="1" t="s">
        <v>9</v>
      </c>
    </row>
    <row r="106" spans="1:65" x14ac:dyDescent="0.35">
      <c r="BD106" s="2"/>
      <c r="BE106" s="2"/>
      <c r="BF106" s="2"/>
      <c r="BG106" s="636" t="s">
        <v>486</v>
      </c>
      <c r="BH106" s="440" t="str">
        <f>IF(BH103&gt;BH105, "НЕДОСТАТОК", "НОРМ")</f>
        <v>НОРМ</v>
      </c>
      <c r="BI106" s="440"/>
      <c r="BJ106" s="440" t="str">
        <f>IF(BJ103&gt;BJ105, "НЕДОСТАТОК", "НОРМ")</f>
        <v>НОРМ</v>
      </c>
      <c r="BK106" s="440"/>
      <c r="BL106" s="440" t="str">
        <f>IF(BL103&gt;BL105, "НЕДОСТАТОК", "НОРМ")</f>
        <v>НОРМ</v>
      </c>
      <c r="BM106" s="2"/>
    </row>
    <row r="107" spans="1:65" x14ac:dyDescent="0.35">
      <c r="AX107" s="12" t="s">
        <v>39</v>
      </c>
    </row>
    <row r="110" spans="1:65" x14ac:dyDescent="0.35">
      <c r="AS110" s="732"/>
      <c r="AT110" s="732"/>
    </row>
    <row r="111" spans="1:65" ht="16.5" customHeight="1" x14ac:dyDescent="0.35">
      <c r="A111" s="13"/>
      <c r="B111" s="13"/>
      <c r="E111" s="440"/>
      <c r="F111" s="923"/>
      <c r="G111" s="59"/>
      <c r="H111" s="924"/>
      <c r="I111" s="59"/>
      <c r="J111" s="925"/>
      <c r="K111" s="26"/>
      <c r="L111" s="926"/>
      <c r="M111" s="339"/>
      <c r="N111" s="927"/>
      <c r="O111" s="339"/>
      <c r="P111" s="495"/>
      <c r="Q111" s="19"/>
    </row>
    <row r="112" spans="1:65" x14ac:dyDescent="0.35">
      <c r="AA112" s="440"/>
      <c r="AB112" s="923"/>
      <c r="AC112" s="59"/>
      <c r="AD112" s="928"/>
      <c r="AE112" s="59"/>
      <c r="AF112" s="925"/>
      <c r="AG112" s="26"/>
      <c r="AH112" s="929"/>
      <c r="AI112" s="901"/>
      <c r="AJ112" s="930"/>
      <c r="AK112" s="901"/>
      <c r="AL112" s="19"/>
      <c r="AM112" s="19"/>
    </row>
    <row r="113" spans="24:61" x14ac:dyDescent="0.35">
      <c r="AE113" s="81"/>
      <c r="AF113" s="81"/>
      <c r="AG113" s="279"/>
      <c r="AH113" s="566"/>
      <c r="AI113" s="81"/>
      <c r="AJ113" s="1280">
        <v>1</v>
      </c>
      <c r="AK113" s="81"/>
      <c r="BA113" s="1016"/>
      <c r="BB113" s="12"/>
      <c r="BC113" s="173"/>
      <c r="BD113" s="173"/>
      <c r="BE113" s="173"/>
      <c r="BF113" s="173"/>
      <c r="BG113" s="173"/>
      <c r="BH113" s="173"/>
      <c r="BI113" s="127"/>
    </row>
    <row r="114" spans="24:61" x14ac:dyDescent="0.35">
      <c r="X114" s="770"/>
      <c r="Y114" s="770"/>
      <c r="Z114" s="770"/>
      <c r="AA114" s="770"/>
      <c r="AB114" s="770"/>
      <c r="AC114" s="770"/>
      <c r="AD114" s="771"/>
      <c r="AE114" s="1281">
        <v>0.7</v>
      </c>
      <c r="AF114" s="1278" t="s">
        <v>49</v>
      </c>
      <c r="AG114" s="1282">
        <v>1517</v>
      </c>
      <c r="AH114" s="1268">
        <v>641</v>
      </c>
      <c r="AI114" s="1283">
        <f t="shared" ref="AI114:AI131" si="15">AH114</f>
        <v>641</v>
      </c>
      <c r="AJ114" s="1284">
        <v>641</v>
      </c>
      <c r="AK114" s="81">
        <v>11</v>
      </c>
      <c r="AL114" s="761"/>
      <c r="AM114" s="761"/>
      <c r="AN114" s="761"/>
      <c r="AO114" s="761"/>
      <c r="AV114" s="1015">
        <v>0.5</v>
      </c>
      <c r="AW114" s="1015"/>
      <c r="AX114" s="1015">
        <v>0.7</v>
      </c>
      <c r="AY114" s="1015"/>
    </row>
    <row r="115" spans="24:61" x14ac:dyDescent="0.35">
      <c r="X115" s="761"/>
      <c r="Y115" s="761"/>
      <c r="Z115" s="761"/>
      <c r="AA115" s="761"/>
      <c r="AB115" s="761"/>
      <c r="AC115" s="761"/>
      <c r="AD115" s="771"/>
      <c r="AE115" s="83"/>
      <c r="AF115" s="1279" t="s">
        <v>151</v>
      </c>
      <c r="AG115" s="1285">
        <v>1528</v>
      </c>
      <c r="AH115" s="1271">
        <v>1140</v>
      </c>
      <c r="AI115" s="1271">
        <f t="shared" si="15"/>
        <v>1140</v>
      </c>
      <c r="AJ115" s="1284">
        <v>1140</v>
      </c>
      <c r="AK115" s="81">
        <v>0</v>
      </c>
      <c r="AL115" s="1087" t="s">
        <v>627</v>
      </c>
      <c r="AM115" s="908"/>
      <c r="AN115" s="908"/>
      <c r="AO115" s="908"/>
      <c r="AP115" s="908"/>
      <c r="AQ115" s="1088"/>
      <c r="AR115" s="1089" t="s">
        <v>628</v>
      </c>
      <c r="AU115" s="41" t="s">
        <v>586</v>
      </c>
      <c r="AV115" s="768" t="s">
        <v>172</v>
      </c>
      <c r="AW115" s="769" t="s">
        <v>283</v>
      </c>
      <c r="AX115" s="768" t="s">
        <v>172</v>
      </c>
      <c r="AY115" s="769" t="s">
        <v>283</v>
      </c>
      <c r="AZ115" s="41" t="s">
        <v>591</v>
      </c>
    </row>
    <row r="116" spans="24:61" x14ac:dyDescent="0.35">
      <c r="X116" s="761"/>
      <c r="Y116" s="761"/>
      <c r="Z116" s="761"/>
      <c r="AA116" s="761"/>
      <c r="AB116" s="761"/>
      <c r="AC116" s="761"/>
      <c r="AD116" s="771"/>
      <c r="AE116" s="83"/>
      <c r="AF116" s="1286">
        <f>AG116/AH116</f>
        <v>2.2044088176352707E-2</v>
      </c>
      <c r="AG116" s="1287">
        <f>AG115-AG114</f>
        <v>11</v>
      </c>
      <c r="AH116" s="1288">
        <f>AH115-AH114</f>
        <v>499</v>
      </c>
      <c r="AI116" s="1288">
        <f t="shared" si="15"/>
        <v>499</v>
      </c>
      <c r="AJ116" s="1289">
        <f>AJ115-AJ114</f>
        <v>499</v>
      </c>
      <c r="AK116" s="81">
        <v>0</v>
      </c>
      <c r="AT116" s="32">
        <v>1.5</v>
      </c>
      <c r="AU116" s="300">
        <f>AZ116*'параметры для расчета'!$I$14</f>
        <v>0</v>
      </c>
      <c r="AV116" s="1004">
        <v>320.22897360814977</v>
      </c>
      <c r="AW116" s="1004">
        <v>320.22897360814977</v>
      </c>
      <c r="AX116" s="1004">
        <v>447.75202589750666</v>
      </c>
      <c r="AY116" s="1004">
        <v>192.70592131879286</v>
      </c>
      <c r="AZ116" s="1014">
        <f>1.2*10^20</f>
        <v>1.2E+20</v>
      </c>
      <c r="BA116" s="761"/>
    </row>
    <row r="117" spans="24:61" x14ac:dyDescent="0.35">
      <c r="X117" s="809"/>
      <c r="Y117" s="809"/>
      <c r="Z117" s="809"/>
      <c r="AA117" s="809"/>
      <c r="AB117" s="809"/>
      <c r="AC117" s="809"/>
      <c r="AD117" s="771"/>
      <c r="AE117" s="81"/>
      <c r="AF117" s="1277" t="s">
        <v>465</v>
      </c>
      <c r="AG117" s="1290">
        <v>28.1</v>
      </c>
      <c r="AH117" s="1290">
        <v>38.700000000000003</v>
      </c>
      <c r="AI117" s="1290">
        <f t="shared" si="15"/>
        <v>38.700000000000003</v>
      </c>
      <c r="AJ117" s="81">
        <v>37.299999999999997</v>
      </c>
      <c r="AK117" s="1290"/>
      <c r="AU117" s="300">
        <f>AZ117*'параметры для расчета'!$I$14</f>
        <v>0</v>
      </c>
      <c r="AV117" s="1004">
        <v>252.3989736081497</v>
      </c>
      <c r="AW117" s="1004">
        <v>252.3989736081497</v>
      </c>
      <c r="AX117" s="1004">
        <v>352.79002589750655</v>
      </c>
      <c r="AY117" s="1004">
        <v>152.00792131879285</v>
      </c>
      <c r="AZ117" s="1014">
        <f>10^20</f>
        <v>1E+20</v>
      </c>
    </row>
    <row r="118" spans="24:61" x14ac:dyDescent="0.35">
      <c r="X118" s="761"/>
      <c r="Y118" s="761"/>
      <c r="Z118" s="761"/>
      <c r="AA118" s="761"/>
      <c r="AB118" s="761"/>
      <c r="AC118" s="761"/>
      <c r="AD118" s="761"/>
      <c r="AE118" s="81"/>
      <c r="AF118" s="1277" t="s">
        <v>466</v>
      </c>
      <c r="AG118" s="1290">
        <v>7</v>
      </c>
      <c r="AH118" s="1290">
        <v>9.4</v>
      </c>
      <c r="AI118" s="1290">
        <f t="shared" si="15"/>
        <v>9.4</v>
      </c>
      <c r="AJ118" s="1016">
        <v>9.3000000000000007</v>
      </c>
      <c r="AK118" s="1290"/>
      <c r="AU118" s="300">
        <f>AZ118*'параметры для расчета'!$I$14</f>
        <v>0</v>
      </c>
      <c r="AV118" s="1004">
        <v>184.56897360814975</v>
      </c>
      <c r="AW118" s="1004">
        <v>184.56897360814975</v>
      </c>
      <c r="AX118" s="1004">
        <v>257.82802589750668</v>
      </c>
      <c r="AY118" s="1004">
        <v>111.30992131879289</v>
      </c>
      <c r="AZ118" s="1014">
        <f>0.8*10^20</f>
        <v>8E+19</v>
      </c>
      <c r="BC118" s="426" t="s">
        <v>585</v>
      </c>
    </row>
    <row r="119" spans="24:61" x14ac:dyDescent="0.35">
      <c r="X119" s="771"/>
      <c r="Y119" s="771"/>
      <c r="Z119" s="771"/>
      <c r="AA119" s="771"/>
      <c r="AB119" s="771"/>
      <c r="AC119" s="771"/>
      <c r="AD119" s="761"/>
      <c r="AE119" s="81"/>
      <c r="AF119" s="1277" t="s">
        <v>469</v>
      </c>
      <c r="AG119" s="1290">
        <v>4.4000000000000004</v>
      </c>
      <c r="AH119" s="1290">
        <v>4.5999999999999996</v>
      </c>
      <c r="AI119" s="1290">
        <f t="shared" si="15"/>
        <v>4.5999999999999996</v>
      </c>
      <c r="AJ119" s="1016">
        <v>4.4000000000000004</v>
      </c>
      <c r="AK119" s="1290"/>
      <c r="AU119" s="300">
        <f>AZ119*'параметры для расчета'!$I$14</f>
        <v>0</v>
      </c>
      <c r="AV119" s="1004">
        <v>116.73897360814978</v>
      </c>
      <c r="AW119" s="1004">
        <v>116.73897360814978</v>
      </c>
      <c r="AX119" s="1004">
        <v>162.86602589750666</v>
      </c>
      <c r="AY119" s="1004">
        <v>70.611921318792866</v>
      </c>
      <c r="AZ119" s="1014">
        <f>0.6*10^20</f>
        <v>6E+19</v>
      </c>
      <c r="BC119" s="1005">
        <v>18.75</v>
      </c>
      <c r="BD119" s="1005">
        <v>37.5</v>
      </c>
      <c r="BE119" s="1005">
        <v>11.25</v>
      </c>
      <c r="BF119" s="1005">
        <v>26.25</v>
      </c>
    </row>
    <row r="120" spans="24:61" x14ac:dyDescent="0.35">
      <c r="X120" s="771"/>
      <c r="Y120" s="771"/>
      <c r="Z120" s="771"/>
      <c r="AA120" s="771"/>
      <c r="AB120" s="771"/>
      <c r="AC120" s="771"/>
      <c r="AD120" s="761"/>
      <c r="AE120" s="1281">
        <v>0.6</v>
      </c>
      <c r="AF120" s="1278" t="s">
        <v>49</v>
      </c>
      <c r="AG120" s="1282">
        <v>1396</v>
      </c>
      <c r="AH120" s="1268">
        <v>635</v>
      </c>
      <c r="AI120" s="1283">
        <f t="shared" si="15"/>
        <v>635</v>
      </c>
      <c r="AJ120" s="153">
        <v>636</v>
      </c>
      <c r="AK120" s="81">
        <v>7.8</v>
      </c>
      <c r="AU120" s="300">
        <f>AZ120*'параметры для расчета'!$I$14</f>
        <v>0</v>
      </c>
      <c r="AV120" s="1004">
        <v>48.908973608149765</v>
      </c>
      <c r="AW120" s="1004">
        <v>48.908973608149765</v>
      </c>
      <c r="AX120" s="1004">
        <v>67.904025897506671</v>
      </c>
      <c r="AY120" s="1004">
        <v>29.913921318792863</v>
      </c>
      <c r="AZ120" s="1014">
        <f>0.4*10^20</f>
        <v>4E+19</v>
      </c>
      <c r="BA120" s="761"/>
      <c r="BC120" s="1005">
        <v>18.75</v>
      </c>
      <c r="BD120" s="1005">
        <v>37.5</v>
      </c>
      <c r="BE120" s="1005">
        <v>11.25</v>
      </c>
      <c r="BF120" s="1005">
        <v>26.25</v>
      </c>
    </row>
    <row r="121" spans="24:61" x14ac:dyDescent="0.35">
      <c r="X121" s="771"/>
      <c r="Y121" s="771"/>
      <c r="Z121" s="771"/>
      <c r="AA121" s="771"/>
      <c r="AB121" s="771"/>
      <c r="AC121" s="771"/>
      <c r="AD121" s="761"/>
      <c r="AE121" s="83"/>
      <c r="AF121" s="1279" t="s">
        <v>151</v>
      </c>
      <c r="AG121" s="1285">
        <v>1731</v>
      </c>
      <c r="AH121" s="1271">
        <v>1097</v>
      </c>
      <c r="AI121" s="1271">
        <f t="shared" si="15"/>
        <v>1097</v>
      </c>
      <c r="AJ121" s="153">
        <v>1098</v>
      </c>
      <c r="AK121" s="81">
        <v>1</v>
      </c>
      <c r="AU121" s="300">
        <f>AZ121*'параметры для расчета'!$I$14</f>
        <v>0</v>
      </c>
      <c r="AV121" s="1008">
        <v>-18.921026391850248</v>
      </c>
      <c r="AW121" s="1008">
        <v>-18.921026391850248</v>
      </c>
      <c r="AX121" s="1008">
        <v>-27.05797410249334</v>
      </c>
      <c r="AY121" s="1008">
        <v>-10.784078681207145</v>
      </c>
      <c r="AZ121" s="1014">
        <f>0.2*10^20</f>
        <v>2E+19</v>
      </c>
      <c r="BA121" s="761"/>
      <c r="BC121" s="1005">
        <v>18.75</v>
      </c>
      <c r="BD121" s="1005">
        <v>37.5</v>
      </c>
      <c r="BE121" s="1005">
        <v>11.25</v>
      </c>
      <c r="BF121" s="1005">
        <v>26.25</v>
      </c>
    </row>
    <row r="122" spans="24:61" x14ac:dyDescent="0.35">
      <c r="X122" s="771"/>
      <c r="Y122" s="771"/>
      <c r="Z122" s="771"/>
      <c r="AA122" s="771"/>
      <c r="AB122" s="771"/>
      <c r="AC122" s="771"/>
      <c r="AD122" s="761"/>
      <c r="AE122" s="83"/>
      <c r="AF122" s="1286">
        <f>AG122/AH122</f>
        <v>0.72510822510822515</v>
      </c>
      <c r="AG122" s="1287">
        <f>AG121-AG120</f>
        <v>335</v>
      </c>
      <c r="AH122" s="1288">
        <f>AH121-AH120</f>
        <v>462</v>
      </c>
      <c r="AI122" s="1288">
        <f t="shared" si="15"/>
        <v>462</v>
      </c>
      <c r="AJ122" s="1291">
        <f>AJ121-AJ120</f>
        <v>462</v>
      </c>
      <c r="AK122" s="81">
        <v>0</v>
      </c>
      <c r="AU122" s="300">
        <f>AZ122*'параметры для расчета'!$I$14</f>
        <v>0</v>
      </c>
      <c r="AV122" s="1008">
        <v>-52.836026391850247</v>
      </c>
      <c r="AW122" s="1008">
        <v>-52.836026391850247</v>
      </c>
      <c r="AX122" s="1008">
        <v>-74.538974102493327</v>
      </c>
      <c r="AY122" s="1008">
        <v>-31.133078681207145</v>
      </c>
      <c r="AZ122" s="1014">
        <f>0.1*10^20</f>
        <v>1E+19</v>
      </c>
      <c r="BA122" s="761"/>
      <c r="BC122" s="1005">
        <v>18.75</v>
      </c>
      <c r="BD122" s="1005">
        <v>37.5</v>
      </c>
      <c r="BE122" s="1005">
        <v>11.25</v>
      </c>
      <c r="BF122" s="1005">
        <v>26.25</v>
      </c>
    </row>
    <row r="123" spans="24:61" x14ac:dyDescent="0.35">
      <c r="X123" s="771"/>
      <c r="Y123" s="771"/>
      <c r="Z123" s="771"/>
      <c r="AA123" s="771"/>
      <c r="AB123" s="771"/>
      <c r="AC123" s="771"/>
      <c r="AD123" s="761"/>
      <c r="AE123" s="81"/>
      <c r="AF123" s="1277" t="s">
        <v>465</v>
      </c>
      <c r="AG123" s="1290">
        <v>28</v>
      </c>
      <c r="AH123" s="1290">
        <v>36.4</v>
      </c>
      <c r="AI123" s="1290">
        <f t="shared" si="15"/>
        <v>36.4</v>
      </c>
      <c r="AJ123" s="1016">
        <v>37.299999999999997</v>
      </c>
      <c r="AK123" s="1290"/>
      <c r="AX123" s="111"/>
      <c r="AY123" s="111"/>
      <c r="BA123" s="761"/>
      <c r="BC123" s="1005">
        <v>18.75</v>
      </c>
      <c r="BD123" s="1005">
        <v>37.5</v>
      </c>
      <c r="BE123" s="1005">
        <v>11.25</v>
      </c>
      <c r="BF123" s="1005">
        <v>26.25</v>
      </c>
    </row>
    <row r="124" spans="24:61" x14ac:dyDescent="0.35">
      <c r="X124" s="771"/>
      <c r="Y124" s="771"/>
      <c r="Z124" s="771"/>
      <c r="AA124" s="771"/>
      <c r="AB124" s="771"/>
      <c r="AC124" s="771"/>
      <c r="AD124" s="761"/>
      <c r="AE124" s="81"/>
      <c r="AF124" s="1277" t="s">
        <v>466</v>
      </c>
      <c r="AG124" s="1290">
        <v>7</v>
      </c>
      <c r="AH124" s="1290">
        <v>9</v>
      </c>
      <c r="AI124" s="1290">
        <f t="shared" si="15"/>
        <v>9</v>
      </c>
      <c r="AJ124" s="1016">
        <v>9.3000000000000007</v>
      </c>
      <c r="AK124" s="1290"/>
      <c r="AT124" s="32">
        <v>2.35</v>
      </c>
      <c r="AU124" s="300">
        <f>AZ124*'параметры для расчета'!$I$14</f>
        <v>0</v>
      </c>
      <c r="AV124" s="1004">
        <v>173.13403107941411</v>
      </c>
      <c r="AW124" s="1004">
        <v>173.13403107941411</v>
      </c>
      <c r="AX124" s="1004">
        <v>241.81910635727667</v>
      </c>
      <c r="AY124" s="1004">
        <v>104.44895580155148</v>
      </c>
      <c r="AZ124" s="1014">
        <f>1.2*10^20</f>
        <v>1.2E+20</v>
      </c>
      <c r="BA124" s="761"/>
      <c r="BC124" s="1005">
        <v>18.75</v>
      </c>
      <c r="BD124" s="1005">
        <v>37.5</v>
      </c>
      <c r="BE124" s="1005">
        <v>11.25</v>
      </c>
      <c r="BF124" s="1005">
        <v>26.25</v>
      </c>
    </row>
    <row r="125" spans="24:61" x14ac:dyDescent="0.35">
      <c r="X125" s="771"/>
      <c r="Y125" s="771"/>
      <c r="Z125" s="771"/>
      <c r="AA125" s="771"/>
      <c r="AB125" s="771"/>
      <c r="AC125" s="771"/>
      <c r="AD125" s="761"/>
      <c r="AE125" s="81"/>
      <c r="AF125" s="1277" t="s">
        <v>469</v>
      </c>
      <c r="AG125" s="1290">
        <v>4.4000000000000004</v>
      </c>
      <c r="AH125" s="1290">
        <v>4.4000000000000004</v>
      </c>
      <c r="AI125" s="1290">
        <f t="shared" si="15"/>
        <v>4.4000000000000004</v>
      </c>
      <c r="AJ125" s="1016">
        <v>4.4000000000000004</v>
      </c>
      <c r="AK125" s="1290"/>
      <c r="AU125" s="300">
        <f>AZ125*'параметры для расчета'!$I$14</f>
        <v>0</v>
      </c>
      <c r="AV125" s="1004">
        <v>129.81985483420337</v>
      </c>
      <c r="AW125" s="1004">
        <v>129.81985483420337</v>
      </c>
      <c r="AX125" s="1004">
        <v>181.17925961398169</v>
      </c>
      <c r="AY125" s="1004">
        <v>78.460450054425024</v>
      </c>
      <c r="AZ125" s="1014">
        <f>10^20</f>
        <v>1E+20</v>
      </c>
      <c r="BC125" s="1005">
        <v>18.75</v>
      </c>
      <c r="BD125" s="1005">
        <v>37.5</v>
      </c>
      <c r="BE125" s="1005">
        <v>11.25</v>
      </c>
      <c r="BF125" s="1005">
        <v>26.25</v>
      </c>
    </row>
    <row r="126" spans="24:61" x14ac:dyDescent="0.35">
      <c r="X126" s="771"/>
      <c r="Y126" s="771"/>
      <c r="Z126" s="771"/>
      <c r="AA126" s="771"/>
      <c r="AB126" s="771"/>
      <c r="AC126" s="771"/>
      <c r="AD126" s="761"/>
      <c r="AE126" s="1281">
        <v>0.5</v>
      </c>
      <c r="AF126" s="1278" t="s">
        <v>49</v>
      </c>
      <c r="AG126" s="1282">
        <v>1268</v>
      </c>
      <c r="AH126" s="1268">
        <v>625</v>
      </c>
      <c r="AI126" s="1283">
        <f t="shared" si="15"/>
        <v>625</v>
      </c>
      <c r="AJ126" s="153">
        <v>626</v>
      </c>
      <c r="AK126" s="81">
        <v>4.7</v>
      </c>
      <c r="AL126" s="761"/>
      <c r="AM126" s="761"/>
      <c r="AN126" s="761"/>
      <c r="AO126" s="761"/>
      <c r="AP126" s="761"/>
      <c r="AU126" s="300">
        <f>AZ126*'параметры для расчета'!$I$14</f>
        <v>0</v>
      </c>
      <c r="AV126" s="1004">
        <v>86.50567858899268</v>
      </c>
      <c r="AW126" s="1004">
        <v>86.50567858899268</v>
      </c>
      <c r="AX126" s="1004">
        <v>120.5394128706867</v>
      </c>
      <c r="AY126" s="1004">
        <v>52.471944307298592</v>
      </c>
      <c r="AZ126" s="1014">
        <f>0.8*10^20</f>
        <v>8E+19</v>
      </c>
      <c r="BC126" s="1005">
        <v>18.75</v>
      </c>
      <c r="BD126" s="1005">
        <v>37.5</v>
      </c>
      <c r="BE126" s="1005">
        <v>11.25</v>
      </c>
      <c r="BF126" s="1005">
        <v>26.25</v>
      </c>
    </row>
    <row r="127" spans="24:61" x14ac:dyDescent="0.35">
      <c r="X127" s="771"/>
      <c r="Y127" s="771"/>
      <c r="Z127" s="771"/>
      <c r="AA127" s="771"/>
      <c r="AB127" s="771"/>
      <c r="AC127" s="771"/>
      <c r="AD127" s="761"/>
      <c r="AE127" s="81"/>
      <c r="AF127" s="1279" t="s">
        <v>151</v>
      </c>
      <c r="AG127" s="1285">
        <v>1723</v>
      </c>
      <c r="AH127" s="1271">
        <v>880</v>
      </c>
      <c r="AI127" s="1271">
        <f t="shared" si="15"/>
        <v>880</v>
      </c>
      <c r="AJ127" s="153">
        <v>881</v>
      </c>
      <c r="AK127" s="81">
        <v>3</v>
      </c>
      <c r="AL127" s="761"/>
      <c r="AM127" s="761"/>
      <c r="AN127" s="761"/>
      <c r="AO127" s="761"/>
      <c r="AP127" s="761"/>
      <c r="AU127" s="300">
        <f>AZ127*'параметры для расчета'!$I$14</f>
        <v>0</v>
      </c>
      <c r="AV127" s="1004">
        <v>43.191502343781956</v>
      </c>
      <c r="AW127" s="1004">
        <v>43.191502343781956</v>
      </c>
      <c r="AX127" s="1004">
        <v>59.899566127391701</v>
      </c>
      <c r="AY127" s="1004">
        <v>26.483438560172161</v>
      </c>
      <c r="AZ127" s="1014">
        <f>0.6*10^20</f>
        <v>6E+19</v>
      </c>
      <c r="BC127" s="1005">
        <v>18.75</v>
      </c>
      <c r="BD127" s="1005">
        <v>37.5</v>
      </c>
      <c r="BE127" s="1005">
        <v>11.25</v>
      </c>
      <c r="BF127" s="1005">
        <v>26.25</v>
      </c>
    </row>
    <row r="128" spans="24:61" x14ac:dyDescent="0.35">
      <c r="X128" s="761"/>
      <c r="Y128" s="761"/>
      <c r="Z128" s="761"/>
      <c r="AA128" s="761"/>
      <c r="AB128" s="761"/>
      <c r="AC128" s="761"/>
      <c r="AD128" s="761"/>
      <c r="AE128" s="81"/>
      <c r="AF128" s="1286">
        <f>AG128/AH128</f>
        <v>1.7843137254901962</v>
      </c>
      <c r="AG128" s="1287">
        <f>AG127-AG126</f>
        <v>455</v>
      </c>
      <c r="AH128" s="1292">
        <f>AH127-AH126</f>
        <v>255</v>
      </c>
      <c r="AI128" s="1292">
        <f t="shared" si="15"/>
        <v>255</v>
      </c>
      <c r="AJ128" s="1291">
        <f>AJ127-AJ126</f>
        <v>255</v>
      </c>
      <c r="AK128" s="81">
        <v>0</v>
      </c>
      <c r="AL128" s="761"/>
      <c r="AM128" s="761"/>
      <c r="AN128" s="761"/>
      <c r="AO128" s="761"/>
      <c r="AP128" s="761"/>
      <c r="AU128" s="300">
        <f>AZ128*'параметры для расчета'!$I$14</f>
        <v>0</v>
      </c>
      <c r="AV128" s="1008">
        <v>-0.12267390142878842</v>
      </c>
      <c r="AW128" s="1008">
        <v>-0.12267390142878842</v>
      </c>
      <c r="AX128" s="1008">
        <v>-0.74028061590329752</v>
      </c>
      <c r="AY128" s="1004">
        <v>0.49493281304572068</v>
      </c>
      <c r="AZ128" s="1014">
        <f>0.4*10^20</f>
        <v>4E+19</v>
      </c>
      <c r="BC128" s="1005">
        <v>18.75</v>
      </c>
      <c r="BD128" s="1005">
        <v>37.5</v>
      </c>
      <c r="BE128" s="1005">
        <v>11.25</v>
      </c>
      <c r="BF128" s="1005">
        <v>26.25</v>
      </c>
    </row>
    <row r="129" spans="24:66" x14ac:dyDescent="0.35">
      <c r="X129" s="761"/>
      <c r="Y129" s="761"/>
      <c r="Z129" s="761"/>
      <c r="AA129" s="761"/>
      <c r="AB129" s="761"/>
      <c r="AC129" s="761"/>
      <c r="AD129" s="761"/>
      <c r="AE129" s="81"/>
      <c r="AF129" s="1277" t="s">
        <v>465</v>
      </c>
      <c r="AG129" s="1290">
        <v>28</v>
      </c>
      <c r="AH129" s="1290">
        <v>35.4</v>
      </c>
      <c r="AI129" s="1290">
        <f t="shared" si="15"/>
        <v>35.4</v>
      </c>
      <c r="AJ129" s="1016">
        <v>37.200000000000003</v>
      </c>
      <c r="AK129" s="1290"/>
      <c r="AM129" s="761"/>
      <c r="AN129" s="761"/>
      <c r="AO129" s="761"/>
      <c r="AP129" s="761"/>
      <c r="AU129" s="300">
        <f>AZ129*'параметры для расчета'!$I$14</f>
        <v>0</v>
      </c>
      <c r="AV129" s="1008">
        <v>-43.436850146639522</v>
      </c>
      <c r="AW129" s="1008">
        <v>-43.436850146639522</v>
      </c>
      <c r="AX129" s="1008">
        <v>-61.380127359198326</v>
      </c>
      <c r="AY129" s="1008">
        <v>-25.493572934080714</v>
      </c>
      <c r="AZ129" s="1014">
        <f>0.2*10^20</f>
        <v>2E+19</v>
      </c>
      <c r="BC129" s="1005">
        <v>18.75</v>
      </c>
      <c r="BD129" s="1005">
        <v>37.5</v>
      </c>
      <c r="BE129" s="1005">
        <v>11.25</v>
      </c>
      <c r="BF129" s="1005">
        <v>26.25</v>
      </c>
    </row>
    <row r="130" spans="24:66" x14ac:dyDescent="0.35">
      <c r="X130" s="761"/>
      <c r="Y130" s="761"/>
      <c r="Z130" s="761"/>
      <c r="AA130" s="761"/>
      <c r="AB130" s="761"/>
      <c r="AC130" s="761"/>
      <c r="AD130" s="761"/>
      <c r="AE130" s="81"/>
      <c r="AF130" s="1277" t="s">
        <v>466</v>
      </c>
      <c r="AG130" s="1290">
        <v>7</v>
      </c>
      <c r="AH130" s="1290">
        <v>8.8000000000000007</v>
      </c>
      <c r="AI130" s="1290">
        <f t="shared" si="15"/>
        <v>8.8000000000000007</v>
      </c>
      <c r="AJ130" s="1016">
        <v>9.3000000000000007</v>
      </c>
      <c r="AK130" s="1290"/>
      <c r="AL130" s="761"/>
      <c r="AM130" s="761"/>
      <c r="AN130" s="761"/>
      <c r="AO130" s="761"/>
      <c r="AP130" s="761"/>
      <c r="AU130" s="300">
        <f>AZ130*'параметры для расчета'!$I$14</f>
        <v>0</v>
      </c>
      <c r="AV130" s="1008">
        <v>-65.093938269244887</v>
      </c>
      <c r="AW130" s="1008">
        <v>-65.093938269244887</v>
      </c>
      <c r="AX130" s="1008">
        <v>-91.700050730845831</v>
      </c>
      <c r="AY130" s="1008">
        <v>-38.487825807643929</v>
      </c>
      <c r="AZ130" s="1014">
        <f>0.1*10^20</f>
        <v>1E+19</v>
      </c>
      <c r="BC130" s="1005">
        <v>18.75</v>
      </c>
      <c r="BD130" s="1005">
        <v>37.5</v>
      </c>
      <c r="BE130" s="1005">
        <v>11.25</v>
      </c>
      <c r="BF130" s="1005">
        <v>26.25</v>
      </c>
    </row>
    <row r="131" spans="24:66" x14ac:dyDescent="0.35">
      <c r="X131" s="761"/>
      <c r="Y131" s="761"/>
      <c r="Z131" s="761"/>
      <c r="AA131" s="761"/>
      <c r="AB131" s="761"/>
      <c r="AC131" s="761"/>
      <c r="AD131" s="911"/>
      <c r="AE131" s="1293"/>
      <c r="AF131" s="1277" t="s">
        <v>469</v>
      </c>
      <c r="AG131" s="1290">
        <v>4.4000000000000004</v>
      </c>
      <c r="AH131" s="1290">
        <v>4.3</v>
      </c>
      <c r="AI131" s="1290">
        <f t="shared" si="15"/>
        <v>4.3</v>
      </c>
      <c r="AJ131" s="81">
        <v>4.3</v>
      </c>
      <c r="AK131" s="1290"/>
      <c r="AX131" s="111"/>
      <c r="AY131" s="111"/>
      <c r="AZ131" s="1014"/>
      <c r="BC131" s="1005">
        <v>18.75</v>
      </c>
      <c r="BD131" s="1005">
        <v>37.5</v>
      </c>
      <c r="BE131" s="1005">
        <v>11.25</v>
      </c>
      <c r="BF131" s="1005">
        <v>26.25</v>
      </c>
    </row>
    <row r="132" spans="24:66" x14ac:dyDescent="0.35">
      <c r="X132" s="761"/>
      <c r="Y132" s="761"/>
      <c r="Z132" s="761"/>
      <c r="AA132" s="761"/>
      <c r="AB132" s="761"/>
      <c r="AC132" s="761"/>
      <c r="AD132" s="911"/>
      <c r="AE132" s="81"/>
      <c r="AF132" s="81"/>
      <c r="AG132" s="81"/>
      <c r="AH132" s="81"/>
      <c r="AI132" s="81"/>
      <c r="AJ132" s="81"/>
      <c r="AK132" s="81"/>
      <c r="AM132" s="1090" t="s">
        <v>642</v>
      </c>
      <c r="AN132" s="761"/>
      <c r="AP132" s="940" t="s">
        <v>496</v>
      </c>
      <c r="AT132" s="32">
        <v>3.2</v>
      </c>
      <c r="AU132" s="300">
        <f>AZ132*'параметры для расчета'!$I$14</f>
        <v>0</v>
      </c>
      <c r="AV132" s="1004">
        <v>104.02084860814976</v>
      </c>
      <c r="AW132" s="1004">
        <v>104.02084860814976</v>
      </c>
      <c r="AX132" s="1004">
        <v>145.06065089750663</v>
      </c>
      <c r="AY132" s="1004">
        <v>62.981046318792863</v>
      </c>
      <c r="AZ132" s="1014">
        <f>1.2*10^20</f>
        <v>1.2E+20</v>
      </c>
      <c r="BC132" s="1005">
        <v>18.75</v>
      </c>
      <c r="BD132" s="1005">
        <v>37.5</v>
      </c>
      <c r="BE132" s="1005">
        <v>11.25</v>
      </c>
      <c r="BF132" s="1005">
        <v>26.25</v>
      </c>
    </row>
    <row r="133" spans="24:66" x14ac:dyDescent="0.35">
      <c r="X133" s="761"/>
      <c r="Y133" s="761"/>
      <c r="Z133" s="761"/>
      <c r="AA133" s="761"/>
      <c r="AB133" s="761"/>
      <c r="AC133" s="761"/>
      <c r="AD133" s="912"/>
      <c r="AE133" s="1293"/>
      <c r="AF133" s="81"/>
      <c r="AG133" s="81"/>
      <c r="AH133" s="81"/>
      <c r="AI133" s="1278" t="s">
        <v>467</v>
      </c>
      <c r="AJ133" s="81"/>
      <c r="AK133" s="81"/>
      <c r="AL133" s="761"/>
      <c r="AM133" s="761"/>
      <c r="AP133" s="1108" t="s">
        <v>497</v>
      </c>
      <c r="AU133" s="300">
        <f>AZ133*'параметры для расчета'!$I$14</f>
        <v>0</v>
      </c>
      <c r="AV133" s="1004">
        <v>72.22553610814974</v>
      </c>
      <c r="AW133" s="1004">
        <v>72.22553610814974</v>
      </c>
      <c r="AX133" s="1004">
        <v>100.54721339750665</v>
      </c>
      <c r="AY133" s="1004">
        <v>43.903858818792834</v>
      </c>
      <c r="AZ133" s="1014">
        <f>10^20</f>
        <v>1E+20</v>
      </c>
      <c r="BC133" s="1005">
        <v>18.75</v>
      </c>
      <c r="BD133" s="1005">
        <v>37.5</v>
      </c>
      <c r="BE133" s="1005">
        <v>11.25</v>
      </c>
      <c r="BF133" s="1005">
        <v>26.25</v>
      </c>
    </row>
    <row r="134" spans="24:66" x14ac:dyDescent="0.35">
      <c r="X134" s="761"/>
      <c r="Y134" s="761"/>
      <c r="Z134" s="761"/>
      <c r="AA134" s="761"/>
      <c r="AB134" s="761"/>
      <c r="AC134" s="761"/>
      <c r="AD134" s="909"/>
      <c r="AE134" s="81"/>
      <c r="AF134" s="81"/>
      <c r="AG134" s="81"/>
      <c r="AH134" s="81"/>
      <c r="AI134" s="81"/>
      <c r="AJ134" s="81"/>
      <c r="AK134" s="277" t="s">
        <v>471</v>
      </c>
      <c r="AL134" s="761"/>
      <c r="AM134" s="942" t="s">
        <v>643</v>
      </c>
      <c r="AN134" s="761"/>
      <c r="AO134" s="761"/>
      <c r="AP134" s="1107" t="s">
        <v>496</v>
      </c>
      <c r="AU134" s="300">
        <f>AZ134*'параметры для расчета'!$I$14</f>
        <v>0</v>
      </c>
      <c r="AV134" s="1004">
        <v>40.43022360814976</v>
      </c>
      <c r="AW134" s="1004">
        <v>40.43022360814976</v>
      </c>
      <c r="AX134" s="1004">
        <v>56.033775897506665</v>
      </c>
      <c r="AY134" s="1004">
        <v>24.826671318792858</v>
      </c>
      <c r="AZ134" s="1014">
        <f>0.8*10^20</f>
        <v>8E+19</v>
      </c>
      <c r="BC134" s="1005">
        <v>18.75</v>
      </c>
      <c r="BD134" s="1005">
        <v>37.5</v>
      </c>
      <c r="BE134" s="1005">
        <v>11.25</v>
      </c>
      <c r="BF134" s="1005">
        <v>26.25</v>
      </c>
      <c r="BJ134" s="111"/>
      <c r="BK134" s="111"/>
      <c r="BL134" s="111"/>
      <c r="BM134" s="111"/>
      <c r="BN134" s="111"/>
    </row>
    <row r="135" spans="24:66" x14ac:dyDescent="0.35">
      <c r="X135" s="761"/>
      <c r="Y135" s="761"/>
      <c r="Z135" s="761"/>
      <c r="AA135" s="761"/>
      <c r="AB135" s="761"/>
      <c r="AC135" s="761"/>
      <c r="AD135" s="909"/>
      <c r="AE135" s="1293"/>
      <c r="AF135" s="81"/>
      <c r="AG135" s="372" t="s">
        <v>468</v>
      </c>
      <c r="AH135" s="81"/>
      <c r="AI135" s="81"/>
      <c r="AJ135" s="81"/>
      <c r="AK135" s="81"/>
      <c r="AM135" s="761"/>
      <c r="AN135" s="761"/>
      <c r="AO135" s="761"/>
      <c r="AP135" s="941" t="s">
        <v>497</v>
      </c>
      <c r="AU135" s="300">
        <f>AZ135*'параметры для расчета'!$I$14</f>
        <v>0</v>
      </c>
      <c r="AV135" s="1004">
        <v>8.6349111081497529</v>
      </c>
      <c r="AW135" s="1004">
        <v>8.6349111081497529</v>
      </c>
      <c r="AX135" s="1004">
        <v>11.520338397506674</v>
      </c>
      <c r="AY135" s="1004">
        <v>5.7494838187928519</v>
      </c>
      <c r="AZ135" s="1014">
        <f>0.6*10^20</f>
        <v>6E+19</v>
      </c>
      <c r="BB135" s="962"/>
      <c r="BC135" s="110" t="s">
        <v>612</v>
      </c>
      <c r="BD135" s="110" t="s">
        <v>613</v>
      </c>
      <c r="BE135" s="1052" t="s">
        <v>613</v>
      </c>
      <c r="BF135" s="1052" t="s">
        <v>615</v>
      </c>
      <c r="BG135" s="1004"/>
      <c r="BK135" s="761"/>
      <c r="BL135" s="761"/>
      <c r="BM135" s="761"/>
      <c r="BN135" s="761"/>
    </row>
    <row r="136" spans="24:66" x14ac:dyDescent="0.35">
      <c r="X136" s="761"/>
      <c r="Y136" s="761"/>
      <c r="Z136" s="761"/>
      <c r="AA136" s="761"/>
      <c r="AB136" s="761"/>
      <c r="AC136" s="761"/>
      <c r="AD136" s="761"/>
      <c r="AU136" s="300">
        <f>AZ136*'параметры для расчета'!$I$14</f>
        <v>0</v>
      </c>
      <c r="AV136" s="1008">
        <v>-23.16040139185025</v>
      </c>
      <c r="AW136" s="1008">
        <v>-23.16040139185025</v>
      </c>
      <c r="AX136" s="1008">
        <v>-32.993099102493346</v>
      </c>
      <c r="AY136" s="1008">
        <v>-13.327703681207147</v>
      </c>
      <c r="AZ136" s="1014">
        <f>0.4*10^20</f>
        <v>4E+19</v>
      </c>
      <c r="BB136" s="398"/>
      <c r="BC136" s="1053" t="s">
        <v>611</v>
      </c>
      <c r="BD136" s="406" t="s">
        <v>614</v>
      </c>
      <c r="BE136" s="406" t="s">
        <v>617</v>
      </c>
      <c r="BF136" s="406" t="s">
        <v>616</v>
      </c>
      <c r="BG136" s="1004"/>
      <c r="BK136" s="1004"/>
      <c r="BL136" s="1004"/>
      <c r="BM136" s="761"/>
      <c r="BN136" s="761"/>
    </row>
    <row r="137" spans="24:66" x14ac:dyDescent="0.35">
      <c r="Y137" s="761"/>
      <c r="Z137" s="761"/>
      <c r="AA137" s="761"/>
      <c r="AB137" s="761"/>
      <c r="AC137" s="761"/>
      <c r="AD137" s="911"/>
      <c r="AP137" s="1097" t="s">
        <v>637</v>
      </c>
      <c r="AQ137" s="1097" t="s">
        <v>638</v>
      </c>
      <c r="AU137" s="300">
        <f>AZ137*'параметры для расчета'!$I$14</f>
        <v>0</v>
      </c>
      <c r="AV137" s="1008">
        <v>-54.955713891850252</v>
      </c>
      <c r="AW137" s="1008">
        <v>-54.955713891850252</v>
      </c>
      <c r="AX137" s="1008">
        <v>-77.506536602493341</v>
      </c>
      <c r="AY137" s="1008">
        <v>-32.404891181207148</v>
      </c>
      <c r="AZ137" s="1014">
        <f>0.2*10^20</f>
        <v>2E+19</v>
      </c>
      <c r="BG137" s="1004"/>
      <c r="BJ137" s="1004"/>
      <c r="BK137" s="1004"/>
      <c r="BL137" s="1004"/>
      <c r="BM137" s="761"/>
      <c r="BN137" s="761"/>
    </row>
    <row r="138" spans="24:66" x14ac:dyDescent="0.35">
      <c r="X138" s="761"/>
      <c r="Y138" s="761"/>
      <c r="Z138" s="761"/>
      <c r="AA138" s="761"/>
      <c r="AB138" s="761"/>
      <c r="AC138" s="761"/>
      <c r="AD138" s="911"/>
      <c r="AM138" s="1103" t="s">
        <v>639</v>
      </c>
      <c r="AN138" s="908" t="s">
        <v>640</v>
      </c>
      <c r="AO138" s="908" t="s">
        <v>641</v>
      </c>
      <c r="AP138" s="908" t="s">
        <v>415</v>
      </c>
      <c r="AQ138" s="908" t="s">
        <v>415</v>
      </c>
      <c r="AU138" s="300">
        <f>AZ138*'параметры для расчета'!$I$14</f>
        <v>0</v>
      </c>
      <c r="AV138" s="1008">
        <v>-70.853370141850249</v>
      </c>
      <c r="AW138" s="1008">
        <v>-70.853370141850249</v>
      </c>
      <c r="AX138" s="1008">
        <v>-99.763255352493346</v>
      </c>
      <c r="AY138" s="1008">
        <v>-41.943484931207145</v>
      </c>
      <c r="AZ138" s="1014">
        <f>0.1*10^20</f>
        <v>1E+19</v>
      </c>
      <c r="BG138" s="1004"/>
      <c r="BJ138" s="1004"/>
      <c r="BK138" s="1004"/>
      <c r="BL138" s="1004"/>
      <c r="BM138" s="761"/>
      <c r="BN138" s="761"/>
    </row>
    <row r="139" spans="24:66" x14ac:dyDescent="0.35">
      <c r="X139" s="761"/>
      <c r="Y139" s="761"/>
      <c r="Z139" s="761"/>
      <c r="AA139" s="761"/>
      <c r="AB139" s="761"/>
      <c r="AC139" s="761"/>
      <c r="AD139" s="912"/>
      <c r="AF139" s="761"/>
      <c r="AG139" s="761"/>
      <c r="AH139" s="776"/>
      <c r="AI139" s="920" t="s">
        <v>463</v>
      </c>
      <c r="AJ139" s="761"/>
      <c r="AM139" s="1086">
        <f>1.46*(AO139*(1-AO139))/(0.5*0.5)</f>
        <v>0.52560000000000007</v>
      </c>
      <c r="AN139" s="780">
        <v>0.35</v>
      </c>
      <c r="AO139" s="761">
        <v>0.1</v>
      </c>
      <c r="AP139" s="761">
        <v>7.68</v>
      </c>
      <c r="AQ139" s="761">
        <v>2.3199999999999998</v>
      </c>
      <c r="BG139" s="1004"/>
      <c r="BJ139" s="1004"/>
      <c r="BK139" s="1004"/>
      <c r="BL139" s="1004"/>
      <c r="BM139" s="761"/>
      <c r="BN139" s="761"/>
    </row>
    <row r="140" spans="24:66" x14ac:dyDescent="0.35">
      <c r="X140" s="761"/>
      <c r="Y140" s="761"/>
      <c r="Z140" s="761"/>
      <c r="AA140" s="761"/>
      <c r="AB140" s="761"/>
      <c r="AC140" s="761"/>
      <c r="AD140" s="909"/>
      <c r="AF140" s="761"/>
      <c r="AG140" s="761"/>
      <c r="AH140" s="761"/>
      <c r="AI140" s="761"/>
      <c r="AJ140" s="761"/>
      <c r="AM140" s="1086">
        <f>1.46*(AO140*(1-AO140))/(0.5*0.5)</f>
        <v>0.93440000000000012</v>
      </c>
      <c r="AN140" s="780">
        <v>0.68</v>
      </c>
      <c r="AO140" s="761">
        <v>0.2</v>
      </c>
      <c r="AP140" s="761">
        <v>14.5</v>
      </c>
      <c r="AQ140" s="761">
        <v>4.8</v>
      </c>
      <c r="BG140" s="1008"/>
      <c r="BJ140" s="1008"/>
      <c r="BK140" s="1008"/>
      <c r="BL140" s="1008"/>
      <c r="BM140" s="761"/>
      <c r="BN140" s="761"/>
    </row>
    <row r="141" spans="24:66" x14ac:dyDescent="0.35">
      <c r="X141" s="761"/>
      <c r="Y141" s="761"/>
      <c r="Z141" s="761"/>
      <c r="AA141" s="761"/>
      <c r="AB141" s="761"/>
      <c r="AC141" s="761"/>
      <c r="AD141" s="909"/>
      <c r="AF141" s="1278" t="s">
        <v>49</v>
      </c>
      <c r="AG141" s="1267">
        <f>результаты!$BK$36</f>
        <v>562.69918368679407</v>
      </c>
      <c r="AH141" s="1268">
        <f>результаты!$BL$36</f>
        <v>548.32698720389726</v>
      </c>
      <c r="AI141" s="1269">
        <f>результаты!$BM$36</f>
        <v>440.67643539518565</v>
      </c>
      <c r="AJ141" s="566" t="s">
        <v>2</v>
      </c>
      <c r="AM141" s="1086">
        <f>1.46*(AO141*(1-AO141))/(0.5*0.5)</f>
        <v>1.2263999999999999</v>
      </c>
      <c r="AN141" s="780">
        <v>0.97</v>
      </c>
      <c r="AO141" s="761">
        <v>0.3</v>
      </c>
      <c r="AP141" s="761">
        <v>20.2</v>
      </c>
      <c r="AQ141" s="761">
        <v>7.3</v>
      </c>
      <c r="BG141" s="1008"/>
      <c r="BJ141" s="1008"/>
      <c r="BK141" s="1008"/>
      <c r="BL141" s="1008"/>
      <c r="BM141" s="761"/>
      <c r="BN141" s="761"/>
    </row>
    <row r="142" spans="24:66" x14ac:dyDescent="0.35">
      <c r="X142" s="761"/>
      <c r="Y142" s="761"/>
      <c r="Z142" s="761"/>
      <c r="AA142" s="761"/>
      <c r="AB142" s="761"/>
      <c r="AC142" s="761"/>
      <c r="AD142" s="761"/>
      <c r="AF142" s="1279" t="s">
        <v>151</v>
      </c>
      <c r="AG142" s="1270">
        <f>результаты!$BK$39</f>
        <v>881.91280547499025</v>
      </c>
      <c r="AH142" s="1271">
        <f>результаты!$BL$39</f>
        <v>868.73556382495383</v>
      </c>
      <c r="AI142" s="1272">
        <f>результаты!$BM$39</f>
        <v>779.37794275884494</v>
      </c>
      <c r="AJ142" s="566" t="s">
        <v>2</v>
      </c>
      <c r="AM142" s="1086">
        <f>1.46*(AO142*(1-AO142))/(0.5*0.5)</f>
        <v>1.4016</v>
      </c>
      <c r="AN142" s="780">
        <v>1.21</v>
      </c>
      <c r="AO142" s="761">
        <v>0.4</v>
      </c>
      <c r="AP142" s="761">
        <v>24</v>
      </c>
      <c r="AQ142" s="761">
        <v>10</v>
      </c>
      <c r="BK142" s="111"/>
      <c r="BL142" s="111"/>
      <c r="BM142" s="761"/>
      <c r="BN142" s="761"/>
    </row>
    <row r="143" spans="24:66" x14ac:dyDescent="0.35">
      <c r="X143" s="761"/>
      <c r="Y143" s="761"/>
      <c r="Z143" s="761"/>
      <c r="AA143" s="761"/>
      <c r="AB143" s="761"/>
      <c r="AC143" s="761"/>
      <c r="AD143" s="911"/>
      <c r="AF143" s="81"/>
      <c r="AG143" s="1273">
        <f>результаты!$BK$32</f>
        <v>344.81408733907176</v>
      </c>
      <c r="AH143" s="1274">
        <f>результаты!$BL$32</f>
        <v>345.41156475550201</v>
      </c>
      <c r="AI143" s="1275">
        <f>результаты!$BM$32</f>
        <v>354.55803012680332</v>
      </c>
      <c r="AJ143" s="566" t="s">
        <v>2</v>
      </c>
      <c r="AM143" s="1104">
        <f>1.46</f>
        <v>1.46</v>
      </c>
      <c r="AN143" s="1105">
        <v>1.34</v>
      </c>
      <c r="AO143" s="1106">
        <v>0.5</v>
      </c>
      <c r="AP143" s="1106">
        <v>25.4</v>
      </c>
      <c r="AQ143" s="1106">
        <v>12.5</v>
      </c>
      <c r="AU143" s="1015">
        <v>0.5</v>
      </c>
      <c r="AV143" s="1015"/>
      <c r="AW143" s="1015">
        <v>0.7</v>
      </c>
      <c r="AX143" s="1015"/>
      <c r="AY143" s="1015">
        <v>0.5</v>
      </c>
      <c r="AZ143" s="1015"/>
      <c r="BA143" s="1015">
        <v>0.7</v>
      </c>
      <c r="BB143" s="1015"/>
      <c r="BC143" s="1015">
        <v>0.5</v>
      </c>
      <c r="BD143" s="1015"/>
      <c r="BE143" s="1015">
        <v>0.7</v>
      </c>
      <c r="BF143" s="1015"/>
      <c r="BK143" s="1004"/>
      <c r="BL143" s="1004"/>
      <c r="BM143" s="761"/>
      <c r="BN143" s="761"/>
    </row>
    <row r="144" spans="24:66" ht="13.5" customHeight="1" x14ac:dyDescent="0.6">
      <c r="X144" s="732"/>
      <c r="AF144" s="1277" t="s">
        <v>465</v>
      </c>
      <c r="AG144" s="1256">
        <f>результаты!AF40</f>
        <v>60.000000000000007</v>
      </c>
      <c r="AH144" s="1276">
        <f>результаты!AF41</f>
        <v>60.000000000000007</v>
      </c>
      <c r="AI144" s="1276">
        <f>AH144</f>
        <v>60.000000000000007</v>
      </c>
      <c r="AJ144" s="102" t="s">
        <v>9</v>
      </c>
      <c r="AM144" s="1266">
        <f>1.46*(AO144*(1-AO144))/(0.5*0.5)</f>
        <v>1.4016</v>
      </c>
      <c r="AN144" s="83">
        <v>1.45</v>
      </c>
      <c r="AO144" s="81">
        <v>0.6</v>
      </c>
      <c r="AP144" s="81">
        <v>24.5</v>
      </c>
      <c r="AQ144" s="81">
        <v>16.600000000000001</v>
      </c>
      <c r="AU144" s="768" t="s">
        <v>172</v>
      </c>
      <c r="AV144" s="769" t="s">
        <v>283</v>
      </c>
      <c r="AW144" s="768" t="s">
        <v>172</v>
      </c>
      <c r="AX144" s="769" t="s">
        <v>283</v>
      </c>
      <c r="AY144" s="768" t="s">
        <v>172</v>
      </c>
      <c r="AZ144" s="769" t="s">
        <v>283</v>
      </c>
      <c r="BA144" s="768" t="s">
        <v>172</v>
      </c>
      <c r="BB144" s="769" t="s">
        <v>283</v>
      </c>
      <c r="BC144" s="768" t="s">
        <v>172</v>
      </c>
      <c r="BD144" s="769" t="s">
        <v>283</v>
      </c>
      <c r="BE144" s="768" t="s">
        <v>172</v>
      </c>
      <c r="BF144" s="769" t="s">
        <v>283</v>
      </c>
      <c r="BG144" s="1006" t="s">
        <v>584</v>
      </c>
      <c r="BK144" s="1004"/>
      <c r="BL144" s="1004"/>
      <c r="BM144" s="761"/>
      <c r="BN144" s="761"/>
    </row>
    <row r="145" spans="24:66" x14ac:dyDescent="0.35">
      <c r="X145" s="732"/>
      <c r="AF145" s="1277" t="s">
        <v>466</v>
      </c>
      <c r="AG145" s="1256" t="e">
        <f>результаты!#REF!</f>
        <v>#REF!</v>
      </c>
      <c r="AH145" s="1276" t="e">
        <f>результаты!#REF!</f>
        <v>#REF!</v>
      </c>
      <c r="AI145" s="1276" t="e">
        <f>AH145</f>
        <v>#REF!</v>
      </c>
      <c r="AJ145" s="102" t="s">
        <v>253</v>
      </c>
      <c r="AM145" s="1091">
        <f>1.46*(AO145*(1-AO145))/(0.5*0.5)</f>
        <v>1.2264000000000002</v>
      </c>
      <c r="AN145" s="1090">
        <v>1.47</v>
      </c>
      <c r="AO145" s="770">
        <v>0.7</v>
      </c>
      <c r="AP145" s="770">
        <v>22.3</v>
      </c>
      <c r="AQ145" s="770">
        <v>19.2</v>
      </c>
      <c r="AU145" s="1004">
        <v>268.84774860814974</v>
      </c>
      <c r="AV145" s="1004">
        <v>268.84774860814974</v>
      </c>
      <c r="AW145" s="1004">
        <v>375.81831089750654</v>
      </c>
      <c r="AX145" s="1004">
        <v>161.87718631879284</v>
      </c>
      <c r="AY145" s="1004">
        <v>421.97397360814972</v>
      </c>
      <c r="AZ145" s="1004">
        <v>421.97397360814972</v>
      </c>
      <c r="BA145" s="1004">
        <v>590.19502589750653</v>
      </c>
      <c r="BB145" s="1004">
        <v>253.75292131879283</v>
      </c>
      <c r="BC145" s="504">
        <v>65.866473608149775</v>
      </c>
      <c r="BD145" s="504">
        <v>65.866473608149775</v>
      </c>
      <c r="BE145" s="504">
        <v>91.644525897506668</v>
      </c>
      <c r="BF145" s="504">
        <v>40.088421318792861</v>
      </c>
      <c r="BG145" s="166">
        <v>1</v>
      </c>
      <c r="BK145" s="1004"/>
      <c r="BL145" s="1004"/>
      <c r="BM145" s="761"/>
      <c r="BN145" s="761"/>
    </row>
    <row r="146" spans="24:66" x14ac:dyDescent="0.35">
      <c r="X146" s="732"/>
      <c r="AF146" s="1277" t="s">
        <v>469</v>
      </c>
      <c r="AG146" s="1256" t="e">
        <f>результаты!#REF!</f>
        <v>#REF!</v>
      </c>
      <c r="AH146" s="1276" t="e">
        <f>результаты!#REF!</f>
        <v>#REF!</v>
      </c>
      <c r="AI146" s="1276" t="e">
        <f>AH146</f>
        <v>#REF!</v>
      </c>
      <c r="AJ146" s="102" t="s">
        <v>253</v>
      </c>
      <c r="AM146" s="1086">
        <f>1.46*(AO146*(1-AO146))/(0.5*0.5)</f>
        <v>0.93439999999999979</v>
      </c>
      <c r="AN146" s="780">
        <v>1.43</v>
      </c>
      <c r="AO146" s="761">
        <v>0.8</v>
      </c>
      <c r="AP146" s="761">
        <v>16.8</v>
      </c>
      <c r="AQ146" s="761">
        <v>23.5</v>
      </c>
      <c r="AU146" s="1004">
        <v>209.58128610814973</v>
      </c>
      <c r="AV146" s="1004">
        <v>209.58128610814973</v>
      </c>
      <c r="AW146" s="1004">
        <v>292.84526339750659</v>
      </c>
      <c r="AX146" s="1004">
        <v>126.31730881879285</v>
      </c>
      <c r="AY146" s="1004">
        <v>337.18647360814975</v>
      </c>
      <c r="AZ146" s="1004">
        <v>337.18647360814975</v>
      </c>
      <c r="BA146" s="1004">
        <v>471.49252589750654</v>
      </c>
      <c r="BB146" s="1004">
        <v>202.88042131879283</v>
      </c>
      <c r="BC146" s="504">
        <v>40.430223608149781</v>
      </c>
      <c r="BD146" s="504">
        <v>40.430223608149781</v>
      </c>
      <c r="BE146" s="504">
        <v>56.033775897506693</v>
      </c>
      <c r="BF146" s="504">
        <v>24.826671318792858</v>
      </c>
      <c r="BG146" s="166">
        <v>1.2</v>
      </c>
      <c r="BK146" s="1004"/>
      <c r="BL146" s="1004"/>
      <c r="BM146" s="761"/>
      <c r="BN146" s="761"/>
    </row>
    <row r="147" spans="24:66" x14ac:dyDescent="0.35">
      <c r="X147" s="732"/>
      <c r="AC147" s="779" t="s">
        <v>385</v>
      </c>
      <c r="AM147" s="1086">
        <f>1.46*(AO147*(1-AO147))/(0.5*0.5)</f>
        <v>0.52559999999999985</v>
      </c>
      <c r="AN147" s="780">
        <v>1.2</v>
      </c>
      <c r="AO147" s="761">
        <v>0.9</v>
      </c>
      <c r="AP147" s="761">
        <v>9.41</v>
      </c>
      <c r="AQ147" s="761">
        <v>24.49</v>
      </c>
      <c r="AU147" s="1004">
        <v>167.24809860814975</v>
      </c>
      <c r="AV147" s="1004">
        <v>167.24809860814975</v>
      </c>
      <c r="AW147" s="1004">
        <v>233.57880089750665</v>
      </c>
      <c r="AX147" s="1004">
        <v>100.91739631879284</v>
      </c>
      <c r="AY147" s="1004">
        <v>276.62397360814975</v>
      </c>
      <c r="AZ147" s="1004">
        <v>276.62397360814975</v>
      </c>
      <c r="BA147" s="1004">
        <v>386.70502589750657</v>
      </c>
      <c r="BB147" s="1004">
        <v>166.54292131879285</v>
      </c>
      <c r="BC147" s="504">
        <v>22.261473608149775</v>
      </c>
      <c r="BD147" s="504">
        <v>22.261473608149775</v>
      </c>
      <c r="BE147" s="504">
        <v>30.597525897506692</v>
      </c>
      <c r="BF147" s="504">
        <v>13.925421318792866</v>
      </c>
      <c r="BG147" s="166">
        <v>1.4</v>
      </c>
      <c r="BK147" s="1008"/>
      <c r="BL147" s="1008"/>
      <c r="BM147" s="761"/>
      <c r="BN147" s="761"/>
    </row>
    <row r="148" spans="24:66" x14ac:dyDescent="0.35">
      <c r="X148" s="732"/>
      <c r="AU148" s="1004">
        <v>135.49820798314974</v>
      </c>
      <c r="AV148" s="1004">
        <v>135.49820798314974</v>
      </c>
      <c r="AW148" s="1004">
        <v>189.1289540225066</v>
      </c>
      <c r="AX148" s="1004">
        <v>81.867461943792847</v>
      </c>
      <c r="AY148" s="1004">
        <v>231.20209860814967</v>
      </c>
      <c r="AZ148" s="1004">
        <v>231.20209860814967</v>
      </c>
      <c r="BA148" s="1004">
        <v>323.11440089750658</v>
      </c>
      <c r="BB148" s="1004">
        <v>139.28979631879284</v>
      </c>
      <c r="BC148" s="504">
        <v>8.6349111081497529</v>
      </c>
      <c r="BD148" s="504">
        <v>8.6349111081497529</v>
      </c>
      <c r="BE148" s="504">
        <v>11.520338397506674</v>
      </c>
      <c r="BF148" s="504">
        <v>5.7494838187928519</v>
      </c>
      <c r="BG148" s="166">
        <v>1.6</v>
      </c>
      <c r="BK148" s="1008"/>
      <c r="BL148" s="1008"/>
    </row>
    <row r="149" spans="24:66" x14ac:dyDescent="0.35">
      <c r="X149" s="732"/>
      <c r="AF149" s="903" t="s">
        <v>458</v>
      </c>
      <c r="AG149" s="903" t="s">
        <v>459</v>
      </c>
      <c r="AH149" s="903" t="s">
        <v>461</v>
      </c>
      <c r="AI149" s="903" t="s">
        <v>462</v>
      </c>
      <c r="AJ149" s="784"/>
      <c r="AL149" s="761"/>
      <c r="AM149" s="761"/>
      <c r="AN149" s="761"/>
      <c r="AO149" s="761"/>
      <c r="AP149" s="761"/>
      <c r="AU149" s="1004">
        <v>110.80384860814975</v>
      </c>
      <c r="AV149" s="1004">
        <v>110.80384860814975</v>
      </c>
      <c r="AW149" s="1004">
        <v>154.55685089750662</v>
      </c>
      <c r="AX149" s="1004">
        <v>67.05084631879285</v>
      </c>
      <c r="AY149" s="1004">
        <v>195.87397360814973</v>
      </c>
      <c r="AZ149" s="1004">
        <v>195.87397360814973</v>
      </c>
      <c r="BA149" s="1004">
        <v>273.65502589750668</v>
      </c>
      <c r="BB149" s="1004">
        <v>118.09292131879283</v>
      </c>
      <c r="BC149" s="504">
        <v>-1.9635263918502446</v>
      </c>
      <c r="BD149" s="504">
        <v>-1.9635263918502446</v>
      </c>
      <c r="BE149" s="504">
        <v>-3.3174741024933412</v>
      </c>
      <c r="BF149" s="504">
        <v>-0.60957868120714775</v>
      </c>
      <c r="BG149" s="166">
        <v>1.8</v>
      </c>
      <c r="BK149" s="1008"/>
      <c r="BL149" s="1008"/>
    </row>
    <row r="150" spans="24:66" x14ac:dyDescent="0.35">
      <c r="X150" s="732"/>
      <c r="AF150" s="784" t="s">
        <v>455</v>
      </c>
      <c r="AG150" s="784" t="s">
        <v>460</v>
      </c>
      <c r="AH150" s="784" t="s">
        <v>455</v>
      </c>
      <c r="AI150" s="784" t="s">
        <v>455</v>
      </c>
      <c r="AJ150" s="784"/>
      <c r="AL150" s="761"/>
      <c r="AU150" s="1004">
        <v>91.048361108149763</v>
      </c>
      <c r="AV150" s="1004">
        <v>91.048361108149763</v>
      </c>
      <c r="AW150" s="1004">
        <v>126.89916839750661</v>
      </c>
      <c r="AX150" s="1004">
        <v>55.197553818792841</v>
      </c>
      <c r="AY150" s="1004">
        <v>167.61147360814971</v>
      </c>
      <c r="AZ150" s="1004">
        <v>167.61147360814971</v>
      </c>
      <c r="BA150" s="1004">
        <v>234.08752589750662</v>
      </c>
      <c r="BB150" s="1004">
        <v>101.13542131879285</v>
      </c>
      <c r="BC150" s="504"/>
      <c r="BD150" s="19"/>
      <c r="BE150" s="504"/>
      <c r="BF150" s="504"/>
      <c r="BG150" s="166">
        <v>2</v>
      </c>
      <c r="BK150" s="111"/>
      <c r="BL150" s="111"/>
    </row>
    <row r="151" spans="24:66" x14ac:dyDescent="0.35">
      <c r="X151" s="732"/>
      <c r="AF151" s="784">
        <f>AH151+AI151</f>
        <v>38.5</v>
      </c>
      <c r="AG151" s="784">
        <v>1.37</v>
      </c>
      <c r="AH151" s="784">
        <v>19.600000000000001</v>
      </c>
      <c r="AI151" s="784">
        <v>18.899999999999999</v>
      </c>
      <c r="AJ151" s="905" t="s">
        <v>456</v>
      </c>
      <c r="AL151" s="761"/>
      <c r="AN151" s="776" t="s">
        <v>473</v>
      </c>
      <c r="AO151" s="776" t="s">
        <v>469</v>
      </c>
      <c r="AP151" s="936" t="s">
        <v>490</v>
      </c>
      <c r="AU151" s="1004">
        <v>74.884780426331574</v>
      </c>
      <c r="AV151" s="1004">
        <v>74.884780426331574</v>
      </c>
      <c r="AW151" s="1004">
        <v>104.27015544296117</v>
      </c>
      <c r="AX151" s="1004">
        <v>45.499405409701929</v>
      </c>
      <c r="AY151" s="1004">
        <v>144.4876099717861</v>
      </c>
      <c r="AZ151" s="1004">
        <v>144.4876099717861</v>
      </c>
      <c r="BA151" s="1004">
        <v>201.7141168065975</v>
      </c>
      <c r="BB151" s="1004">
        <v>87.261103136974654</v>
      </c>
      <c r="BC151" s="504"/>
      <c r="BD151" s="19"/>
      <c r="BE151" s="504"/>
      <c r="BF151" s="504"/>
      <c r="BG151" s="166">
        <v>2.2000000000000002</v>
      </c>
      <c r="BK151" s="1004"/>
      <c r="BL151" s="1004"/>
    </row>
    <row r="152" spans="24:66" x14ac:dyDescent="0.35">
      <c r="X152" s="732"/>
      <c r="AF152" s="784">
        <f>AH152+AI152</f>
        <v>39.9</v>
      </c>
      <c r="AG152" s="784">
        <v>1.42</v>
      </c>
      <c r="AH152" s="784">
        <v>18.5</v>
      </c>
      <c r="AI152" s="784">
        <v>21.4</v>
      </c>
      <c r="AJ152" s="906" t="s">
        <v>457</v>
      </c>
      <c r="AL152" s="761"/>
      <c r="AM152" s="776" t="s">
        <v>472</v>
      </c>
      <c r="AN152" s="931">
        <v>4</v>
      </c>
      <c r="AO152" s="1109" t="e">
        <f>#REF!</f>
        <v>#REF!</v>
      </c>
      <c r="AP152" s="1109" t="e">
        <f>#REF!</f>
        <v>#REF!</v>
      </c>
      <c r="AU152" s="1007">
        <v>61.415129858149761</v>
      </c>
      <c r="AV152" s="1007">
        <v>61.415129858149761</v>
      </c>
      <c r="AW152" s="1007">
        <v>85.412644647506653</v>
      </c>
      <c r="AX152" s="1007">
        <v>37.417615068792848</v>
      </c>
      <c r="AY152" s="1007">
        <v>125.21772360814975</v>
      </c>
      <c r="AZ152" s="1007">
        <v>125.21772360814975</v>
      </c>
      <c r="BA152" s="1007">
        <v>174.73627589750663</v>
      </c>
      <c r="BB152" s="1007">
        <v>75.69917131879285</v>
      </c>
      <c r="BC152" s="1009"/>
      <c r="BD152" s="19"/>
      <c r="BE152" s="1009"/>
      <c r="BF152" s="1009"/>
      <c r="BG152" s="166">
        <v>2.4</v>
      </c>
      <c r="BK152" s="1004"/>
      <c r="BL152" s="1004"/>
    </row>
    <row r="153" spans="24:66" x14ac:dyDescent="0.35">
      <c r="X153" s="761"/>
      <c r="Y153" s="761"/>
      <c r="Z153" s="761"/>
      <c r="AA153" s="761"/>
      <c r="AB153" s="761"/>
      <c r="AC153" s="761"/>
      <c r="AD153" s="761"/>
      <c r="AE153" s="761"/>
      <c r="AF153" s="761"/>
      <c r="AG153" s="761"/>
      <c r="AH153" s="761"/>
      <c r="AI153" s="761"/>
      <c r="AJ153" s="761"/>
      <c r="AK153" s="761"/>
      <c r="AL153" s="761"/>
      <c r="AM153" s="932">
        <v>0.7</v>
      </c>
      <c r="AN153" s="784">
        <v>1.75</v>
      </c>
      <c r="AO153" s="784">
        <v>36.4</v>
      </c>
      <c r="AP153" s="784">
        <v>26.2</v>
      </c>
      <c r="AU153" s="1004">
        <v>50.017733223534378</v>
      </c>
      <c r="AV153" s="1004">
        <v>50.017733223534378</v>
      </c>
      <c r="AW153" s="1004">
        <v>69.456289359045087</v>
      </c>
      <c r="AX153" s="1004">
        <v>30.579177088023613</v>
      </c>
      <c r="AY153" s="1004">
        <v>108.91243514661129</v>
      </c>
      <c r="AZ153" s="1004">
        <v>108.91243514661129</v>
      </c>
      <c r="BA153" s="1004">
        <v>151.9088720513528</v>
      </c>
      <c r="BB153" s="1004">
        <v>65.915998241869758</v>
      </c>
      <c r="BC153" s="504"/>
      <c r="BD153" s="19"/>
      <c r="BE153" s="504"/>
      <c r="BF153" s="504"/>
      <c r="BG153" s="166">
        <v>2.6</v>
      </c>
      <c r="BK153" s="1004"/>
      <c r="BL153" s="1004"/>
    </row>
    <row r="154" spans="24:66" x14ac:dyDescent="0.35">
      <c r="X154" s="761"/>
      <c r="Y154" s="761"/>
      <c r="Z154" s="761"/>
      <c r="AA154" s="761"/>
      <c r="AB154" s="761"/>
      <c r="AC154" s="761"/>
      <c r="AD154" s="761"/>
      <c r="AE154" s="778" t="s">
        <v>474</v>
      </c>
      <c r="AF154" s="761"/>
      <c r="AG154" s="761"/>
      <c r="AH154" s="761"/>
      <c r="AI154" s="778" t="s">
        <v>475</v>
      </c>
      <c r="AJ154" s="761"/>
      <c r="AK154" s="761"/>
      <c r="AL154" s="761"/>
      <c r="AM154" s="932">
        <v>0.6</v>
      </c>
      <c r="AN154" s="784">
        <v>1.75</v>
      </c>
      <c r="AO154" s="784">
        <v>36.700000000000003</v>
      </c>
      <c r="AP154" s="784">
        <v>26.3</v>
      </c>
      <c r="AQ154" s="966" t="s">
        <v>470</v>
      </c>
      <c r="AU154" s="1004">
        <v>40.248536108149771</v>
      </c>
      <c r="AV154" s="1004">
        <v>40.248536108149771</v>
      </c>
      <c r="AW154" s="1004">
        <v>55.779413397506673</v>
      </c>
      <c r="AX154" s="1004">
        <v>24.717658818792842</v>
      </c>
      <c r="AY154" s="1004">
        <v>94.936473608149768</v>
      </c>
      <c r="AZ154" s="1004">
        <v>94.936473608149768</v>
      </c>
      <c r="BA154" s="1004">
        <v>132.34252589750662</v>
      </c>
      <c r="BB154" s="1004">
        <v>57.530421318792847</v>
      </c>
      <c r="BC154" s="504"/>
      <c r="BD154" s="19"/>
      <c r="BE154" s="504"/>
      <c r="BF154" s="504"/>
      <c r="BG154" s="166">
        <v>2.8</v>
      </c>
      <c r="BK154" s="1004"/>
      <c r="BL154" s="1004"/>
    </row>
    <row r="155" spans="24:66" x14ac:dyDescent="0.35">
      <c r="Y155" s="761"/>
      <c r="Z155" s="761"/>
      <c r="AA155" s="761"/>
      <c r="AB155" s="761"/>
      <c r="AC155" s="761"/>
      <c r="AD155" s="761"/>
      <c r="AE155" s="916">
        <f>AG114</f>
        <v>1517</v>
      </c>
      <c r="AF155" s="915">
        <f>AH114</f>
        <v>641</v>
      </c>
      <c r="AG155" s="766">
        <f>AJ114</f>
        <v>641</v>
      </c>
      <c r="AH155" s="938">
        <v>0.7</v>
      </c>
      <c r="AI155" s="867">
        <f>AG116</f>
        <v>11</v>
      </c>
      <c r="AJ155" s="915">
        <f>AH116</f>
        <v>499</v>
      </c>
      <c r="AK155" s="766">
        <f>AJ116</f>
        <v>499</v>
      </c>
      <c r="AL155" s="761"/>
      <c r="AM155" s="932">
        <v>0.5</v>
      </c>
      <c r="AN155" s="784">
        <v>1.75</v>
      </c>
      <c r="AO155" s="784">
        <v>38.4</v>
      </c>
      <c r="AP155" s="784">
        <v>27.4</v>
      </c>
      <c r="AU155" s="1004">
        <v>31.781898608149763</v>
      </c>
      <c r="AV155" s="1004">
        <v>31.781898608149763</v>
      </c>
      <c r="AW155" s="1004">
        <v>43.926120897506649</v>
      </c>
      <c r="AX155" s="1004">
        <v>19.637676318792842</v>
      </c>
      <c r="AY155" s="1004">
        <v>82.823973608149743</v>
      </c>
      <c r="AZ155" s="1004">
        <v>82.823973608149743</v>
      </c>
      <c r="BA155" s="1004">
        <v>115.38502589750662</v>
      </c>
      <c r="BB155" s="1004">
        <v>50.262921318792841</v>
      </c>
      <c r="BC155" s="504"/>
      <c r="BD155" s="19"/>
      <c r="BE155" s="504"/>
      <c r="BF155" s="504"/>
      <c r="BG155" s="166">
        <v>3</v>
      </c>
      <c r="BK155" s="1008"/>
      <c r="BL155" s="1008"/>
    </row>
    <row r="156" spans="24:66" x14ac:dyDescent="0.35">
      <c r="Y156" s="761"/>
      <c r="Z156" s="761"/>
      <c r="AA156" s="761"/>
      <c r="AB156" s="761"/>
      <c r="AC156" s="761"/>
      <c r="AD156" s="761"/>
      <c r="AE156" s="916">
        <f>AG120</f>
        <v>1396</v>
      </c>
      <c r="AF156" s="915">
        <f>AH120</f>
        <v>635</v>
      </c>
      <c r="AG156" s="766">
        <f>AJ120</f>
        <v>636</v>
      </c>
      <c r="AH156" s="938">
        <v>0.6</v>
      </c>
      <c r="AI156" s="867">
        <f>AG122</f>
        <v>335</v>
      </c>
      <c r="AJ156" s="915">
        <f>AH122</f>
        <v>462</v>
      </c>
      <c r="AK156" s="766">
        <f>AJ122</f>
        <v>462</v>
      </c>
      <c r="AL156" s="761"/>
      <c r="AM156" s="761"/>
      <c r="AN156" s="937">
        <f>AN152/AN153</f>
        <v>2.2857142857142856</v>
      </c>
      <c r="AO156" s="937" t="e">
        <f>AO153/AO152</f>
        <v>#REF!</v>
      </c>
      <c r="AP156" s="937" t="e">
        <f>AP153/AP152</f>
        <v>#REF!</v>
      </c>
      <c r="AU156" s="1004">
        <v>24.373590795649744</v>
      </c>
      <c r="AV156" s="1004">
        <v>24.373590795649744</v>
      </c>
      <c r="AW156" s="1004">
        <v>33.554489960006656</v>
      </c>
      <c r="AX156" s="1004">
        <v>15.192691631292842</v>
      </c>
      <c r="AY156" s="1004">
        <v>72.22553610814974</v>
      </c>
      <c r="AZ156" s="1004">
        <v>72.22553610814974</v>
      </c>
      <c r="BA156" s="1004">
        <v>100.54721339750665</v>
      </c>
      <c r="BB156" s="1004">
        <v>43.903858818792834</v>
      </c>
      <c r="BC156" s="504"/>
      <c r="BD156" s="19"/>
      <c r="BE156" s="504"/>
      <c r="BF156" s="504"/>
      <c r="BG156" s="166">
        <v>3.2</v>
      </c>
      <c r="BK156" s="1008"/>
      <c r="BL156" s="1008"/>
    </row>
    <row r="157" spans="24:66" x14ac:dyDescent="0.35">
      <c r="Y157" s="761"/>
      <c r="Z157" s="761"/>
      <c r="AA157" s="761"/>
      <c r="AB157" s="761"/>
      <c r="AC157" s="761"/>
      <c r="AD157" s="761"/>
      <c r="AE157" s="916">
        <f>AG126</f>
        <v>1268</v>
      </c>
      <c r="AF157" s="915">
        <f>AH126</f>
        <v>625</v>
      </c>
      <c r="AG157" s="766">
        <f>AJ126</f>
        <v>626</v>
      </c>
      <c r="AH157" s="938">
        <v>0.5</v>
      </c>
      <c r="AI157" s="939">
        <f>AG128</f>
        <v>455</v>
      </c>
      <c r="AJ157" s="915">
        <f>AH128</f>
        <v>255</v>
      </c>
      <c r="AK157" s="766">
        <f>AJ128</f>
        <v>255</v>
      </c>
      <c r="AL157" s="761"/>
      <c r="AM157" s="770"/>
      <c r="AN157" s="913" t="s">
        <v>494</v>
      </c>
      <c r="AQ157" s="913" t="s">
        <v>477</v>
      </c>
      <c r="AU157" s="1004">
        <v>17.836848608149754</v>
      </c>
      <c r="AV157" s="1004">
        <v>17.836848608149754</v>
      </c>
      <c r="AW157" s="1004">
        <v>24.40305089750667</v>
      </c>
      <c r="AX157" s="1004">
        <v>11.270646318792842</v>
      </c>
      <c r="AY157" s="1004">
        <v>62.873973608149761</v>
      </c>
      <c r="AZ157" s="1004">
        <v>62.873973608149761</v>
      </c>
      <c r="BA157" s="1004">
        <v>87.455025897506658</v>
      </c>
      <c r="BB157" s="1004">
        <v>38.292921318792843</v>
      </c>
      <c r="BC157" s="504"/>
      <c r="BD157" s="19"/>
      <c r="BE157" s="504"/>
      <c r="BF157" s="504"/>
      <c r="BG157" s="166">
        <v>3.4</v>
      </c>
      <c r="BK157" s="1008"/>
      <c r="BL157" s="1008"/>
    </row>
    <row r="158" spans="24:66" x14ac:dyDescent="0.35">
      <c r="X158" s="761"/>
      <c r="Y158" s="761"/>
      <c r="Z158" s="761"/>
      <c r="AA158" s="761"/>
      <c r="AB158" s="761"/>
      <c r="AC158" s="761"/>
      <c r="AD158" s="761"/>
      <c r="AE158" s="761"/>
      <c r="AF158" s="761"/>
      <c r="AG158" s="761"/>
      <c r="AH158" s="761"/>
      <c r="AI158" s="761"/>
      <c r="AJ158" s="761"/>
      <c r="AK158" s="761"/>
      <c r="AL158" s="761"/>
      <c r="AO158" s="770" t="s">
        <v>477</v>
      </c>
      <c r="AU158" s="1004">
        <v>12.026411108149743</v>
      </c>
      <c r="AV158" s="1004">
        <v>12.026411108149743</v>
      </c>
      <c r="AW158" s="1004">
        <v>16.268438397506657</v>
      </c>
      <c r="AX158" s="1004">
        <v>7.7843838187928487</v>
      </c>
      <c r="AY158" s="1004">
        <v>54.561473608149761</v>
      </c>
      <c r="AZ158" s="1004">
        <v>54.561473608149761</v>
      </c>
      <c r="BA158" s="1004">
        <v>75.81752589750667</v>
      </c>
      <c r="BB158" s="1004">
        <v>33.305421318792838</v>
      </c>
      <c r="BC158" s="504"/>
      <c r="BD158" s="19"/>
      <c r="BE158" s="504"/>
      <c r="BF158" s="504"/>
      <c r="BG158" s="166">
        <v>3.6</v>
      </c>
    </row>
    <row r="159" spans="24:66" x14ac:dyDescent="0.35">
      <c r="X159" s="761"/>
      <c r="Y159" s="761"/>
      <c r="Z159" s="761"/>
      <c r="AA159" s="761"/>
      <c r="AB159" s="761"/>
      <c r="AC159" s="761"/>
      <c r="AD159" s="761"/>
      <c r="AE159" s="777" t="s">
        <v>473</v>
      </c>
      <c r="AF159" s="761"/>
      <c r="AG159" s="761"/>
      <c r="AH159" s="761"/>
      <c r="AI159" s="777" t="s">
        <v>476</v>
      </c>
      <c r="AJ159" s="761"/>
      <c r="AK159" s="761"/>
      <c r="AL159" s="761"/>
      <c r="AU159" s="1004">
        <v>6.8275986081497608</v>
      </c>
      <c r="AV159" s="1004">
        <v>6.8275986081497608</v>
      </c>
      <c r="AW159" s="1004">
        <v>8.9901008975066556</v>
      </c>
      <c r="AX159" s="1004">
        <v>4.6650963187928465</v>
      </c>
      <c r="AY159" s="1004">
        <v>47.123973608149775</v>
      </c>
      <c r="AZ159" s="1004">
        <v>47.123973608149775</v>
      </c>
      <c r="BA159" s="1004">
        <v>65.405025897506675</v>
      </c>
      <c r="BB159" s="1004">
        <v>28.842921318792843</v>
      </c>
      <c r="BC159" s="504"/>
      <c r="BD159" s="19"/>
      <c r="BE159" s="504"/>
      <c r="BF159" s="504"/>
      <c r="BG159" s="166">
        <v>3.8</v>
      </c>
    </row>
    <row r="160" spans="24:66" x14ac:dyDescent="0.35">
      <c r="X160" s="761"/>
      <c r="Y160" s="761"/>
      <c r="Z160" s="761"/>
      <c r="AA160" s="761"/>
      <c r="AB160" s="761"/>
      <c r="AC160" s="761"/>
      <c r="AD160" s="761"/>
      <c r="AE160" s="772">
        <f>AG118</f>
        <v>7</v>
      </c>
      <c r="AF160" s="773">
        <f>AH118</f>
        <v>9.4</v>
      </c>
      <c r="AG160" s="766">
        <f>AJ118</f>
        <v>9.3000000000000007</v>
      </c>
      <c r="AH160" s="781">
        <v>0.7</v>
      </c>
      <c r="AI160" s="772">
        <f>AG117</f>
        <v>28.1</v>
      </c>
      <c r="AJ160" s="773">
        <f>AH117</f>
        <v>38.700000000000003</v>
      </c>
      <c r="AK160" s="766">
        <f>AJ117</f>
        <v>37.299999999999997</v>
      </c>
      <c r="AL160" s="31"/>
      <c r="AO160" s="779" t="s">
        <v>492</v>
      </c>
      <c r="AP160" s="933" t="e">
        <f>AO152/AP152</f>
        <v>#REF!</v>
      </c>
      <c r="AQ160" s="761" t="s">
        <v>76</v>
      </c>
      <c r="AU160" s="1004">
        <v>2.1486673581497517</v>
      </c>
      <c r="AV160" s="1004">
        <v>2.1486673581497517</v>
      </c>
      <c r="AW160" s="1004">
        <v>2.4395971475066585</v>
      </c>
      <c r="AX160" s="1004">
        <v>1.8577375687928448</v>
      </c>
      <c r="AY160" s="1004">
        <v>40.43022360814976</v>
      </c>
      <c r="AZ160" s="1004">
        <v>40.43022360814976</v>
      </c>
      <c r="BA160" s="1004">
        <v>56.033775897506665</v>
      </c>
      <c r="BB160" s="1004">
        <v>24.826671318792844</v>
      </c>
      <c r="BC160" s="504"/>
      <c r="BD160" s="19"/>
      <c r="BE160" s="504"/>
      <c r="BF160" s="504"/>
      <c r="BG160" s="166">
        <v>4</v>
      </c>
    </row>
    <row r="161" spans="24:58" x14ac:dyDescent="0.35">
      <c r="X161" s="761"/>
      <c r="Y161" s="761"/>
      <c r="Z161" s="761"/>
      <c r="AA161" s="761"/>
      <c r="AB161" s="761"/>
      <c r="AC161" s="761"/>
      <c r="AD161" s="761"/>
      <c r="AE161" s="772">
        <f>AG124</f>
        <v>7</v>
      </c>
      <c r="AF161" s="773">
        <f>AH124</f>
        <v>9</v>
      </c>
      <c r="AG161" s="766">
        <f>AJ124</f>
        <v>9.3000000000000007</v>
      </c>
      <c r="AH161" s="781">
        <v>0.6</v>
      </c>
      <c r="AI161" s="772">
        <f>AG123</f>
        <v>28</v>
      </c>
      <c r="AJ161" s="773">
        <f>AH123</f>
        <v>36.4</v>
      </c>
      <c r="AK161" s="766">
        <f>AJ123</f>
        <v>37.299999999999997</v>
      </c>
      <c r="AL161" s="31"/>
      <c r="AO161" s="779" t="s">
        <v>493</v>
      </c>
      <c r="AP161" s="933">
        <f>AO155/AP155</f>
        <v>1.4014598540145986</v>
      </c>
      <c r="AQ161" s="933">
        <f>AJ124/AJ125</f>
        <v>2.1136363636363638</v>
      </c>
      <c r="AU161" s="1014" t="s">
        <v>587</v>
      </c>
      <c r="AV161" s="1014"/>
      <c r="AW161" s="1014"/>
      <c r="AX161" s="1014"/>
      <c r="AY161" s="1014" t="s">
        <v>588</v>
      </c>
      <c r="AZ161" s="1014"/>
      <c r="BA161" s="1014"/>
      <c r="BB161" s="1014"/>
      <c r="BC161" s="1014" t="s">
        <v>589</v>
      </c>
      <c r="BD161" s="1014"/>
      <c r="BE161" s="1014"/>
      <c r="BF161" s="1014"/>
    </row>
    <row r="162" spans="24:58" x14ac:dyDescent="0.35">
      <c r="AB162" s="761"/>
      <c r="AC162" s="761"/>
      <c r="AD162" s="761"/>
      <c r="AE162" s="772">
        <f>AG130</f>
        <v>7</v>
      </c>
      <c r="AF162" s="773">
        <f>AH130</f>
        <v>8.8000000000000007</v>
      </c>
      <c r="AG162" s="766">
        <f>AJ130</f>
        <v>9.3000000000000007</v>
      </c>
      <c r="AH162" s="781">
        <v>0.5</v>
      </c>
      <c r="AI162" s="772">
        <f>AG129</f>
        <v>28</v>
      </c>
      <c r="AJ162" s="773">
        <f>AH129</f>
        <v>35.4</v>
      </c>
      <c r="AK162" s="766">
        <f>AJ129</f>
        <v>37.200000000000003</v>
      </c>
      <c r="AL162" s="31"/>
      <c r="AO162" s="918" t="s">
        <v>491</v>
      </c>
      <c r="AP162" s="782" t="e">
        <f>1/AP160</f>
        <v>#REF!</v>
      </c>
      <c r="AQ162" s="782">
        <f>1/AQ161</f>
        <v>0.47311827956989244</v>
      </c>
    </row>
    <row r="163" spans="24:58" x14ac:dyDescent="0.35">
      <c r="X163" s="732"/>
    </row>
  </sheetData>
  <mergeCells count="7">
    <mergeCell ref="BF7:BG7"/>
    <mergeCell ref="BH7:BI7"/>
    <mergeCell ref="P61:Q61"/>
    <mergeCell ref="AX7:AY7"/>
    <mergeCell ref="AZ7:BA7"/>
    <mergeCell ref="BB7:BC7"/>
    <mergeCell ref="BD7:BE7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  <rowBreaks count="1" manualBreakCount="1">
    <brk id="58" max="16383" man="1"/>
  </rowBreaks>
  <colBreaks count="3" manualBreakCount="3">
    <brk id="26" max="110" man="1"/>
    <brk id="49" max="110" man="1"/>
    <brk id="87" max="11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параметры для расчета</vt:lpstr>
      <vt:lpstr>баланс тритий</vt:lpstr>
      <vt:lpstr>баланс дейтерий</vt:lpstr>
      <vt:lpstr>баланс протий</vt:lpstr>
      <vt:lpstr>результаты</vt:lpstr>
      <vt:lpstr>'баланс дейтерий'!Область_печати</vt:lpstr>
      <vt:lpstr>'баланс протий'!Область_печати</vt:lpstr>
      <vt:lpstr>'баланс тритий'!Область_печати</vt:lpstr>
      <vt:lpstr>'параметры для расчета'!Область_печати</vt:lpstr>
      <vt:lpstr>результаты!Область_печати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cp:lastPrinted>2018-12-14T15:32:11Z</cp:lastPrinted>
  <dcterms:created xsi:type="dcterms:W3CDTF">2013-07-10T08:25:06Z</dcterms:created>
  <dcterms:modified xsi:type="dcterms:W3CDTF">2023-06-23T13:39:09Z</dcterms:modified>
</cp:coreProperties>
</file>