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30" yWindow="290" windowWidth="25860" windowHeight="16660" tabRatio="861" activeTab="1"/>
  </bookViews>
  <sheets>
    <sheet name="параметры для расчета" sheetId="10" r:id="rId1"/>
    <sheet name="динамика трития в инжекторах" sheetId="20" r:id="rId2"/>
  </sheets>
  <externalReferences>
    <externalReference r:id="rId3"/>
    <externalReference r:id="rId4"/>
    <externalReference r:id="rId5"/>
    <externalReference r:id="rId6"/>
  </externalReferences>
  <definedNames>
    <definedName name="a">#REF!</definedName>
    <definedName name="b">#REF!</definedName>
    <definedName name="bb">#REF!</definedName>
    <definedName name="cc">#REF!</definedName>
    <definedName name="d">#REF!</definedName>
    <definedName name="e">#REF!</definedName>
    <definedName name="f">#REF!</definedName>
    <definedName name="I0">#REF!</definedName>
    <definedName name="L">#REF!</definedName>
    <definedName name="Lm">#REF!</definedName>
    <definedName name="N">#REF!</definedName>
    <definedName name="T_1">#REF!</definedName>
    <definedName name="T_2">#REF!</definedName>
    <definedName name="_xlnm.Print_Area" localSheetId="1">'динамика трития в инжекторах'!$A$1:$AU$172</definedName>
    <definedName name="_xlnm.Print_Area" localSheetId="0">'параметры для расчета'!$A$1:$U$71</definedName>
  </definedNames>
  <calcPr calcId="145621"/>
  <fileRecoveryPr repairLoad="1"/>
</workbook>
</file>

<file path=xl/calcChain.xml><?xml version="1.0" encoding="utf-8"?>
<calcChain xmlns="http://schemas.openxmlformats.org/spreadsheetml/2006/main">
  <c r="AC88" i="20" l="1"/>
  <c r="AA88" i="20"/>
  <c r="C30" i="10" l="1"/>
  <c r="M15" i="10" l="1"/>
  <c r="C78" i="10" l="1"/>
  <c r="C77" i="10"/>
  <c r="C75" i="10"/>
  <c r="C74" i="10"/>
  <c r="C73" i="10"/>
  <c r="C71" i="10"/>
  <c r="C70" i="10"/>
  <c r="C68" i="10"/>
  <c r="C67" i="10"/>
  <c r="C66" i="10"/>
  <c r="C64" i="10"/>
  <c r="C63" i="10"/>
  <c r="C62" i="10"/>
  <c r="C61" i="10"/>
  <c r="C56" i="10"/>
  <c r="C55" i="10"/>
  <c r="C54" i="10"/>
  <c r="C44" i="10"/>
  <c r="C43" i="10"/>
  <c r="C41" i="10"/>
  <c r="C40" i="10"/>
  <c r="C39" i="10"/>
  <c r="C38" i="10"/>
  <c r="C37" i="10"/>
  <c r="C36" i="10"/>
  <c r="C35" i="10"/>
  <c r="C34" i="10"/>
  <c r="C33" i="10"/>
  <c r="C32" i="10"/>
  <c r="C31" i="10"/>
  <c r="C27" i="10"/>
  <c r="C26" i="10"/>
  <c r="C23" i="10"/>
  <c r="C22" i="10"/>
  <c r="C21" i="10"/>
  <c r="C29" i="10"/>
  <c r="C6" i="10"/>
  <c r="C5" i="10"/>
  <c r="C4" i="10"/>
  <c r="C3" i="10"/>
  <c r="C1" i="10"/>
  <c r="X5" i="20" l="1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4" i="20"/>
  <c r="G92" i="20"/>
  <c r="K92" i="20"/>
  <c r="I37" i="20" l="1"/>
  <c r="F28" i="20"/>
  <c r="I36" i="20" s="1"/>
  <c r="R36" i="20" l="1"/>
  <c r="R37" i="20"/>
  <c r="I38" i="20"/>
  <c r="R38" i="20" l="1"/>
  <c r="E8" i="20"/>
  <c r="U96" i="20" l="1"/>
  <c r="T92" i="20"/>
  <c r="S92" i="20"/>
  <c r="O92" i="20"/>
  <c r="N37" i="20" s="1"/>
  <c r="C92" i="20"/>
  <c r="C90" i="20"/>
  <c r="G77" i="20"/>
  <c r="G76" i="20"/>
  <c r="E61" i="20"/>
  <c r="F38" i="20"/>
  <c r="F39" i="20" s="1"/>
  <c r="F75" i="10"/>
  <c r="F74" i="10"/>
  <c r="F73" i="10"/>
  <c r="N124" i="20"/>
  <c r="K3" i="10"/>
  <c r="K4" i="10" s="1"/>
  <c r="K6" i="10" l="1"/>
  <c r="K5" i="10"/>
  <c r="O14" i="20"/>
  <c r="O6" i="20"/>
  <c r="AC95" i="20"/>
  <c r="O10" i="20"/>
  <c r="K7" i="10"/>
  <c r="AC90" i="20"/>
  <c r="AA93" i="20" s="1"/>
  <c r="R63" i="20"/>
  <c r="C5" i="20"/>
  <c r="C6" i="20" s="1"/>
  <c r="F6" i="20" s="1"/>
  <c r="N36" i="20"/>
  <c r="C10" i="20" s="1"/>
  <c r="C11" i="20" s="1"/>
  <c r="F10" i="20" s="1"/>
  <c r="K36" i="20"/>
  <c r="AA97" i="20" l="1"/>
  <c r="AA98" i="20" s="1"/>
  <c r="R65" i="20"/>
  <c r="AA101" i="20" l="1"/>
  <c r="AA99" i="20"/>
  <c r="AA104" i="20"/>
  <c r="AA107" i="20" l="1"/>
  <c r="AA110" i="20"/>
  <c r="AA105" i="20"/>
  <c r="AA108" i="20" s="1"/>
  <c r="AA102" i="20"/>
  <c r="AF110" i="20" l="1"/>
  <c r="F16" i="20" l="1"/>
  <c r="C57" i="10" l="1"/>
  <c r="C18" i="10" l="1"/>
  <c r="C9" i="10" l="1"/>
  <c r="C24" i="10"/>
  <c r="C58" i="10" l="1"/>
  <c r="F58" i="10" s="1"/>
  <c r="C59" i="10" l="1"/>
  <c r="F59" i="10" s="1"/>
  <c r="C7" i="10" l="1"/>
  <c r="C20" i="10" l="1"/>
  <c r="K9" i="10" l="1"/>
  <c r="L9" i="10" s="1"/>
  <c r="F31" i="10" l="1"/>
  <c r="O27" i="20" l="1"/>
  <c r="G110" i="20"/>
  <c r="G111" i="20"/>
  <c r="AH98" i="20"/>
  <c r="AH97" i="20"/>
  <c r="B111" i="20"/>
  <c r="G113" i="20"/>
  <c r="B113" i="20"/>
  <c r="B115" i="20"/>
  <c r="T108" i="20"/>
  <c r="T109" i="20"/>
  <c r="B110" i="20"/>
  <c r="G115" i="20"/>
  <c r="AH99" i="20" l="1"/>
  <c r="G90" i="20"/>
  <c r="G94" i="20" s="1"/>
  <c r="C94" i="20"/>
  <c r="AC93" i="20" l="1"/>
  <c r="AC97" i="20" s="1"/>
  <c r="AC98" i="20" s="1"/>
  <c r="AC99" i="20" l="1"/>
  <c r="AJ98" i="20" s="1"/>
  <c r="Q108" i="20"/>
  <c r="AJ97" i="20"/>
  <c r="AC101" i="20"/>
  <c r="AC104" i="20"/>
  <c r="Q109" i="20" l="1"/>
  <c r="AC105" i="20"/>
  <c r="AC108" i="20" s="1"/>
  <c r="AC102" i="20"/>
  <c r="AC110" i="20"/>
  <c r="AC107" i="20"/>
  <c r="AJ99" i="20"/>
  <c r="C10" i="10" l="1"/>
  <c r="C17" i="10" l="1"/>
  <c r="C15" i="10"/>
  <c r="C16" i="10"/>
  <c r="C13" i="10" l="1"/>
  <c r="K10" i="10" l="1"/>
  <c r="L10" i="10" s="1"/>
  <c r="C11" i="10" l="1"/>
  <c r="C12" i="10" l="1"/>
  <c r="F25" i="20" l="1"/>
  <c r="Q103" i="20" l="1"/>
  <c r="E103" i="20"/>
  <c r="T103" i="20"/>
  <c r="S133" i="20" s="1"/>
  <c r="F127" i="20"/>
  <c r="F131" i="20" s="1"/>
  <c r="F134" i="20" s="1"/>
  <c r="I103" i="20"/>
  <c r="E102" i="20"/>
  <c r="F126" i="20"/>
  <c r="F130" i="20" s="1"/>
  <c r="F133" i="20" s="1"/>
  <c r="Q102" i="20"/>
  <c r="T102" i="20"/>
  <c r="S131" i="20" s="1"/>
  <c r="I102" i="20"/>
  <c r="Q104" i="20"/>
  <c r="T104" i="20"/>
  <c r="S135" i="20" s="1"/>
  <c r="E104" i="20"/>
  <c r="F5" i="20"/>
  <c r="F128" i="20"/>
  <c r="F132" i="20" s="1"/>
  <c r="F135" i="20" s="1"/>
  <c r="I104" i="20"/>
  <c r="M115" i="20" l="1"/>
  <c r="J135" i="20"/>
  <c r="M111" i="20"/>
  <c r="R131" i="20" s="1"/>
  <c r="J133" i="20"/>
  <c r="M113" i="20"/>
  <c r="R133" i="20" s="1"/>
  <c r="J134" i="20"/>
  <c r="R135" i="20" l="1"/>
  <c r="F33" i="20"/>
  <c r="I33" i="20" l="1"/>
  <c r="F31" i="20" s="1"/>
  <c r="F40" i="20" l="1"/>
  <c r="S52" i="20"/>
  <c r="I34" i="20" l="1"/>
  <c r="Q101" i="20" l="1"/>
  <c r="I101" i="20"/>
  <c r="E101" i="20"/>
  <c r="T101" i="20"/>
  <c r="S130" i="20" s="1"/>
  <c r="D126" i="20"/>
  <c r="D130" i="20" s="1"/>
  <c r="D133" i="20" s="1"/>
  <c r="D127" i="20"/>
  <c r="D131" i="20" s="1"/>
  <c r="D134" i="20" s="1"/>
  <c r="I134" i="20" s="1"/>
  <c r="M110" i="20" l="1"/>
  <c r="I133" i="20"/>
  <c r="K94" i="20" l="1"/>
  <c r="R130" i="20"/>
  <c r="T130" i="20" s="1"/>
  <c r="O94" i="20" l="1"/>
  <c r="L96" i="20"/>
  <c r="D128" i="20" l="1"/>
  <c r="D132" i="20" s="1"/>
  <c r="M112" i="20" l="1"/>
  <c r="R132" i="20" s="1"/>
  <c r="T132" i="20" s="1"/>
  <c r="D135" i="20"/>
  <c r="M114" i="20" l="1"/>
  <c r="R134" i="20" s="1"/>
  <c r="T134" i="20" s="1"/>
  <c r="I135" i="20"/>
  <c r="F3" i="20" l="1"/>
  <c r="F11" i="20" l="1"/>
  <c r="F7" i="20"/>
  <c r="F8" i="20" s="1"/>
  <c r="B8" i="20" s="1"/>
  <c r="F61" i="20" l="1"/>
  <c r="AC21" i="20"/>
  <c r="F15" i="20"/>
  <c r="F55" i="20" l="1"/>
  <c r="F30" i="20"/>
  <c r="R33" i="20" l="1"/>
  <c r="R45" i="20"/>
  <c r="R50" i="20"/>
  <c r="R52" i="20"/>
  <c r="F66" i="20" s="1"/>
  <c r="R58" i="20"/>
  <c r="R56" i="20"/>
  <c r="R44" i="20"/>
  <c r="R48" i="20"/>
  <c r="R54" i="20"/>
  <c r="R53" i="20"/>
  <c r="R47" i="20"/>
  <c r="R46" i="20"/>
  <c r="R57" i="20"/>
  <c r="R49" i="20"/>
  <c r="R51" i="20"/>
  <c r="R55" i="20"/>
  <c r="G71" i="20" l="1"/>
  <c r="K45" i="10" l="1"/>
  <c r="K46" i="10"/>
  <c r="K47" i="10" l="1"/>
  <c r="K48" i="10" l="1"/>
  <c r="K50" i="10" l="1"/>
  <c r="K49" i="10" l="1"/>
  <c r="F20" i="20" l="1"/>
  <c r="I20" i="20" s="1"/>
  <c r="F21" i="20" l="1"/>
  <c r="I21" i="20" s="1"/>
  <c r="L21" i="20" l="1"/>
  <c r="I22" i="20"/>
  <c r="Z21" i="20" l="1"/>
  <c r="I23" i="20"/>
  <c r="F23" i="20" l="1"/>
  <c r="R64" i="20"/>
  <c r="E45" i="20"/>
  <c r="E53" i="20"/>
  <c r="E49" i="20"/>
  <c r="E58" i="20"/>
  <c r="E46" i="20"/>
  <c r="E50" i="20"/>
  <c r="E44" i="20"/>
  <c r="E48" i="20"/>
  <c r="E47" i="20"/>
  <c r="E56" i="20"/>
  <c r="E52" i="20"/>
  <c r="E51" i="20"/>
  <c r="E54" i="20"/>
  <c r="E57" i="20"/>
  <c r="E55" i="20"/>
  <c r="Z5" i="20"/>
  <c r="Y16" i="20"/>
  <c r="Z13" i="20"/>
  <c r="Z6" i="20"/>
  <c r="Y17" i="20"/>
  <c r="Z9" i="20"/>
  <c r="Z7" i="20"/>
  <c r="Y9" i="20"/>
  <c r="AC13" i="20"/>
  <c r="AB13" i="20" s="1"/>
  <c r="AE7" i="20"/>
  <c r="AD7" i="20" s="1"/>
  <c r="AC16" i="20"/>
  <c r="AB16" i="20" s="1"/>
  <c r="AC7" i="20"/>
  <c r="AB7" i="20" s="1"/>
  <c r="AC4" i="20"/>
  <c r="AB4" i="20" s="1"/>
  <c r="AE5" i="20"/>
  <c r="AD5" i="20" s="1"/>
  <c r="AC6" i="20"/>
  <c r="AB6" i="20" s="1"/>
  <c r="AC15" i="20"/>
  <c r="AB15" i="20" s="1"/>
  <c r="Z20" i="20"/>
  <c r="Y4" i="20"/>
  <c r="Y20" i="20"/>
  <c r="Z14" i="20"/>
  <c r="AC9" i="20"/>
  <c r="AB9" i="20" s="1"/>
  <c r="AC10" i="20"/>
  <c r="AB10" i="20" s="1"/>
  <c r="AE15" i="20"/>
  <c r="AD15" i="20" s="1"/>
  <c r="AA15" i="20" s="1"/>
  <c r="Y8" i="20"/>
  <c r="Z8" i="20"/>
  <c r="Z16" i="20"/>
  <c r="Z15" i="20"/>
  <c r="Z10" i="20"/>
  <c r="Z18" i="20"/>
  <c r="Z11" i="20"/>
  <c r="Z4" i="20"/>
  <c r="AC20" i="20"/>
  <c r="AC5" i="20"/>
  <c r="AB5" i="20" s="1"/>
  <c r="AE13" i="20"/>
  <c r="AD13" i="20" s="1"/>
  <c r="AE4" i="20"/>
  <c r="AD4" i="20" s="1"/>
  <c r="AE8" i="20"/>
  <c r="AD8" i="20" s="1"/>
  <c r="AC12" i="20"/>
  <c r="AB12" i="20" s="1"/>
  <c r="AC17" i="20"/>
  <c r="AB17" i="20" s="1"/>
  <c r="AE19" i="20"/>
  <c r="AD19" i="20" s="1"/>
  <c r="AC8" i="20"/>
  <c r="AB8" i="20" s="1"/>
  <c r="Y15" i="20"/>
  <c r="AE20" i="20"/>
  <c r="AE18" i="20"/>
  <c r="AD18" i="20" s="1"/>
  <c r="Z19" i="20"/>
  <c r="Z17" i="20"/>
  <c r="Y11" i="20"/>
  <c r="Y12" i="20"/>
  <c r="Y7" i="20"/>
  <c r="Y13" i="20"/>
  <c r="Y18" i="20"/>
  <c r="Z12" i="20"/>
  <c r="Y5" i="20"/>
  <c r="AC11" i="20"/>
  <c r="AB11" i="20" s="1"/>
  <c r="AC19" i="20"/>
  <c r="AB19" i="20" s="1"/>
  <c r="AC14" i="20"/>
  <c r="AB14" i="20" s="1"/>
  <c r="AC18" i="20"/>
  <c r="AB18" i="20" s="1"/>
  <c r="AE9" i="20"/>
  <c r="AD9" i="20" s="1"/>
  <c r="AA9" i="20" s="1"/>
  <c r="AE17" i="20"/>
  <c r="AD17" i="20" s="1"/>
  <c r="AA17" i="20" s="1"/>
  <c r="AE16" i="20"/>
  <c r="AD16" i="20" s="1"/>
  <c r="AA16" i="20" s="1"/>
  <c r="AE14" i="20"/>
  <c r="AD14" i="20" s="1"/>
  <c r="AE10" i="20"/>
  <c r="AD10" i="20" s="1"/>
  <c r="Y6" i="20"/>
  <c r="Y14" i="20"/>
  <c r="Y10" i="20"/>
  <c r="Y19" i="20"/>
  <c r="AE11" i="20"/>
  <c r="AD11" i="20" s="1"/>
  <c r="AE12" i="20"/>
  <c r="AD12" i="20" s="1"/>
  <c r="AE6" i="20"/>
  <c r="AD6" i="20" s="1"/>
  <c r="AA12" i="20" l="1"/>
  <c r="AA4" i="20"/>
  <c r="AA18" i="20"/>
  <c r="AA11" i="20"/>
  <c r="AA13" i="20"/>
  <c r="AA19" i="20"/>
  <c r="AA10" i="20"/>
  <c r="AA7" i="20"/>
  <c r="R74" i="20"/>
  <c r="F65" i="20"/>
  <c r="R71" i="20" s="1"/>
  <c r="AD20" i="20"/>
  <c r="AA20" i="20" s="1"/>
  <c r="AA5" i="20"/>
  <c r="R60" i="20"/>
  <c r="F67" i="20"/>
  <c r="AA6" i="20"/>
  <c r="AA14" i="20"/>
  <c r="AA8" i="20"/>
  <c r="AB20" i="20"/>
  <c r="F12" i="20"/>
  <c r="P34" i="20" l="1"/>
  <c r="E11" i="20"/>
  <c r="E12" i="20" s="1"/>
  <c r="F68" i="20"/>
  <c r="R68" i="20"/>
  <c r="R61" i="20"/>
  <c r="R77" i="20"/>
  <c r="R76" i="20"/>
  <c r="T76" i="20" l="1"/>
  <c r="F69" i="20"/>
  <c r="G69" i="20" s="1"/>
  <c r="T77" i="20"/>
  <c r="F70" i="20"/>
  <c r="G70" i="20" s="1"/>
  <c r="T34" i="20"/>
  <c r="R34" i="20"/>
  <c r="W34" i="20" l="1"/>
  <c r="V34" i="20" s="1"/>
  <c r="C52" i="10" l="1"/>
  <c r="F52" i="10" s="1"/>
  <c r="C51" i="10"/>
  <c r="F51" i="10" s="1"/>
  <c r="C45" i="10" l="1"/>
  <c r="C47" i="10"/>
  <c r="C46" i="10"/>
  <c r="C48" i="10" l="1"/>
  <c r="C50" i="10" l="1"/>
  <c r="C49" i="10" l="1"/>
  <c r="K13" i="10" l="1"/>
  <c r="K15" i="10" s="1"/>
</calcChain>
</file>

<file path=xl/sharedStrings.xml><?xml version="1.0" encoding="utf-8"?>
<sst xmlns="http://schemas.openxmlformats.org/spreadsheetml/2006/main" count="516" uniqueCount="323">
  <si>
    <t>м3</t>
  </si>
  <si>
    <t>м-3</t>
  </si>
  <si>
    <t>г</t>
  </si>
  <si>
    <t>м2</t>
  </si>
  <si>
    <t>г/м2</t>
  </si>
  <si>
    <r>
      <t>ζ</t>
    </r>
    <r>
      <rPr>
        <vertAlign val="subscript"/>
        <sz val="12"/>
        <rFont val="Times New Roman"/>
        <family val="1"/>
        <charset val="204"/>
      </rPr>
      <t>тракт</t>
    </r>
    <r>
      <rPr>
        <sz val="12"/>
        <rFont val="Times New Roman"/>
        <family val="1"/>
        <charset val="204"/>
      </rPr>
      <t xml:space="preserve"> =</t>
    </r>
  </si>
  <si>
    <t>Па</t>
  </si>
  <si>
    <t xml:space="preserve">г/с </t>
  </si>
  <si>
    <t>=</t>
  </si>
  <si>
    <t>м3 Па/с</t>
  </si>
  <si>
    <r>
      <t>F</t>
    </r>
    <r>
      <rPr>
        <vertAlign val="subscript"/>
        <sz val="12"/>
        <rFont val="Times New Roman"/>
        <family val="1"/>
        <charset val="204"/>
      </rPr>
      <t>CX</t>
    </r>
    <r>
      <rPr>
        <sz val="12"/>
        <rFont val="Times New Roman"/>
        <family val="1"/>
        <charset val="204"/>
      </rPr>
      <t>(E</t>
    </r>
    <r>
      <rPr>
        <vertAlign val="subscript"/>
        <sz val="12"/>
        <rFont val="Times New Roman"/>
        <family val="1"/>
        <charset val="204"/>
      </rPr>
      <t>NBI</t>
    </r>
    <r>
      <rPr>
        <sz val="12"/>
        <rFont val="Times New Roman"/>
        <family val="1"/>
        <charset val="204"/>
      </rPr>
      <t xml:space="preserve">) = </t>
    </r>
  </si>
  <si>
    <t>-</t>
  </si>
  <si>
    <t>шт/с</t>
  </si>
  <si>
    <t>%</t>
  </si>
  <si>
    <t>H</t>
  </si>
  <si>
    <t>D</t>
  </si>
  <si>
    <t>T</t>
  </si>
  <si>
    <r>
      <t xml:space="preserve">мощность NBI </t>
    </r>
    <r>
      <rPr>
        <b/>
        <sz val="12"/>
        <color indexed="8"/>
        <rFont val="Times New Roman"/>
        <family val="1"/>
        <charset val="204"/>
      </rPr>
      <t>Pnbi</t>
    </r>
  </si>
  <si>
    <t>расстояние от инжектора</t>
  </si>
  <si>
    <t>м</t>
  </si>
  <si>
    <t>≡</t>
  </si>
  <si>
    <t>секунд</t>
  </si>
  <si>
    <t>часов</t>
  </si>
  <si>
    <t>шт</t>
  </si>
  <si>
    <t>переработки сверхтяжеловодных отходов</t>
  </si>
  <si>
    <t>установка разделения изотопов водорода</t>
  </si>
  <si>
    <t>установка каталитического разложения химических соединений водорода</t>
  </si>
  <si>
    <t>Плотность (при н. у.)</t>
  </si>
  <si>
    <t>MВт</t>
  </si>
  <si>
    <t>выгорание</t>
  </si>
  <si>
    <t>мсек</t>
  </si>
  <si>
    <t>МВт</t>
  </si>
  <si>
    <t>кэВ</t>
  </si>
  <si>
    <t>г/см³</t>
  </si>
  <si>
    <t xml:space="preserve">макс количество трития в одном месте </t>
  </si>
  <si>
    <t>???</t>
  </si>
  <si>
    <t>D2</t>
  </si>
  <si>
    <t>T2</t>
  </si>
  <si>
    <t>Nинж=</t>
  </si>
  <si>
    <t>атм</t>
  </si>
  <si>
    <t>количество инжекторов нейтральных частиц</t>
  </si>
  <si>
    <t>значения потока:</t>
  </si>
  <si>
    <t>штук в секунду на метр квадратный</t>
  </si>
  <si>
    <t>D:T=1:1</t>
  </si>
  <si>
    <t>)</t>
  </si>
  <si>
    <t>или</t>
  </si>
  <si>
    <t>установка</t>
  </si>
  <si>
    <t>флюэнс нейтронов</t>
  </si>
  <si>
    <t>мм</t>
  </si>
  <si>
    <t xml:space="preserve">кг/год </t>
  </si>
  <si>
    <t>вход</t>
  </si>
  <si>
    <t>частиц/с</t>
  </si>
  <si>
    <t>S=S(p)</t>
  </si>
  <si>
    <t>x=const(τ)</t>
  </si>
  <si>
    <t>k (константа Больцмана)</t>
  </si>
  <si>
    <t>Дж/К</t>
  </si>
  <si>
    <t>Коэффициент в формуле для Sуд, K</t>
  </si>
  <si>
    <t>Коэффициент в формуле для Sуд, c</t>
  </si>
  <si>
    <t>Площадь криопанелей насоса, F</t>
  </si>
  <si>
    <t xml:space="preserve">дней </t>
  </si>
  <si>
    <t>// для Ве</t>
  </si>
  <si>
    <t>Предположив, что поток частиц не уменьшится при пролете до окна инжектора</t>
  </si>
  <si>
    <t>в него попадет</t>
  </si>
  <si>
    <t>тритий</t>
  </si>
  <si>
    <t>концентрация трития в металле стенки nТ=</t>
  </si>
  <si>
    <t>P=n*k*T</t>
  </si>
  <si>
    <t>м^-3</t>
  </si>
  <si>
    <t xml:space="preserve">Па </t>
  </si>
  <si>
    <t>// считая, что Т = 1000К</t>
  </si>
  <si>
    <t>частиц</t>
  </si>
  <si>
    <t>n(график)</t>
  </si>
  <si>
    <t>n(стац)</t>
  </si>
  <si>
    <t>ПРОВЕРКА</t>
  </si>
  <si>
    <t>с(Т)</t>
  </si>
  <si>
    <t>компенсируют</t>
  </si>
  <si>
    <t>друг друга</t>
  </si>
  <si>
    <t>считаем, что увеличение парциального давления трития и протия НЕ ВЛИЯЮТ на работу инжектора!</t>
  </si>
  <si>
    <t>тогда можно считать, что в ПОИ будут задерживаться частиц:</t>
  </si>
  <si>
    <t>суммарно:</t>
  </si>
  <si>
    <t>увеличение</t>
  </si>
  <si>
    <t>время</t>
  </si>
  <si>
    <t>Nоткач</t>
  </si>
  <si>
    <t>Nудал</t>
  </si>
  <si>
    <t xml:space="preserve">Nоткач </t>
  </si>
  <si>
    <t xml:space="preserve"> -Nудал</t>
  </si>
  <si>
    <t xml:space="preserve"> - Nудал</t>
  </si>
  <si>
    <t>количество частиц ТРИТИЯ в ТЦ</t>
  </si>
  <si>
    <t>количество частиц ДЕЙТЕРИЯ в ТЦ</t>
  </si>
  <si>
    <t xml:space="preserve">или </t>
  </si>
  <si>
    <t>доля трития в топливной смеси</t>
  </si>
  <si>
    <t xml:space="preserve">доля ТРИТИЯ из них - </t>
  </si>
  <si>
    <t xml:space="preserve">доля ДЕЙТЕРИЯ из них - </t>
  </si>
  <si>
    <t xml:space="preserve"> начальное давление протия p0</t>
  </si>
  <si>
    <t>Vтц</t>
  </si>
  <si>
    <t>всего</t>
  </si>
  <si>
    <t>- эквивалентный объём ТЦ</t>
  </si>
  <si>
    <t>х=0 - цикл НЕ замкнут, х=100% - цикл замкнут полностью!</t>
  </si>
  <si>
    <t xml:space="preserve"> графиков N(t) и c(D)</t>
  </si>
  <si>
    <t xml:space="preserve"> графиков Р(t) и c(D)</t>
  </si>
  <si>
    <t>м3/с</t>
  </si>
  <si>
    <t>Быстрота откачки, м3/с</t>
  </si>
  <si>
    <t>// ПО НАЧАЛЬНОМУ УСЛОВИЮ с(D)</t>
  </si>
  <si>
    <t>N(D)/N(D+T) =</t>
  </si>
  <si>
    <t xml:space="preserve"> Nинж = </t>
  </si>
  <si>
    <t>x%</t>
  </si>
  <si>
    <t xml:space="preserve">м3 Па/с </t>
  </si>
  <si>
    <t>соответствие значений:</t>
  </si>
  <si>
    <t>доля потока, падающего на первую стенку, достигающая инжекторов NBI</t>
  </si>
  <si>
    <t>размеры патрубка (высота)</t>
  </si>
  <si>
    <t>(ширина)</t>
  </si>
  <si>
    <t xml:space="preserve">РАСЧЕТ ПОТОКА ИЗ ВАКУУМНОЙ КАМЕРЫ В ИНЖЕКТОРЫ НЕЙТРАЛЬНЫХ ЧАСТИЦ   </t>
  </si>
  <si>
    <t>РАСЧЕТЫ ДЛЯ ОДНОГО ИНЖЕКТОРА!</t>
  </si>
  <si>
    <r>
      <t xml:space="preserve">площадь окна </t>
    </r>
    <r>
      <rPr>
        <b/>
        <sz val="12"/>
        <color rgb="FFFF0000"/>
        <rFont val="Times New Roman"/>
        <family val="1"/>
        <charset val="204"/>
      </rPr>
      <t>ОДНОГО</t>
    </r>
    <r>
      <rPr>
        <sz val="12"/>
        <rFont val="Times New Roman"/>
        <family val="1"/>
        <charset val="204"/>
      </rPr>
      <t xml:space="preserve"> инжектора: </t>
    </r>
  </si>
  <si>
    <r>
      <t xml:space="preserve">тогда в </t>
    </r>
    <r>
      <rPr>
        <b/>
        <sz val="12"/>
        <color rgb="FFFF0000"/>
        <rFont val="Times New Roman"/>
        <family val="1"/>
        <charset val="204"/>
      </rPr>
      <t>ОДИН</t>
    </r>
    <r>
      <rPr>
        <sz val="12"/>
        <color theme="1"/>
        <rFont val="Times New Roman"/>
        <family val="1"/>
        <charset val="204"/>
      </rPr>
      <t xml:space="preserve"> инжектор попадет частиц: </t>
    </r>
  </si>
  <si>
    <t>Таким образом, можно считать, что инжектор представляет собой три (!) камеры с дифференциальной откачкой и самостоятельной системой газоснабжения!</t>
  </si>
  <si>
    <t>дейтерий</t>
  </si>
  <si>
    <t>Поток газа в нейтрализатор (для создания эффективной газовой мишени)</t>
  </si>
  <si>
    <t>если эффективность нейтрализации равна</t>
  </si>
  <si>
    <t>получим, зависимость потока в RID от степени нейтрализации и потока частиц в пучке.</t>
  </si>
  <si>
    <t xml:space="preserve">и поток в пучке </t>
  </si>
  <si>
    <t>для трития</t>
  </si>
  <si>
    <t>для дейтерия</t>
  </si>
  <si>
    <t>что соответствует потокам:</t>
  </si>
  <si>
    <t xml:space="preserve"> - вылет частиц дейтерия из инжектора в тор в виде потока НЕЙТРАЛЬНЫХ АТОМОВ</t>
  </si>
  <si>
    <t xml:space="preserve"> - поток "из баллона" дейтерия для компенсации потерь частиц</t>
  </si>
  <si>
    <t xml:space="preserve"> - возврат частиц трития из системы ДЕТРИТИЗАЦИИ в общий ТЦ</t>
  </si>
  <si>
    <t xml:space="preserve"> - ИЗВЛЕЧЕНИЕ частиц протия из ТЦ в результате ДЕПРОТИЗАЦИИ</t>
  </si>
  <si>
    <t xml:space="preserve"> - прилет частиц протия по атомопроводу из тора </t>
  </si>
  <si>
    <t xml:space="preserve"> - прилет частиц трития по атомопроводу из тора </t>
  </si>
  <si>
    <t xml:space="preserve"> - прилет частиц дейтерия по атомопроводу из тора </t>
  </si>
  <si>
    <t xml:space="preserve"> начальное давление трития p0</t>
  </si>
  <si>
    <t>- доля тритя, возвращаемого после откачки обратно в ТЦ (относительно количества откачанного)</t>
  </si>
  <si>
    <t>- быстрота откачки (объёмный расход)</t>
  </si>
  <si>
    <t>Ntritium</t>
  </si>
  <si>
    <t>c(T)</t>
  </si>
  <si>
    <t>вычислим замкнутость</t>
  </si>
  <si>
    <t>для требемой доли трития</t>
  </si>
  <si>
    <t>желаемая доля трития в газовой смеси</t>
  </si>
  <si>
    <t>c(T), %</t>
  </si>
  <si>
    <t>// процент протия по отношению Nстац/(Nplasma)</t>
  </si>
  <si>
    <t>// процент T по отношению парциальных давлений</t>
  </si>
  <si>
    <t>// процент протия по отношению концентраций</t>
  </si>
  <si>
    <t>// процент трития по быстроте откачки</t>
  </si>
  <si>
    <t>n(Т)</t>
  </si>
  <si>
    <t>давление Т</t>
  </si>
  <si>
    <t>N(Т)</t>
  </si>
  <si>
    <t>P(Т)</t>
  </si>
  <si>
    <t xml:space="preserve">давление p(Т) </t>
  </si>
  <si>
    <t>рост N(Т) =</t>
  </si>
  <si>
    <t>c(Т)</t>
  </si>
  <si>
    <r>
      <rPr>
        <sz val="12"/>
        <color indexed="17"/>
        <rFont val="Times New Roman"/>
        <family val="1"/>
        <charset val="204"/>
      </rPr>
      <t>P(Т)</t>
    </r>
    <r>
      <rPr>
        <sz val="12"/>
        <color indexed="8"/>
        <rFont val="Times New Roman"/>
        <family val="1"/>
        <charset val="204"/>
      </rPr>
      <t>/P(D+T)</t>
    </r>
  </si>
  <si>
    <t>c(Т) график</t>
  </si>
  <si>
    <t>по графику P(t) нами найдено Рстац(Т) =</t>
  </si>
  <si>
    <t>соответствует N=P*V/300*k</t>
  </si>
  <si>
    <t>парциальное давление Т</t>
  </si>
  <si>
    <t>количество T в ТЦ -</t>
  </si>
  <si>
    <t>Выделенный из газа тритий (для поддержания постоянной его доли в газе инжекторов) будет направлен в общий ТЦ для компенсации потерь трития в атомопроводы инжекторов</t>
  </si>
  <si>
    <t>с(Т) по шт</t>
  </si>
  <si>
    <t>(вход-выход) =</t>
  </si>
  <si>
    <t xml:space="preserve"> - считаем балланс P и N</t>
  </si>
  <si>
    <t xml:space="preserve"> - график показывает стационар</t>
  </si>
  <si>
    <t xml:space="preserve"> - пока не учитываем !</t>
  </si>
  <si>
    <t xml:space="preserve">Па     или </t>
  </si>
  <si>
    <r>
      <t xml:space="preserve">результат </t>
    </r>
    <r>
      <rPr>
        <b/>
        <u/>
        <sz val="12"/>
        <color rgb="FFFF0000"/>
        <rFont val="Times New Roman"/>
        <family val="1"/>
        <charset val="204"/>
      </rPr>
      <t>нейтрализации ПУЧКА</t>
    </r>
    <r>
      <rPr>
        <b/>
        <sz val="12"/>
        <color rgb="FFFF0000"/>
        <rFont val="Times New Roman"/>
        <family val="1"/>
        <charset val="204"/>
      </rPr>
      <t xml:space="preserve"> !!!</t>
    </r>
  </si>
  <si>
    <r>
      <t xml:space="preserve"> - вылет частиц протия из инжектора в тор  </t>
    </r>
    <r>
      <rPr>
        <sz val="12"/>
        <color rgb="FFFF0000"/>
        <rFont val="Times New Roman"/>
        <family val="1"/>
        <charset val="204"/>
      </rPr>
      <t xml:space="preserve">   (поток на стенку х</t>
    </r>
  </si>
  <si>
    <t>1/с</t>
  </si>
  <si>
    <t>парциальное давление D</t>
  </si>
  <si>
    <t xml:space="preserve"> - циркуляция газовой смеси (входящий поток в инжектор и нейтрализатор)</t>
  </si>
  <si>
    <t>поток частиц</t>
  </si>
  <si>
    <t>шт/м3</t>
  </si>
  <si>
    <r>
      <t xml:space="preserve">от потока газа во </t>
    </r>
    <r>
      <rPr>
        <b/>
        <sz val="12"/>
        <rFont val="Times New Roman"/>
        <family val="1"/>
        <charset val="204"/>
      </rPr>
      <t xml:space="preserve">ВСЕ </t>
    </r>
    <r>
      <rPr>
        <sz val="12"/>
        <rFont val="Times New Roman"/>
        <family val="1"/>
        <charset val="204"/>
      </rPr>
      <t>инжектора</t>
    </r>
  </si>
  <si>
    <r>
      <t>выход-I</t>
    </r>
    <r>
      <rPr>
        <u/>
        <sz val="8"/>
        <color theme="1"/>
        <rFont val="Times New Roman"/>
        <family val="1"/>
        <charset val="204"/>
      </rPr>
      <t>NBI</t>
    </r>
  </si>
  <si>
    <t xml:space="preserve">длиной 4.2 м, шириной 2.5 м и высотой 4.2 м </t>
  </si>
  <si>
    <t>8,5 м в длину, 3,0 в высоту и 3,3 в ширину</t>
  </si>
  <si>
    <t>ОДИН инжектор имеет размеры</t>
  </si>
  <si>
    <t>где J =</t>
  </si>
  <si>
    <t>S=J/P</t>
  </si>
  <si>
    <t>J(Т), шт</t>
  </si>
  <si>
    <t>// Крылов</t>
  </si>
  <si>
    <t>// Ширнин</t>
  </si>
  <si>
    <t>// Мирнов</t>
  </si>
  <si>
    <t>для этого поток газа должен быть:</t>
  </si>
  <si>
    <t xml:space="preserve"> + источник !!! ионов размещен в корпусе</t>
  </si>
  <si>
    <t>D:T=1:0,05</t>
  </si>
  <si>
    <t>для ИТЭР</t>
  </si>
  <si>
    <r>
      <t xml:space="preserve">на стенку </t>
    </r>
    <r>
      <rPr>
        <u/>
        <sz val="12"/>
        <color theme="1"/>
        <rFont val="Times New Roman"/>
        <family val="1"/>
        <charset val="204"/>
      </rPr>
      <t>инжектора</t>
    </r>
    <r>
      <rPr>
        <sz val="12"/>
        <color theme="1"/>
        <rFont val="Times New Roman"/>
        <family val="1"/>
        <charset val="204"/>
      </rPr>
      <t>:</t>
    </r>
  </si>
  <si>
    <t>ДЕМО-ТИН</t>
  </si>
  <si>
    <r>
      <t xml:space="preserve">РАСЧЕТ ЗНАЧЕНИЙ ДЛЯ </t>
    </r>
    <r>
      <rPr>
        <b/>
        <sz val="12"/>
        <color rgb="FFFF0000"/>
        <rFont val="Times New Roman"/>
        <family val="1"/>
        <charset val="204"/>
      </rPr>
      <t>ТРИТИЯ</t>
    </r>
    <r>
      <rPr>
        <sz val="12"/>
        <color rgb="FFFF0000"/>
        <rFont val="Times New Roman"/>
        <family val="1"/>
        <charset val="204"/>
      </rPr>
      <t xml:space="preserve"> В СИСТЕМЕ ГАЗОНАПУСКА ИНЖЕКТОРОВ</t>
    </r>
  </si>
  <si>
    <t xml:space="preserve">Профили концентрации газа вдоль пучка и </t>
  </si>
  <si>
    <t>потери на реионизацию при поступлении газа только</t>
  </si>
  <si>
    <t xml:space="preserve">из корпуса инжектора (синие кривые) и с учетом </t>
  </si>
  <si>
    <t>всех источников гажения (красно-золотые кривые)</t>
  </si>
  <si>
    <t xml:space="preserve">Распределение плотности накопленного газа </t>
  </si>
  <si>
    <t>вдоль криопанели перед регененацией</t>
  </si>
  <si>
    <t>К оптимизации, инжектора по длине нейтрализатора.</t>
  </si>
  <si>
    <t xml:space="preserve"> пунктирные для варианта 4 Х 4.</t>
  </si>
  <si>
    <t>Сплошные линии для варианта 2 х 2 канала,</t>
  </si>
  <si>
    <t xml:space="preserve"> создания толщины мишени 0.8*1020 м-2 с учетом потока</t>
  </si>
  <si>
    <t>Расход газа в нейтрализатор рассчитывался для</t>
  </si>
  <si>
    <t>соответствующего рекомбинации в нем 16 A ионов D- и D+.</t>
  </si>
  <si>
    <t>газа из источника 4.5 м3Па/с и газа из ПОИ,</t>
  </si>
  <si>
    <r>
      <t xml:space="preserve">в процессе работы СИСТЕМЫ инжекции будут иметь место следующие процессы ДЛЯ РЕЖИМА с </t>
    </r>
    <r>
      <rPr>
        <b/>
        <u/>
        <sz val="12"/>
        <color rgb="FFFF0000"/>
        <rFont val="Times New Roman"/>
        <family val="1"/>
        <charset val="204"/>
      </rPr>
      <t>примесью ТРИТИЯ</t>
    </r>
    <r>
      <rPr>
        <b/>
        <u/>
        <sz val="12"/>
        <color theme="1"/>
        <rFont val="Times New Roman"/>
        <family val="1"/>
        <charset val="204"/>
      </rPr>
      <t>:</t>
    </r>
  </si>
  <si>
    <t>ИСТОЧНИК ИОНОВ</t>
  </si>
  <si>
    <t>НЕЙТРАЛИЗАТОР</t>
  </si>
  <si>
    <t>ПРИЕМНИК ИОНОВ</t>
  </si>
  <si>
    <t>ПРИЕМНИК ПУЧКА АТОМОВ</t>
  </si>
  <si>
    <t>давление перед атомопроводом!</t>
  </si>
  <si>
    <t>частиц в ОДНОМ инжекторе !!!</t>
  </si>
  <si>
    <t>n (газа в NBI)</t>
  </si>
  <si>
    <t>если плотность частиц = Е+19 то</t>
  </si>
  <si>
    <t>если плотность частиц = Е+20 то</t>
  </si>
  <si>
    <t>считаем T=300K</t>
  </si>
  <si>
    <t>АТОМОПРОВОД</t>
  </si>
  <si>
    <t>знаем, что должно быть Pmin=0,3 Па</t>
  </si>
  <si>
    <t xml:space="preserve">оценим n: </t>
  </si>
  <si>
    <t>если плотность частиц = 5Е+17 то</t>
  </si>
  <si>
    <t>// предполагая что T=300K</t>
  </si>
  <si>
    <t>// плотность частиц в источнике ионов Е+19, в нейтрализаторе Е+20, 5E+17…</t>
  </si>
  <si>
    <r>
      <t xml:space="preserve">плотность частиц = </t>
    </r>
    <r>
      <rPr>
        <b/>
        <sz val="12"/>
        <color rgb="FFFF0000"/>
        <rFont val="Times New Roman"/>
        <family val="1"/>
        <charset val="204"/>
      </rPr>
      <t>5Е+17</t>
    </r>
    <r>
      <rPr>
        <sz val="12"/>
        <color rgb="FFFF0000"/>
        <rFont val="Times New Roman"/>
        <family val="1"/>
        <charset val="204"/>
      </rPr>
      <t xml:space="preserve"> - 5E+19</t>
    </r>
  </si>
  <si>
    <t>газовая мишень NL~0.8e20 m-2</t>
  </si>
  <si>
    <t>поток газа на криопанели:</t>
  </si>
  <si>
    <t>считаем T=</t>
  </si>
  <si>
    <t>К</t>
  </si>
  <si>
    <t>в нейтрализатор</t>
  </si>
  <si>
    <t>в источник</t>
  </si>
  <si>
    <r>
      <t xml:space="preserve">В инжекторах нейтральных частиц предусматриваются две перегородки-мембраны для предотвращения перетекания газа из нейтрализатора в источник ионов и в RID </t>
    </r>
    <r>
      <rPr>
        <b/>
        <sz val="12"/>
        <color rgb="FFFF0000"/>
        <rFont val="Times New Roman"/>
        <family val="1"/>
        <charset val="204"/>
      </rPr>
      <t>(и для обеспечения дифференциальной откачки)!</t>
    </r>
  </si>
  <si>
    <t xml:space="preserve">тритий: </t>
  </si>
  <si>
    <t xml:space="preserve">дейтерий: </t>
  </si>
  <si>
    <r>
      <t xml:space="preserve">ПОТОКИ ГАЗА </t>
    </r>
    <r>
      <rPr>
        <b/>
        <u/>
        <sz val="12"/>
        <color rgb="FFFF0000"/>
        <rFont val="Times New Roman"/>
        <family val="1"/>
        <charset val="204"/>
      </rPr>
      <t>ВО ВСЕ !!!</t>
    </r>
    <r>
      <rPr>
        <b/>
        <sz val="12"/>
        <color rgb="FFFF0000"/>
        <rFont val="Times New Roman"/>
        <family val="1"/>
        <charset val="204"/>
      </rPr>
      <t xml:space="preserve"> ИНЖЕКТОРЫ</t>
    </r>
  </si>
  <si>
    <t xml:space="preserve">СОСТАВ ГАЗА ПРИ ОТКАЧКЕ </t>
  </si>
  <si>
    <t>RID И КАЛОРИМЕТРА:</t>
  </si>
  <si>
    <t>Полагаем, что поток через ПОИ, калориметр и атопопровод будет определяться газом, натекающим из тора (с одной стороны), из нейтрализатора и заряженных частиц отклоняющихся в ПОИ (с другой стороны)</t>
  </si>
  <si>
    <t xml:space="preserve"> // Крылов (2018) :</t>
  </si>
  <si>
    <t>раз</t>
  </si>
  <si>
    <t>k(pellet)HFS</t>
  </si>
  <si>
    <t>k(pellet)LFS</t>
  </si>
  <si>
    <t>// считаем концентрацию по значению для нейтрализатора</t>
  </si>
  <si>
    <t>1/м2*с</t>
  </si>
  <si>
    <t>Плотности изотопов водорода в твердом состоянии:</t>
  </si>
  <si>
    <t>Н2</t>
  </si>
  <si>
    <t xml:space="preserve">Гц </t>
  </si>
  <si>
    <t>Enbi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</si>
  <si>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вакуумной камеры</t>
    </r>
  </si>
  <si>
    <r>
      <t xml:space="preserve"> площадь стенок </t>
    </r>
    <r>
      <rPr>
        <b/>
        <sz val="12"/>
        <color theme="1"/>
        <rFont val="Times New Roman"/>
        <family val="1"/>
        <charset val="204"/>
      </rPr>
      <t>вакуумной камеры</t>
    </r>
    <r>
      <rPr>
        <sz val="12"/>
        <color theme="1"/>
        <rFont val="Times New Roman"/>
        <family val="1"/>
        <charset val="204"/>
      </rPr>
      <t xml:space="preserve"> S=</t>
    </r>
  </si>
  <si>
    <t xml:space="preserve">поток DT, который может быть захвачен из вакуумной камеры Li </t>
  </si>
  <si>
    <t xml:space="preserve">мм3 </t>
  </si>
  <si>
    <t>при 1000К</t>
  </si>
  <si>
    <t>минимально допустимая доля изотопа в пеллете</t>
  </si>
  <si>
    <t>поток частиц на FW</t>
  </si>
  <si>
    <t>шт/с м2</t>
  </si>
  <si>
    <r>
      <t xml:space="preserve">поток частиц через сепратрису </t>
    </r>
    <r>
      <rPr>
        <b/>
        <sz val="12"/>
        <rFont val="Times New Roman"/>
        <family val="1"/>
        <charset val="204"/>
      </rPr>
      <t>Ssep</t>
    </r>
  </si>
  <si>
    <t xml:space="preserve">атомов/с </t>
  </si>
  <si>
    <t>г/ 3,2 часа</t>
  </si>
  <si>
    <t>объем дивертора</t>
  </si>
  <si>
    <t>при 600К</t>
  </si>
  <si>
    <t>доля примеси Ne</t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</si>
  <si>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Не</t>
    </r>
    <r>
      <rPr>
        <sz val="12"/>
        <color rgb="FFFF0000"/>
        <rFont val="Times New Roman"/>
        <family val="1"/>
        <charset val="204"/>
      </rPr>
      <t xml:space="preserve"> в плазме</t>
    </r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</si>
  <si>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протия</t>
    </r>
    <r>
      <rPr>
        <sz val="12"/>
        <color rgb="FFFF0000"/>
        <rFont val="Times New Roman"/>
        <family val="1"/>
        <charset val="204"/>
      </rPr>
      <t xml:space="preserve"> в плазме</t>
    </r>
  </si>
  <si>
    <r>
      <t>// Поток D+T через сепаратрису в ДЕМО-ТИН Г</t>
    </r>
    <r>
      <rPr>
        <sz val="8"/>
        <color rgb="FF00B0F0"/>
        <rFont val="Times New Roman"/>
        <family val="1"/>
        <charset val="204"/>
      </rPr>
      <t>D</t>
    </r>
    <r>
      <rPr>
        <sz val="12"/>
        <color rgb="FF00B0F0"/>
        <rFont val="Times New Roman"/>
        <family val="1"/>
        <charset val="204"/>
      </rPr>
      <t xml:space="preserve"> = 3.5×10^21 ат/сек</t>
    </r>
  </si>
  <si>
    <r>
      <t>(</t>
    </r>
    <r>
      <rPr>
        <u/>
        <sz val="12"/>
        <color rgb="FF00B0F0"/>
        <rFont val="Times New Roman"/>
        <family val="1"/>
        <charset val="204"/>
      </rPr>
      <t>В.Ю. Сергеев</t>
    </r>
    <r>
      <rPr>
        <sz val="12"/>
        <color rgb="FF00B0F0"/>
        <rFont val="Times New Roman"/>
        <family val="1"/>
        <charset val="204"/>
      </rPr>
      <t>, Б.В. Кутеев, А.С. Кукушкин, В.С. Петров - семинар ТИН 2018)</t>
    </r>
  </si>
  <si>
    <t>// ITER</t>
  </si>
  <si>
    <t>количество пеллет-инжекторов:</t>
  </si>
  <si>
    <t>частота работы инжектора:</t>
  </si>
  <si>
    <t>размер топливной пеллеты (диаметр):</t>
  </si>
  <si>
    <t>время остановки тритийвоспроизводящего бланкета</t>
  </si>
  <si>
    <r>
      <t xml:space="preserve">Поток газа в источник ионов </t>
    </r>
    <r>
      <rPr>
        <b/>
        <sz val="12"/>
        <color theme="1"/>
        <rFont val="Times New Roman"/>
        <family val="1"/>
        <charset val="204"/>
      </rPr>
      <t>(одного инжектора)</t>
    </r>
  </si>
  <si>
    <t>Z_eff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</si>
  <si>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</si>
  <si>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объем </t>
    </r>
    <r>
      <rPr>
        <b/>
        <sz val="12"/>
        <color theme="1"/>
        <rFont val="Times New Roman"/>
        <family val="1"/>
        <charset val="204"/>
      </rPr>
      <t>EDGE</t>
    </r>
  </si>
  <si>
    <r>
      <t xml:space="preserve"> площадь первой стенки S</t>
    </r>
    <r>
      <rPr>
        <sz val="8"/>
        <color theme="1"/>
        <rFont val="Times New Roman"/>
        <family val="1"/>
        <charset val="204"/>
      </rPr>
      <t>FW</t>
    </r>
    <r>
      <rPr>
        <sz val="12"/>
        <color theme="1"/>
        <rFont val="Times New Roman"/>
        <family val="1"/>
        <charset val="204"/>
      </rPr>
      <t>=</t>
    </r>
  </si>
  <si>
    <r>
      <t>объем камеры внутри первой стенки V</t>
    </r>
    <r>
      <rPr>
        <sz val="8"/>
        <color theme="1"/>
        <rFont val="Times New Roman"/>
        <family val="1"/>
        <charset val="204"/>
      </rPr>
      <t>FW=</t>
    </r>
  </si>
  <si>
    <r>
      <t>n</t>
    </r>
    <r>
      <rPr>
        <b/>
        <sz val="8"/>
        <color indexed="8"/>
        <rFont val="Times New Roman"/>
        <family val="1"/>
        <charset val="204"/>
      </rPr>
      <t>е_sep</t>
    </r>
  </si>
  <si>
    <r>
      <t>n</t>
    </r>
    <r>
      <rPr>
        <b/>
        <sz val="8"/>
        <color indexed="8"/>
        <rFont val="Times New Roman"/>
        <family val="1"/>
        <charset val="204"/>
      </rPr>
      <t>е_div</t>
    </r>
  </si>
  <si>
    <r>
      <t xml:space="preserve">плотность плазмы (общая) </t>
    </r>
    <r>
      <rPr>
        <b/>
        <sz val="12"/>
        <color indexed="8"/>
        <rFont val="Times New Roman"/>
        <family val="1"/>
        <charset val="204"/>
      </rPr>
      <t>&lt;ne&gt;</t>
    </r>
    <r>
      <rPr>
        <sz val="12"/>
        <color indexed="8"/>
        <rFont val="Times New Roman"/>
        <family val="1"/>
        <charset val="204"/>
      </rPr>
      <t>=</t>
    </r>
  </si>
  <si>
    <r>
      <t xml:space="preserve">давление нейтралов в диверторе </t>
    </r>
    <r>
      <rPr>
        <b/>
        <sz val="12"/>
        <color theme="1"/>
        <rFont val="Times New Roman"/>
        <family val="1"/>
        <charset val="204"/>
      </rPr>
      <t>p</t>
    </r>
    <r>
      <rPr>
        <b/>
        <sz val="10"/>
        <color theme="1"/>
        <rFont val="Times New Roman"/>
        <family val="1"/>
        <charset val="204"/>
      </rPr>
      <t>n=</t>
    </r>
  </si>
  <si>
    <r>
      <t xml:space="preserve">Термоядерная мощность </t>
    </r>
    <r>
      <rPr>
        <b/>
        <sz val="12"/>
        <color indexed="8"/>
        <rFont val="Times New Roman"/>
        <family val="1"/>
        <charset val="204"/>
      </rPr>
      <t>Pf=</t>
    </r>
  </si>
  <si>
    <r>
      <t>P</t>
    </r>
    <r>
      <rPr>
        <b/>
        <sz val="10"/>
        <color theme="1"/>
        <rFont val="Times New Roman"/>
        <family val="1"/>
        <charset val="204"/>
      </rPr>
      <t>SOL</t>
    </r>
    <r>
      <rPr>
        <b/>
        <sz val="12"/>
        <color theme="1"/>
        <rFont val="Times New Roman"/>
        <family val="1"/>
        <charset val="204"/>
      </rPr>
      <t>=</t>
    </r>
  </si>
  <si>
    <r>
      <t xml:space="preserve">Энергетическое время удержания </t>
    </r>
    <r>
      <rPr>
        <b/>
        <sz val="12"/>
        <color indexed="8"/>
        <rFont val="Times New Roman"/>
        <family val="1"/>
        <charset val="204"/>
      </rPr>
      <t>τе=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</si>
  <si>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p</t>
    </r>
    <r>
      <rPr>
        <b/>
        <sz val="12"/>
        <color theme="1"/>
        <rFont val="Times New Roman"/>
        <family val="1"/>
        <charset val="204"/>
      </rPr>
      <t xml:space="preserve">= 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p/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E</t>
    </r>
  </si>
  <si>
    <t>n_T+n_D =</t>
  </si>
  <si>
    <r>
      <t xml:space="preserve">доля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</si>
  <si>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доля </t>
    </r>
    <r>
      <rPr>
        <b/>
        <sz val="12"/>
        <color theme="1"/>
        <rFont val="Times New Roman"/>
        <family val="1"/>
        <charset val="204"/>
      </rPr>
      <t>EDGE</t>
    </r>
  </si>
  <si>
    <t>Pdiv</t>
  </si>
  <si>
    <r>
      <t>P</t>
    </r>
    <r>
      <rPr>
        <sz val="8"/>
        <color theme="1"/>
        <rFont val="Times New Roman"/>
        <family val="1"/>
        <charset val="204"/>
      </rPr>
      <t>FW</t>
    </r>
  </si>
  <si>
    <t>для всех инжекторов</t>
  </si>
  <si>
    <t>сумма</t>
  </si>
  <si>
    <r>
      <t xml:space="preserve">ПОТРЕБНОСТЬ В </t>
    </r>
    <r>
      <rPr>
        <b/>
        <sz val="12"/>
        <color rgb="FFFF0000"/>
        <rFont val="Times New Roman"/>
        <family val="1"/>
        <charset val="204"/>
      </rPr>
      <t>Т</t>
    </r>
  </si>
  <si>
    <r>
      <t xml:space="preserve">ПОТРЕБНОСТЬ В </t>
    </r>
    <r>
      <rPr>
        <b/>
        <sz val="12"/>
        <color rgb="FF0070C0"/>
        <rFont val="Times New Roman"/>
        <family val="1"/>
        <charset val="204"/>
      </rPr>
      <t>D</t>
    </r>
  </si>
  <si>
    <t xml:space="preserve">Часть ионов, превратившихся в быстрые атомы </t>
  </si>
  <si>
    <t>Эффективность тракта</t>
  </si>
  <si>
    <t>содержание в откачиваемой смеси молекул, содержащих изотопы Н:</t>
  </si>
  <si>
    <t>k(NBIs)</t>
  </si>
  <si>
    <t>площадь сепаратрисы</t>
  </si>
  <si>
    <t xml:space="preserve">м3    </t>
  </si>
  <si>
    <r>
      <t>HFS_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</si>
  <si>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r>
      <t>HFS_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</si>
  <si>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</si>
  <si>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</si>
  <si>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t>в источнике</t>
  </si>
  <si>
    <t>в корпусе</t>
  </si>
  <si>
    <r>
      <rPr>
        <sz val="12"/>
        <color rgb="FFFF00FF"/>
        <rFont val="Times New Roman"/>
        <family val="1"/>
        <charset val="204"/>
      </rPr>
      <t xml:space="preserve"> - вылет частиц дейтерия из инжектора в тор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(поток на стенку х</t>
    </r>
  </si>
  <si>
    <r>
      <rPr>
        <sz val="12"/>
        <color rgb="FFFF00FF"/>
        <rFont val="Times New Roman"/>
        <family val="1"/>
        <charset val="204"/>
      </rPr>
      <t xml:space="preserve"> - вылет частиц трития из инжектора в тор </t>
    </r>
    <r>
      <rPr>
        <sz val="12"/>
        <color theme="1"/>
        <rFont val="Times New Roman"/>
        <family val="1"/>
        <charset val="204"/>
      </rPr>
      <t xml:space="preserve">    </t>
    </r>
    <r>
      <rPr>
        <sz val="12"/>
        <color rgb="FFFF0000"/>
        <rFont val="Times New Roman"/>
        <family val="1"/>
        <charset val="204"/>
      </rPr>
      <t>(поток на стенку х</t>
    </r>
  </si>
  <si>
    <t>если плотность частиц = 5Е+18 то</t>
  </si>
  <si>
    <t>лет</t>
  </si>
  <si>
    <t>поток газа в систему очистки (детритизации)</t>
  </si>
  <si>
    <t>поток Т</t>
  </si>
  <si>
    <r>
      <t>считаем, что до инжектора нейтральныйх частиц по атомопроводу долетит</t>
    </r>
    <r>
      <rPr>
        <b/>
        <sz val="12"/>
        <color rgb="FFFF0000"/>
        <rFont val="Times New Roman"/>
        <family val="1"/>
        <charset val="204"/>
      </rPr>
      <t xml:space="preserve">    </t>
    </r>
  </si>
  <si>
    <t xml:space="preserve"> часть исходного падающего потока !</t>
  </si>
  <si>
    <t xml:space="preserve">Следует рассмотреть случаи использования инжекторов с D и DT смесью </t>
  </si>
  <si>
    <t>В обоих случаях топливная смесь (различного изотопного состава), циркулирует в замкнутом контуре NBI.</t>
  </si>
  <si>
    <t xml:space="preserve">Контроль доти трития производится детритизацией части циркулирующего (в процессе регенерация-газонапуск) потока </t>
  </si>
  <si>
    <t>ВАРИАНТ ДЛЯ ВЕРИФИКАЦИИ</t>
  </si>
  <si>
    <r>
      <rPr>
        <b/>
        <sz val="12"/>
        <color rgb="FFFF0000"/>
        <rFont val="Times New Roman"/>
        <family val="1"/>
        <charset val="204"/>
      </rPr>
      <t xml:space="preserve">С ОБЩИМ ТЦ </t>
    </r>
    <r>
      <rPr>
        <sz val="12"/>
        <color rgb="FFFF0000"/>
        <rFont val="Times New Roman"/>
        <family val="1"/>
        <charset val="204"/>
      </rPr>
      <t>(ТЦ ИНЖЕКТОРОВ ОТКРЫТЫЙ)</t>
    </r>
  </si>
  <si>
    <t xml:space="preserve"> - частицы D + Т</t>
  </si>
  <si>
    <t>// из расчетов Крылова (0,73г за 3,2 часа работы инжектора)</t>
  </si>
  <si>
    <t>инжекторов</t>
  </si>
  <si>
    <t>в работе</t>
  </si>
  <si>
    <t>// ITER-like (90%)</t>
  </si>
  <si>
    <r>
      <rPr>
        <b/>
        <sz val="12"/>
        <color theme="1"/>
        <rFont val="Times New Roman"/>
        <family val="1"/>
        <charset val="204"/>
      </rPr>
      <t xml:space="preserve">TBR (не </t>
    </r>
    <r>
      <rPr>
        <sz val="12"/>
        <color theme="1"/>
        <rFont val="Times New Roman"/>
        <family val="1"/>
        <charset val="204"/>
      </rPr>
      <t>TBRL)</t>
    </r>
  </si>
  <si>
    <r>
      <t>P</t>
    </r>
    <r>
      <rPr>
        <b/>
        <sz val="8"/>
        <color theme="1"/>
        <rFont val="Times New Roman"/>
        <family val="1"/>
        <charset val="204"/>
      </rPr>
      <t>EC</t>
    </r>
    <r>
      <rPr>
        <b/>
        <sz val="12"/>
        <color theme="1"/>
        <rFont val="Times New Roman"/>
        <family val="1"/>
        <charset val="204"/>
      </rPr>
      <t xml:space="preserve"> = </t>
    </r>
  </si>
  <si>
    <t>f(T,div)</t>
  </si>
  <si>
    <t>5%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</si>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</sst>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E+00"/>
    <numFmt numFmtId="167" formatCode="0.0E+00"/>
    <numFmt numFmtId="168" formatCode="#,##0.0"/>
    <numFmt numFmtId="169" formatCode="0.000%"/>
    <numFmt numFmtId="170" formatCode="0.0%"/>
    <numFmt numFmtId="171" formatCode="0.00000%"/>
    <numFmt numFmtId="172" formatCode="0.0000"/>
    <numFmt numFmtId="173" formatCode="0.00000"/>
  </numFmts>
  <fonts count="4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u/>
      <sz val="12"/>
      <color rgb="FF00B0F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C000"/>
      <name val="Times New Roman"/>
      <family val="1"/>
      <charset val="204"/>
    </font>
    <font>
      <i/>
      <sz val="12"/>
      <color rgb="FF00B05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u/>
      <sz val="12"/>
      <color rgb="FF0070C0"/>
      <name val="Times New Roman"/>
      <family val="1"/>
      <charset val="204"/>
    </font>
    <font>
      <i/>
      <sz val="12"/>
      <color rgb="FF7030A0"/>
      <name val="Times New Roman"/>
      <family val="1"/>
      <charset val="204"/>
    </font>
    <font>
      <sz val="12"/>
      <color rgb="FF00FF00"/>
      <name val="Times New Roman"/>
      <family val="1"/>
      <charset val="204"/>
    </font>
    <font>
      <b/>
      <sz val="12"/>
      <color rgb="FF00FF00"/>
      <name val="Times New Roman"/>
      <family val="1"/>
      <charset val="204"/>
    </font>
    <font>
      <sz val="12"/>
      <color rgb="FFFF00FF"/>
      <name val="Times New Roman"/>
      <family val="1"/>
      <charset val="204"/>
    </font>
    <font>
      <u/>
      <sz val="12"/>
      <color rgb="FF00B0F0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b/>
      <sz val="12"/>
      <color rgb="FFFF00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rgb="FF00B0F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sz val="12"/>
      <color theme="0" tint="-0.1499984740745262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6">
    <xf numFmtId="0" fontId="0" fillId="0" borderId="0" xfId="0"/>
    <xf numFmtId="0" fontId="2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4" fontId="11" fillId="0" borderId="0" xfId="0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/>
    <xf numFmtId="0" fontId="1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vertical="center"/>
    </xf>
    <xf numFmtId="11" fontId="11" fillId="0" borderId="0" xfId="0" applyNumberFormat="1" applyFont="1" applyAlignment="1">
      <alignment vertical="center"/>
    </xf>
    <xf numFmtId="11" fontId="11" fillId="0" borderId="0" xfId="0" applyNumberFormat="1" applyFont="1" applyFill="1" applyAlignment="1">
      <alignment vertical="center"/>
    </xf>
    <xf numFmtId="11" fontId="13" fillId="0" borderId="0" xfId="0" applyNumberFormat="1" applyFont="1" applyAlignment="1">
      <alignment vertical="center"/>
    </xf>
    <xf numFmtId="11" fontId="11" fillId="3" borderId="1" xfId="0" applyNumberFormat="1" applyFont="1" applyFill="1" applyBorder="1" applyAlignment="1">
      <alignment horizontal="center" vertical="center"/>
    </xf>
    <xf numFmtId="11" fontId="11" fillId="0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1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1" fillId="0" borderId="0" xfId="0" applyFont="1" applyFill="1"/>
    <xf numFmtId="0" fontId="11" fillId="6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11" fillId="0" borderId="0" xfId="0" applyNumberFormat="1" applyFont="1" applyAlignment="1">
      <alignment vertical="center"/>
    </xf>
    <xf numFmtId="11" fontId="11" fillId="0" borderId="0" xfId="0" applyNumberFormat="1" applyFont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2" fontId="11" fillId="3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/>
    <xf numFmtId="0" fontId="22" fillId="0" borderId="0" xfId="0" applyFont="1" applyAlignment="1">
      <alignment horizontal="left" vertical="center"/>
    </xf>
    <xf numFmtId="11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2" fontId="11" fillId="2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vertical="center"/>
    </xf>
    <xf numFmtId="0" fontId="22" fillId="0" borderId="0" xfId="0" applyFont="1" applyAlignment="1">
      <alignment horizontal="right" vertical="center"/>
    </xf>
    <xf numFmtId="0" fontId="16" fillId="0" borderId="0" xfId="0" applyFont="1"/>
    <xf numFmtId="11" fontId="15" fillId="0" borderId="0" xfId="0" applyNumberFormat="1" applyFont="1" applyAlignment="1">
      <alignment vertical="center"/>
    </xf>
    <xf numFmtId="0" fontId="16" fillId="0" borderId="0" xfId="0" applyFont="1" applyAlignment="1">
      <alignment horizontal="right" vertical="center"/>
    </xf>
    <xf numFmtId="4" fontId="11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horizontal="right" vertical="center"/>
    </xf>
    <xf numFmtId="2" fontId="1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right"/>
    </xf>
    <xf numFmtId="11" fontId="11" fillId="0" borderId="1" xfId="0" applyNumberFormat="1" applyFont="1" applyFill="1" applyBorder="1" applyAlignment="1">
      <alignment horizontal="center" vertical="center"/>
    </xf>
    <xf numFmtId="11" fontId="11" fillId="6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2" fontId="11" fillId="6" borderId="0" xfId="0" applyNumberFormat="1" applyFont="1" applyFill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0" fontId="23" fillId="0" borderId="0" xfId="0" applyFont="1"/>
    <xf numFmtId="0" fontId="13" fillId="0" borderId="0" xfId="0" applyFont="1"/>
    <xf numFmtId="0" fontId="9" fillId="0" borderId="0" xfId="0" applyFont="1" applyFill="1" applyBorder="1" applyAlignment="1">
      <alignment horizontal="right" vertical="center"/>
    </xf>
    <xf numFmtId="11" fontId="11" fillId="0" borderId="0" xfId="0" applyNumberFormat="1" applyFont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1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164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readingOrder="1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1" fontId="10" fillId="0" borderId="0" xfId="0" applyNumberFormat="1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3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0" applyNumberFormat="1" applyFont="1" applyAlignment="1">
      <alignment vertical="center"/>
    </xf>
    <xf numFmtId="11" fontId="14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164" fontId="23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1" fontId="13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1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0" borderId="0" xfId="0" applyFont="1" applyFill="1" applyAlignment="1">
      <alignment horizontal="right" vertical="center"/>
    </xf>
    <xf numFmtId="0" fontId="25" fillId="0" borderId="0" xfId="0" applyFont="1"/>
    <xf numFmtId="11" fontId="16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10" fontId="23" fillId="0" borderId="0" xfId="0" applyNumberFormat="1" applyFont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170" fontId="10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23" fillId="0" borderId="1" xfId="0" applyNumberFormat="1" applyFont="1" applyFill="1" applyBorder="1" applyAlignment="1">
      <alignment horizontal="center" vertical="center"/>
    </xf>
    <xf numFmtId="11" fontId="23" fillId="2" borderId="1" xfId="0" applyNumberFormat="1" applyFont="1" applyFill="1" applyBorder="1" applyAlignment="1">
      <alignment horizontal="center" vertical="center"/>
    </xf>
    <xf numFmtId="11" fontId="22" fillId="0" borderId="1" xfId="0" applyNumberFormat="1" applyFont="1" applyFill="1" applyBorder="1" applyAlignment="1">
      <alignment horizontal="center" vertical="center"/>
    </xf>
    <xf numFmtId="11" fontId="12" fillId="0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1" fontId="22" fillId="2" borderId="1" xfId="0" applyNumberFormat="1" applyFont="1" applyFill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11" fontId="15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 readingOrder="1"/>
    </xf>
    <xf numFmtId="2" fontId="23" fillId="0" borderId="0" xfId="0" applyNumberFormat="1" applyFont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11" fontId="11" fillId="2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Fill="1" applyAlignment="1">
      <alignment vertical="center"/>
    </xf>
    <xf numFmtId="11" fontId="13" fillId="0" borderId="0" xfId="0" applyNumberFormat="1" applyFont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2" fontId="2" fillId="6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1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Alignment="1">
      <alignment horizontal="left" vertical="center"/>
    </xf>
    <xf numFmtId="169" fontId="11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1" fontId="23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0" fontId="2" fillId="0" borderId="0" xfId="0" applyNumberFormat="1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70" fontId="1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23" fillId="0" borderId="0" xfId="0" applyFont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6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right" vertical="center"/>
    </xf>
    <xf numFmtId="49" fontId="10" fillId="0" borderId="0" xfId="0" applyNumberFormat="1" applyFont="1" applyAlignment="1">
      <alignment vertical="center"/>
    </xf>
    <xf numFmtId="11" fontId="13" fillId="0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2" fontId="10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1" fontId="11" fillId="6" borderId="0" xfId="0" applyNumberFormat="1" applyFont="1" applyFill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9" fontId="10" fillId="6" borderId="0" xfId="0" applyNumberFormat="1" applyFont="1" applyFill="1" applyAlignment="1">
      <alignment horizontal="center" vertical="center"/>
    </xf>
    <xf numFmtId="10" fontId="11" fillId="6" borderId="0" xfId="0" applyNumberFormat="1" applyFont="1" applyFill="1" applyAlignment="1">
      <alignment horizontal="center" vertical="center"/>
    </xf>
    <xf numFmtId="11" fontId="12" fillId="6" borderId="0" xfId="0" applyNumberFormat="1" applyFont="1" applyFill="1" applyAlignment="1">
      <alignment horizontal="center" vertical="center"/>
    </xf>
    <xf numFmtId="1" fontId="11" fillId="0" borderId="0" xfId="0" applyNumberFormat="1" applyFont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7" fontId="12" fillId="6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11" fontId="12" fillId="0" borderId="1" xfId="0" applyNumberFormat="1" applyFont="1" applyBorder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3" fontId="13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170" fontId="11" fillId="0" borderId="0" xfId="0" applyNumberFormat="1" applyFont="1" applyFill="1" applyBorder="1" applyAlignment="1">
      <alignment horizontal="center" vertical="center"/>
    </xf>
    <xf numFmtId="11" fontId="15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right" vertical="center"/>
    </xf>
    <xf numFmtId="168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right" vertical="center"/>
    </xf>
    <xf numFmtId="167" fontId="23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10" fontId="29" fillId="0" borderId="0" xfId="0" applyNumberFormat="1" applyFont="1" applyAlignment="1">
      <alignment horizontal="center" vertical="center"/>
    </xf>
    <xf numFmtId="172" fontId="29" fillId="0" borderId="0" xfId="0" applyNumberFormat="1" applyFont="1" applyFill="1" applyBorder="1" applyAlignment="1">
      <alignment horizontal="center" vertical="center"/>
    </xf>
    <xf numFmtId="11" fontId="12" fillId="0" borderId="0" xfId="0" applyNumberFormat="1" applyFont="1" applyAlignment="1">
      <alignment vertical="center"/>
    </xf>
    <xf numFmtId="164" fontId="12" fillId="0" borderId="0" xfId="0" applyNumberFormat="1" applyFont="1" applyFill="1" applyBorder="1" applyAlignment="1">
      <alignment horizontal="center" vertical="center"/>
    </xf>
    <xf numFmtId="172" fontId="32" fillId="0" borderId="0" xfId="0" applyNumberFormat="1" applyFont="1" applyFill="1" applyBorder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11" fontId="15" fillId="0" borderId="0" xfId="0" applyNumberFormat="1" applyFont="1" applyFill="1" applyBorder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0" fontId="14" fillId="0" borderId="0" xfId="0" applyFont="1"/>
    <xf numFmtId="2" fontId="2" fillId="4" borderId="0" xfId="0" applyNumberFormat="1" applyFont="1" applyFill="1" applyAlignment="1">
      <alignment horizontal="center" vertical="center"/>
    </xf>
    <xf numFmtId="167" fontId="12" fillId="4" borderId="0" xfId="0" applyNumberFormat="1" applyFont="1" applyFill="1" applyAlignment="1">
      <alignment horizontal="center" vertical="center"/>
    </xf>
    <xf numFmtId="167" fontId="12" fillId="3" borderId="0" xfId="0" applyNumberFormat="1" applyFont="1" applyFill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11" fontId="12" fillId="3" borderId="0" xfId="0" applyNumberFormat="1" applyFont="1" applyFill="1" applyAlignment="1">
      <alignment horizontal="center" vertical="center"/>
    </xf>
    <xf numFmtId="11" fontId="12" fillId="4" borderId="0" xfId="0" applyNumberFormat="1" applyFont="1" applyFill="1" applyAlignment="1">
      <alignment horizontal="center" vertical="center"/>
    </xf>
    <xf numFmtId="11" fontId="12" fillId="4" borderId="1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169" fontId="1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9" fontId="2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9" fontId="10" fillId="4" borderId="0" xfId="0" applyNumberFormat="1" applyFont="1" applyFill="1" applyAlignment="1">
      <alignment horizontal="center" vertical="center"/>
    </xf>
    <xf numFmtId="10" fontId="12" fillId="4" borderId="0" xfId="0" applyNumberFormat="1" applyFont="1" applyFill="1" applyAlignment="1">
      <alignment horizontal="center" vertical="center"/>
    </xf>
    <xf numFmtId="10" fontId="12" fillId="6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13" fillId="0" borderId="0" xfId="0" applyNumberFormat="1" applyFont="1" applyAlignment="1">
      <alignment horizontal="left" readingOrder="1"/>
    </xf>
    <xf numFmtId="0" fontId="11" fillId="0" borderId="0" xfId="0" applyFont="1" applyAlignment="1">
      <alignment horizontal="left" readingOrder="1"/>
    </xf>
    <xf numFmtId="0" fontId="13" fillId="0" borderId="0" xfId="0" applyFont="1" applyFill="1" applyAlignment="1">
      <alignment horizontal="center" readingOrder="1"/>
    </xf>
    <xf numFmtId="0" fontId="2" fillId="7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left"/>
    </xf>
    <xf numFmtId="167" fontId="16" fillId="2" borderId="0" xfId="0" applyNumberFormat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69" fontId="2" fillId="7" borderId="0" xfId="0" applyNumberFormat="1" applyFont="1" applyFill="1" applyAlignment="1">
      <alignment horizontal="center" vertical="center"/>
    </xf>
    <xf numFmtId="11" fontId="2" fillId="7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right"/>
    </xf>
    <xf numFmtId="169" fontId="15" fillId="0" borderId="0" xfId="0" applyNumberFormat="1" applyFont="1" applyFill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10" fontId="11" fillId="0" borderId="0" xfId="0" applyNumberFormat="1" applyFont="1"/>
    <xf numFmtId="2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left"/>
    </xf>
    <xf numFmtId="0" fontId="17" fillId="0" borderId="0" xfId="0" applyFont="1" applyAlignment="1"/>
    <xf numFmtId="0" fontId="2" fillId="0" borderId="0" xfId="0" applyFont="1" applyAlignment="1"/>
    <xf numFmtId="2" fontId="11" fillId="0" borderId="1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11" fontId="12" fillId="5" borderId="1" xfId="0" applyNumberFormat="1" applyFont="1" applyFill="1" applyBorder="1" applyAlignment="1">
      <alignment horizontal="center" vertical="center"/>
    </xf>
    <xf numFmtId="11" fontId="11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35" fillId="0" borderId="0" xfId="0" applyFont="1" applyFill="1" applyAlignment="1">
      <alignment horizontal="right"/>
    </xf>
    <xf numFmtId="11" fontId="16" fillId="7" borderId="1" xfId="0" applyNumberFormat="1" applyFont="1" applyFill="1" applyBorder="1" applyAlignment="1">
      <alignment horizontal="center" vertical="center"/>
    </xf>
    <xf numFmtId="11" fontId="13" fillId="7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11" fillId="0" borderId="2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165" fontId="2" fillId="7" borderId="1" xfId="0" applyNumberFormat="1" applyFont="1" applyFill="1" applyBorder="1" applyAlignment="1">
      <alignment horizontal="center"/>
    </xf>
    <xf numFmtId="11" fontId="13" fillId="2" borderId="0" xfId="0" applyNumberFormat="1" applyFont="1" applyFill="1" applyAlignment="1">
      <alignment horizontal="center" vertical="center"/>
    </xf>
    <xf numFmtId="11" fontId="13" fillId="3" borderId="0" xfId="0" applyNumberFormat="1" applyFont="1" applyFill="1" applyAlignment="1">
      <alignment horizontal="center" vertical="center"/>
    </xf>
    <xf numFmtId="11" fontId="15" fillId="3" borderId="1" xfId="0" applyNumberFormat="1" applyFont="1" applyFill="1" applyBorder="1" applyAlignment="1">
      <alignment horizontal="center" vertical="center"/>
    </xf>
    <xf numFmtId="11" fontId="15" fillId="0" borderId="1" xfId="0" applyNumberFormat="1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horizontal="center" vertical="center"/>
    </xf>
    <xf numFmtId="11" fontId="14" fillId="0" borderId="2" xfId="0" applyNumberFormat="1" applyFont="1" applyBorder="1" applyAlignment="1">
      <alignment horizontal="center" vertical="center"/>
    </xf>
    <xf numFmtId="9" fontId="6" fillId="0" borderId="0" xfId="0" applyNumberFormat="1" applyFont="1" applyFill="1" applyAlignment="1">
      <alignment horizontal="center"/>
    </xf>
    <xf numFmtId="10" fontId="11" fillId="3" borderId="0" xfId="0" applyNumberFormat="1" applyFont="1" applyFill="1" applyAlignment="1">
      <alignment horizontal="center"/>
    </xf>
    <xf numFmtId="10" fontId="11" fillId="4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11" fontId="14" fillId="7" borderId="1" xfId="0" applyNumberFormat="1" applyFont="1" applyFill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10" fontId="11" fillId="6" borderId="0" xfId="0" applyNumberFormat="1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45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35" fillId="0" borderId="0" xfId="0" applyFont="1" applyFill="1"/>
    <xf numFmtId="9" fontId="14" fillId="0" borderId="0" xfId="0" applyNumberFormat="1" applyFont="1" applyFill="1" applyAlignment="1">
      <alignment horizontal="center"/>
    </xf>
    <xf numFmtId="165" fontId="2" fillId="7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/>
    </xf>
    <xf numFmtId="0" fontId="13" fillId="0" borderId="0" xfId="0" applyFont="1" applyBorder="1"/>
    <xf numFmtId="9" fontId="23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9" fontId="25" fillId="0" borderId="0" xfId="0" applyNumberFormat="1" applyFont="1" applyBorder="1" applyAlignment="1">
      <alignment horizontal="center"/>
    </xf>
    <xf numFmtId="0" fontId="15" fillId="0" borderId="0" xfId="0" applyFont="1" applyBorder="1"/>
    <xf numFmtId="9" fontId="25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1" fontId="11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 applyBorder="1" applyAlignment="1">
      <alignment horizontal="center"/>
    </xf>
    <xf numFmtId="11" fontId="14" fillId="5" borderId="2" xfId="0" applyNumberFormat="1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2" fontId="2" fillId="9" borderId="0" xfId="0" applyNumberFormat="1" applyFont="1" applyFill="1" applyBorder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11" fontId="23" fillId="7" borderId="1" xfId="0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167" fontId="11" fillId="0" borderId="1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70" fontId="10" fillId="0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/>
    </xf>
    <xf numFmtId="11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164" fontId="13" fillId="0" borderId="1" xfId="0" applyNumberFormat="1" applyFont="1" applyFill="1" applyBorder="1" applyAlignment="1">
      <alignment horizontal="center" vertical="center"/>
    </xf>
    <xf numFmtId="11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71" fontId="10" fillId="0" borderId="0" xfId="0" applyNumberFormat="1" applyFont="1" applyFill="1" applyBorder="1" applyAlignment="1">
      <alignment horizontal="center" vertical="center"/>
    </xf>
    <xf numFmtId="11" fontId="22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/>
    </xf>
    <xf numFmtId="11" fontId="15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173" fontId="11" fillId="0" borderId="0" xfId="0" applyNumberFormat="1" applyFont="1" applyFill="1" applyAlignment="1">
      <alignment horizontal="center" vertical="center"/>
    </xf>
    <xf numFmtId="0" fontId="23" fillId="0" borderId="0" xfId="0" applyFont="1" applyFill="1" applyBorder="1" applyAlignment="1">
      <alignment horizontal="right" vertical="center"/>
    </xf>
    <xf numFmtId="11" fontId="25" fillId="0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14" fillId="3" borderId="1" xfId="0" applyNumberFormat="1" applyFont="1" applyFill="1" applyBorder="1" applyAlignment="1">
      <alignment horizontal="center" vertical="center"/>
    </xf>
    <xf numFmtId="11" fontId="25" fillId="0" borderId="1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2" fontId="23" fillId="0" borderId="1" xfId="0" applyNumberFormat="1" applyFont="1" applyFill="1" applyBorder="1" applyAlignment="1">
      <alignment horizontal="center" vertical="center"/>
    </xf>
    <xf numFmtId="4" fontId="23" fillId="0" borderId="1" xfId="0" applyNumberFormat="1" applyFont="1" applyFill="1" applyBorder="1" applyAlignment="1">
      <alignment horizontal="center" vertical="center"/>
    </xf>
    <xf numFmtId="11" fontId="11" fillId="4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/>
    <xf numFmtId="0" fontId="2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1" fillId="0" borderId="0" xfId="0" applyFont="1" applyBorder="1"/>
    <xf numFmtId="0" fontId="2" fillId="0" borderId="0" xfId="0" applyFont="1" applyFill="1" applyBorder="1"/>
    <xf numFmtId="0" fontId="13" fillId="0" borderId="0" xfId="0" applyFont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172" fontId="16" fillId="0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00FF"/>
      <color rgb="FFFFABAB"/>
      <color rgb="FFABE286"/>
      <color rgb="FFFF99FF"/>
      <color rgb="FF599EA7"/>
      <color rgb="FFD3832B"/>
      <color rgb="FFE49E88"/>
      <color rgb="FFA481C1"/>
      <color rgb="FF86A4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u="sng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Ntritium(t), </a:t>
            </a:r>
            <a:r>
              <a:rPr lang="ru-RU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штук  </a:t>
            </a:r>
          </a:p>
        </c:rich>
      </c:tx>
      <c:layout>
        <c:manualLayout>
          <c:xMode val="edge"/>
          <c:yMode val="edge"/>
          <c:x val="0.42011784754597081"/>
          <c:y val="1.263209446393233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59618158785565"/>
          <c:y val="6.2216787139867412E-2"/>
          <c:w val="0.8116490696331925"/>
          <c:h val="0.82062744685616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'динамика трития в инжекторах'!$Z$2</c:f>
              <c:strCache>
                <c:ptCount val="1"/>
                <c:pt idx="0">
                  <c:v>Ntritium</c:v>
                </c:pt>
              </c:strCache>
            </c:strRef>
          </c:tx>
          <c:xVal>
            <c:numRef>
              <c:f>'динамика трития в инжекторах'!$W$4:$W$20</c:f>
              <c:numCache>
                <c:formatCode>#,##0</c:formatCode>
                <c:ptCount val="17"/>
                <c:pt idx="0">
                  <c:v>1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 formatCode="0.0E+00">
                  <c:v>5000000</c:v>
                </c:pt>
                <c:pt idx="5" formatCode="0.0E+00">
                  <c:v>10000000</c:v>
                </c:pt>
                <c:pt idx="6" formatCode="0.0E+00">
                  <c:v>50000000</c:v>
                </c:pt>
                <c:pt idx="7" formatCode="0.0E+00">
                  <c:v>70000000</c:v>
                </c:pt>
                <c:pt idx="8" formatCode="0.0E+00">
                  <c:v>90000000</c:v>
                </c:pt>
                <c:pt idx="9" formatCode="0.0E+00">
                  <c:v>95000000</c:v>
                </c:pt>
                <c:pt idx="10" formatCode="0.0E+00">
                  <c:v>110000000</c:v>
                </c:pt>
                <c:pt idx="11" formatCode="0.0E+00">
                  <c:v>130000000</c:v>
                </c:pt>
                <c:pt idx="12" formatCode="0.0E+00">
                  <c:v>150000000</c:v>
                </c:pt>
                <c:pt idx="13" formatCode="0.0E+00">
                  <c:v>170000000</c:v>
                </c:pt>
                <c:pt idx="14" formatCode="0.0E+00">
                  <c:v>190000000</c:v>
                </c:pt>
                <c:pt idx="15" formatCode="0.0E+00">
                  <c:v>300000000</c:v>
                </c:pt>
                <c:pt idx="16" formatCode="0.0E+00">
                  <c:v>500000000</c:v>
                </c:pt>
              </c:numCache>
            </c:numRef>
          </c:xVal>
          <c:yVal>
            <c:numRef>
              <c:f>'динамика трития в инжекторах'!$Z$4:$Z$20</c:f>
              <c:numCache>
                <c:formatCode>0.00E+00</c:formatCode>
                <c:ptCount val="17"/>
                <c:pt idx="0">
                  <c:v>7.1109923369109242E+19</c:v>
                </c:pt>
                <c:pt idx="1">
                  <c:v>6.9936472017210391E+22</c:v>
                </c:pt>
                <c:pt idx="2">
                  <c:v>2.053324286249214E+24</c:v>
                </c:pt>
                <c:pt idx="3">
                  <c:v>2.1287171868847212E+24</c:v>
                </c:pt>
                <c:pt idx="4">
                  <c:v>2.1287171868847279E+24</c:v>
                </c:pt>
                <c:pt idx="5">
                  <c:v>2.1287171868847279E+24</c:v>
                </c:pt>
                <c:pt idx="6">
                  <c:v>2.1287171868847279E+24</c:v>
                </c:pt>
                <c:pt idx="7">
                  <c:v>2.1287171868847279E+24</c:v>
                </c:pt>
                <c:pt idx="8">
                  <c:v>2.1287171868847279E+24</c:v>
                </c:pt>
                <c:pt idx="9">
                  <c:v>2.1287171868847279E+24</c:v>
                </c:pt>
                <c:pt idx="10">
                  <c:v>2.1287171868847279E+24</c:v>
                </c:pt>
                <c:pt idx="11">
                  <c:v>2.1287171868847279E+24</c:v>
                </c:pt>
                <c:pt idx="12">
                  <c:v>2.1287171868847279E+24</c:v>
                </c:pt>
                <c:pt idx="13">
                  <c:v>2.1287171868847279E+24</c:v>
                </c:pt>
                <c:pt idx="14">
                  <c:v>2.1287171868847279E+24</c:v>
                </c:pt>
                <c:pt idx="15">
                  <c:v>2.1287171868847279E+24</c:v>
                </c:pt>
                <c:pt idx="16">
                  <c:v>2.1287171868847279E+24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'динамика трития в инжекторах'!$AA$1:$AA$3</c:f>
              <c:strCache>
                <c:ptCount val="1"/>
                <c:pt idx="0">
                  <c:v>Nинж= Nоткач  -Nудал</c:v>
                </c:pt>
              </c:strCache>
            </c:strRef>
          </c:tx>
          <c:xVal>
            <c:numRef>
              <c:f>'динамика трития в инжекторах'!$W$4:$W$20</c:f>
              <c:numCache>
                <c:formatCode>#,##0</c:formatCode>
                <c:ptCount val="17"/>
                <c:pt idx="0">
                  <c:v>1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 formatCode="0.0E+00">
                  <c:v>5000000</c:v>
                </c:pt>
                <c:pt idx="5" formatCode="0.0E+00">
                  <c:v>10000000</c:v>
                </c:pt>
                <c:pt idx="6" formatCode="0.0E+00">
                  <c:v>50000000</c:v>
                </c:pt>
                <c:pt idx="7" formatCode="0.0E+00">
                  <c:v>70000000</c:v>
                </c:pt>
                <c:pt idx="8" formatCode="0.0E+00">
                  <c:v>90000000</c:v>
                </c:pt>
                <c:pt idx="9" formatCode="0.0E+00">
                  <c:v>95000000</c:v>
                </c:pt>
                <c:pt idx="10" formatCode="0.0E+00">
                  <c:v>110000000</c:v>
                </c:pt>
                <c:pt idx="11" formatCode="0.0E+00">
                  <c:v>130000000</c:v>
                </c:pt>
                <c:pt idx="12" formatCode="0.0E+00">
                  <c:v>150000000</c:v>
                </c:pt>
                <c:pt idx="13" formatCode="0.0E+00">
                  <c:v>170000000</c:v>
                </c:pt>
                <c:pt idx="14" formatCode="0.0E+00">
                  <c:v>190000000</c:v>
                </c:pt>
                <c:pt idx="15" formatCode="0.0E+00">
                  <c:v>300000000</c:v>
                </c:pt>
                <c:pt idx="16" formatCode="0.0E+00">
                  <c:v>500000000</c:v>
                </c:pt>
              </c:numCache>
            </c:numRef>
          </c:xVal>
          <c:yVal>
            <c:numRef>
              <c:f>'динамика трития в инжекторах'!$AA$4:$AA$20</c:f>
              <c:numCache>
                <c:formatCode>0.00E+00</c:formatCode>
                <c:ptCount val="17"/>
                <c:pt idx="0">
                  <c:v>9.5264030375938582E+20</c:v>
                </c:pt>
                <c:pt idx="1">
                  <c:v>9.9296907732775181E+20</c:v>
                </c:pt>
                <c:pt idx="2">
                  <c:v>2.1378511141657161E+21</c:v>
                </c:pt>
                <c:pt idx="3">
                  <c:v>2.1813705797101407E+21</c:v>
                </c:pt>
                <c:pt idx="4">
                  <c:v>2.1813705797101444E+21</c:v>
                </c:pt>
                <c:pt idx="5">
                  <c:v>2.1813705797101444E+21</c:v>
                </c:pt>
                <c:pt idx="6">
                  <c:v>2.1813705797101444E+21</c:v>
                </c:pt>
                <c:pt idx="7">
                  <c:v>2.1813705797101444E+21</c:v>
                </c:pt>
                <c:pt idx="8">
                  <c:v>2.1813705797101444E+21</c:v>
                </c:pt>
                <c:pt idx="9">
                  <c:v>2.1813705797101444E+21</c:v>
                </c:pt>
                <c:pt idx="10">
                  <c:v>2.1813705797101444E+21</c:v>
                </c:pt>
                <c:pt idx="11">
                  <c:v>2.1813705797101444E+21</c:v>
                </c:pt>
                <c:pt idx="12">
                  <c:v>2.1813705797101444E+21</c:v>
                </c:pt>
                <c:pt idx="13">
                  <c:v>2.1813705797101444E+21</c:v>
                </c:pt>
                <c:pt idx="14">
                  <c:v>2.1813705797101444E+21</c:v>
                </c:pt>
                <c:pt idx="15">
                  <c:v>2.1813705797101444E+21</c:v>
                </c:pt>
                <c:pt idx="16">
                  <c:v>2.1813705797101444E+21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'динамика трития в инжекторах'!$AB$1:$AB$3</c:f>
              <c:strCache>
                <c:ptCount val="1"/>
                <c:pt idx="0">
                  <c:v>рост N(Т) = увеличение  - Nудал</c:v>
                </c:pt>
              </c:strCache>
            </c:strRef>
          </c:tx>
          <c:xVal>
            <c:numRef>
              <c:f>'динамика трития в инжекторах'!$W$4:$W$20</c:f>
              <c:numCache>
                <c:formatCode>#,##0</c:formatCode>
                <c:ptCount val="17"/>
                <c:pt idx="0">
                  <c:v>1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 formatCode="0.0E+00">
                  <c:v>5000000</c:v>
                </c:pt>
                <c:pt idx="5" formatCode="0.0E+00">
                  <c:v>10000000</c:v>
                </c:pt>
                <c:pt idx="6" formatCode="0.0E+00">
                  <c:v>50000000</c:v>
                </c:pt>
                <c:pt idx="7" formatCode="0.0E+00">
                  <c:v>70000000</c:v>
                </c:pt>
                <c:pt idx="8" formatCode="0.0E+00">
                  <c:v>90000000</c:v>
                </c:pt>
                <c:pt idx="9" formatCode="0.0E+00">
                  <c:v>95000000</c:v>
                </c:pt>
                <c:pt idx="10" formatCode="0.0E+00">
                  <c:v>110000000</c:v>
                </c:pt>
                <c:pt idx="11" formatCode="0.0E+00">
                  <c:v>130000000</c:v>
                </c:pt>
                <c:pt idx="12" formatCode="0.0E+00">
                  <c:v>150000000</c:v>
                </c:pt>
                <c:pt idx="13" formatCode="0.0E+00">
                  <c:v>170000000</c:v>
                </c:pt>
                <c:pt idx="14" formatCode="0.0E+00">
                  <c:v>190000000</c:v>
                </c:pt>
                <c:pt idx="15" formatCode="0.0E+00">
                  <c:v>300000000</c:v>
                </c:pt>
                <c:pt idx="16" formatCode="0.0E+00">
                  <c:v>500000000</c:v>
                </c:pt>
              </c:numCache>
            </c:numRef>
          </c:xVal>
          <c:yVal>
            <c:numRef>
              <c:f>'динамика трития в инжекторах'!$AB$4:$AB$20</c:f>
              <c:numCache>
                <c:formatCode>0.00E+00</c:formatCode>
                <c:ptCount val="17"/>
                <c:pt idx="0">
                  <c:v>1.0962441186600588E+21</c:v>
                </c:pt>
                <c:pt idx="1">
                  <c:v>1.0602637398068675E+21</c:v>
                </c:pt>
                <c:pt idx="2">
                  <c:v>3.8827038841696764E+19</c:v>
                </c:pt>
                <c:pt idx="3">
                  <c:v>3407872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'динамика трития в инжекторах'!$AC$2</c:f>
              <c:strCache>
                <c:ptCount val="1"/>
                <c:pt idx="0">
                  <c:v>Nудал</c:v>
                </c:pt>
              </c:strCache>
            </c:strRef>
          </c:tx>
          <c:xVal>
            <c:numRef>
              <c:f>'динамика трития в инжекторах'!$W$19:$W$20</c:f>
              <c:numCache>
                <c:formatCode>0.0E+00</c:formatCode>
                <c:ptCount val="2"/>
                <c:pt idx="0">
                  <c:v>300000000</c:v>
                </c:pt>
                <c:pt idx="1">
                  <c:v>500000000</c:v>
                </c:pt>
              </c:numCache>
            </c:numRef>
          </c:xVal>
          <c:yVal>
            <c:numRef>
              <c:f>'динамика трития в инжекторах'!$AC$19:$AC$20</c:f>
              <c:numCache>
                <c:formatCode>0.00E+00</c:formatCode>
                <c:ptCount val="2"/>
                <c:pt idx="0">
                  <c:v>1.4222222222222225E+20</c:v>
                </c:pt>
                <c:pt idx="1">
                  <c:v>1.4222222222222225E+20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'динамика трития в инжекторах'!$AD$2:$AD$3</c:f>
              <c:strCache>
                <c:ptCount val="1"/>
                <c:pt idx="0">
                  <c:v>Nоткач  шт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pPr>
              <a:ln>
                <a:solidFill>
                  <a:srgbClr val="00FF00"/>
                </a:solidFill>
              </a:ln>
            </c:spPr>
          </c:marker>
          <c:xVal>
            <c:numRef>
              <c:f>'динамика трития в инжекторах'!$W$6:$W$20</c:f>
              <c:numCache>
                <c:formatCode>#,##0</c:formatCode>
                <c:ptCount val="15"/>
                <c:pt idx="0">
                  <c:v>100000</c:v>
                </c:pt>
                <c:pt idx="1">
                  <c:v>1000000</c:v>
                </c:pt>
                <c:pt idx="2" formatCode="0.0E+00">
                  <c:v>5000000</c:v>
                </c:pt>
                <c:pt idx="3" formatCode="0.0E+00">
                  <c:v>10000000</c:v>
                </c:pt>
                <c:pt idx="4" formatCode="0.0E+00">
                  <c:v>50000000</c:v>
                </c:pt>
                <c:pt idx="5" formatCode="0.0E+00">
                  <c:v>70000000</c:v>
                </c:pt>
                <c:pt idx="6" formatCode="0.0E+00">
                  <c:v>90000000</c:v>
                </c:pt>
                <c:pt idx="7" formatCode="0.0E+00">
                  <c:v>95000000</c:v>
                </c:pt>
                <c:pt idx="8" formatCode="0.0E+00">
                  <c:v>110000000</c:v>
                </c:pt>
                <c:pt idx="9" formatCode="0.0E+00">
                  <c:v>130000000</c:v>
                </c:pt>
                <c:pt idx="10" formatCode="0.0E+00">
                  <c:v>150000000</c:v>
                </c:pt>
                <c:pt idx="11" formatCode="0.0E+00">
                  <c:v>170000000</c:v>
                </c:pt>
                <c:pt idx="12" formatCode="0.0E+00">
                  <c:v>190000000</c:v>
                </c:pt>
                <c:pt idx="13" formatCode="0.0E+00">
                  <c:v>300000000</c:v>
                </c:pt>
                <c:pt idx="14" formatCode="0.0E+00">
                  <c:v>500000000</c:v>
                </c:pt>
              </c:numCache>
            </c:numRef>
          </c:xVal>
          <c:yVal>
            <c:numRef>
              <c:f>'динамика трития в инжекторах'!$AD$6:$AD$20</c:f>
              <c:numCache>
                <c:formatCode>0.00E+00</c:formatCode>
                <c:ptCount val="15"/>
                <c:pt idx="0">
                  <c:v>2.2412462975462416E+21</c:v>
                </c:pt>
                <c:pt idx="1">
                  <c:v>2.3235928019323595E+21</c:v>
                </c:pt>
                <c:pt idx="2">
                  <c:v>2.3235928019323666E+21</c:v>
                </c:pt>
                <c:pt idx="3">
                  <c:v>2.3235928019323666E+21</c:v>
                </c:pt>
                <c:pt idx="4">
                  <c:v>2.3235928019323666E+21</c:v>
                </c:pt>
                <c:pt idx="5">
                  <c:v>2.3235928019323666E+21</c:v>
                </c:pt>
                <c:pt idx="6">
                  <c:v>2.3235928019323666E+21</c:v>
                </c:pt>
                <c:pt idx="7">
                  <c:v>2.3235928019323666E+21</c:v>
                </c:pt>
                <c:pt idx="8">
                  <c:v>2.3235928019323666E+21</c:v>
                </c:pt>
                <c:pt idx="9">
                  <c:v>2.3235928019323666E+21</c:v>
                </c:pt>
                <c:pt idx="10">
                  <c:v>2.3235928019323666E+21</c:v>
                </c:pt>
                <c:pt idx="11">
                  <c:v>2.3235928019323666E+21</c:v>
                </c:pt>
                <c:pt idx="12">
                  <c:v>2.3235928019323666E+21</c:v>
                </c:pt>
                <c:pt idx="13">
                  <c:v>2.3235928019323666E+21</c:v>
                </c:pt>
                <c:pt idx="14">
                  <c:v>2.3235928019323666E+21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59392"/>
        <c:axId val="458459968"/>
      </c:scatterChart>
      <c:valAx>
        <c:axId val="4584593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время, секунд </a:t>
                </a:r>
                <a:r>
                  <a:rPr lang="ru-RU" sz="1200" b="1" i="0" u="none" strike="noStrike" baseline="0">
                    <a:effectLst/>
                  </a:rPr>
                  <a:t>ЛОГАРИФМИЧЕСКАЯ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296773263132954"/>
              <c:y val="0.94164497864411889"/>
            </c:manualLayout>
          </c:layout>
          <c:overlay val="0"/>
        </c:title>
        <c:numFmt formatCode="#,##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58459968"/>
        <c:crosses val="autoZero"/>
        <c:crossBetween val="midCat"/>
      </c:valAx>
      <c:valAx>
        <c:axId val="458459968"/>
        <c:scaling>
          <c:logBase val="10"/>
          <c:orientation val="minMax"/>
          <c:min val="1E+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 deuterium, </a:t>
                </a: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штук </a:t>
                </a:r>
                <a:r>
                  <a:rPr lang="ru-RU" sz="1200" b="1" i="0" u="none" strike="noStrike" baseline="0">
                    <a:effectLst/>
                  </a:rPr>
                  <a:t>ЛОГАРИФМИЧЕСКАЯ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9588813899107228E-3"/>
              <c:y val="0.257659115687462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458459392"/>
        <c:crosses val="autoZero"/>
        <c:crossBetween val="midCat"/>
      </c:valAx>
      <c:spPr>
        <a:noFill/>
      </c:spPr>
    </c:plotArea>
    <c:legend>
      <c:legendPos val="l"/>
      <c:layout>
        <c:manualLayout>
          <c:xMode val="edge"/>
          <c:yMode val="edge"/>
          <c:x val="0.11352376052777703"/>
          <c:y val="8.038715185797668E-2"/>
          <c:w val="0.43957240079033488"/>
          <c:h val="0.26284681549990285"/>
        </c:manualLayout>
      </c:layout>
      <c:overlay val="1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zero"/>
    <c:showDLblsOverMax val="0"/>
  </c:chart>
  <c:spPr>
    <a:ln>
      <a:solidFill>
        <a:srgbClr val="FF00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u="sng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ru-RU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Концентрация дейтерия</a:t>
            </a:r>
            <a:r>
              <a:rPr lang="en-US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 i="0" u="sng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c(D) </a:t>
            </a:r>
            <a:r>
              <a:rPr lang="ru-RU" sz="1200" b="1" i="0" u="sng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как функция от х</a:t>
            </a:r>
            <a:endParaRPr lang="en-US" sz="12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64832537153591"/>
          <c:y val="2.84271907708559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593624906552753"/>
          <c:y val="8.762442570185501E-2"/>
          <c:w val="0.775893294240114"/>
          <c:h val="0.75395500033912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'динамика трития в инжекторах'!$E$43</c:f>
              <c:strCache>
                <c:ptCount val="1"/>
                <c:pt idx="0">
                  <c:v>c(T)</c:v>
                </c:pt>
              </c:strCache>
            </c:strRef>
          </c:tx>
          <c:xVal>
            <c:numRef>
              <c:f>'динамика трития в инжекторах'!$F$45:$F$58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95</c:v>
                </c:pt>
                <c:pt idx="8">
                  <c:v>97</c:v>
                </c:pt>
                <c:pt idx="9">
                  <c:v>99</c:v>
                </c:pt>
                <c:pt idx="10" formatCode="0.00">
                  <c:v>87.758421173972806</c:v>
                </c:pt>
                <c:pt idx="11">
                  <c:v>99.9</c:v>
                </c:pt>
                <c:pt idx="12">
                  <c:v>99.99</c:v>
                </c:pt>
                <c:pt idx="13">
                  <c:v>99.998999999999995</c:v>
                </c:pt>
              </c:numCache>
            </c:numRef>
          </c:xVal>
          <c:yVal>
            <c:numRef>
              <c:f>'динамика трития в инжекторах'!$E$45:$E$58</c:f>
              <c:numCache>
                <c:formatCode>0.0%</c:formatCode>
                <c:ptCount val="14"/>
                <c:pt idx="0">
                  <c:v>6.1826155687005986E-3</c:v>
                </c:pt>
                <c:pt idx="1">
                  <c:v>6.4429362242248355E-3</c:v>
                </c:pt>
                <c:pt idx="2">
                  <c:v>6.8008771255706583E-3</c:v>
                </c:pt>
                <c:pt idx="3">
                  <c:v>8.7439848757337041E-3</c:v>
                </c:pt>
                <c:pt idx="4">
                  <c:v>1.2241578826027185E-2</c:v>
                </c:pt>
                <c:pt idx="5">
                  <c:v>2.4483157652054371E-2</c:v>
                </c:pt>
                <c:pt idx="6">
                  <c:v>6.1207894130135942E-2</c:v>
                </c:pt>
                <c:pt idx="7">
                  <c:v>0.12241578826027176</c:v>
                </c:pt>
                <c:pt idx="8">
                  <c:v>0.20402631376711958</c:v>
                </c:pt>
                <c:pt idx="9">
                  <c:v>0.61207894130135865</c:v>
                </c:pt>
                <c:pt idx="10">
                  <c:v>4.9999999999999989E-2</c:v>
                </c:pt>
                <c:pt idx="11">
                  <c:v>6.1207894130142666</c:v>
                </c:pt>
                <c:pt idx="12">
                  <c:v>61.207821494028089</c:v>
                </c:pt>
                <c:pt idx="13">
                  <c:v>455.67708119581738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62272"/>
        <c:axId val="458462848"/>
      </c:scatterChart>
      <c:valAx>
        <c:axId val="458462272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трития, возвращаемого после откачки обратно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 ТЦ</a:t>
                </a: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</a:p>
            </c:rich>
          </c:tx>
          <c:layout>
            <c:manualLayout>
              <c:xMode val="edge"/>
              <c:yMode val="edge"/>
              <c:x val="0.17130077258119492"/>
              <c:y val="0.915591056462927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58462848"/>
        <c:crossesAt val="1.0000000000000035E-7"/>
        <c:crossBetween val="midCat"/>
      </c:valAx>
      <c:valAx>
        <c:axId val="458462848"/>
        <c:scaling>
          <c:orientation val="minMax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Концентрация (доля) трития, %</a:t>
                </a:r>
              </a:p>
            </c:rich>
          </c:tx>
          <c:layout>
            <c:manualLayout>
              <c:xMode val="edge"/>
              <c:yMode val="edge"/>
              <c:x val="1.8769828545223001E-2"/>
              <c:y val="0.1632060786187951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45846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611924513542"/>
          <c:y val="5.5900605504529501E-2"/>
          <c:w val="0.81534136182581107"/>
          <c:h val="0.609795241840700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'динамика трития в инжекторах'!$Y$2</c:f>
              <c:strCache>
                <c:ptCount val="1"/>
                <c:pt idx="0">
                  <c:v>c(Т)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'динамика трития в инжекторах'!$W$4:$W$20</c:f>
              <c:numCache>
                <c:formatCode>#,##0</c:formatCode>
                <c:ptCount val="17"/>
                <c:pt idx="0">
                  <c:v>1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  <c:pt idx="4" formatCode="0.0E+00">
                  <c:v>5000000</c:v>
                </c:pt>
                <c:pt idx="5" formatCode="0.0E+00">
                  <c:v>10000000</c:v>
                </c:pt>
                <c:pt idx="6" formatCode="0.0E+00">
                  <c:v>50000000</c:v>
                </c:pt>
                <c:pt idx="7" formatCode="0.0E+00">
                  <c:v>70000000</c:v>
                </c:pt>
                <c:pt idx="8" formatCode="0.0E+00">
                  <c:v>90000000</c:v>
                </c:pt>
                <c:pt idx="9" formatCode="0.0E+00">
                  <c:v>95000000</c:v>
                </c:pt>
                <c:pt idx="10" formatCode="0.0E+00">
                  <c:v>110000000</c:v>
                </c:pt>
                <c:pt idx="11" formatCode="0.0E+00">
                  <c:v>130000000</c:v>
                </c:pt>
                <c:pt idx="12" formatCode="0.0E+00">
                  <c:v>150000000</c:v>
                </c:pt>
                <c:pt idx="13" formatCode="0.0E+00">
                  <c:v>170000000</c:v>
                </c:pt>
                <c:pt idx="14" formatCode="0.0E+00">
                  <c:v>190000000</c:v>
                </c:pt>
                <c:pt idx="15" formatCode="0.0E+00">
                  <c:v>300000000</c:v>
                </c:pt>
                <c:pt idx="16" formatCode="0.0E+00">
                  <c:v>500000000</c:v>
                </c:pt>
              </c:numCache>
            </c:numRef>
          </c:xVal>
          <c:yVal>
            <c:numRef>
              <c:f>'динамика трития в инжекторах'!$Y$4:$Y$20</c:f>
              <c:numCache>
                <c:formatCode>0.00000%</c:formatCode>
                <c:ptCount val="17"/>
                <c:pt idx="0">
                  <c:v>1.67025295345069E-6</c:v>
                </c:pt>
                <c:pt idx="1">
                  <c:v>1.6426905473422456E-3</c:v>
                </c:pt>
                <c:pt idx="2">
                  <c:v>4.8229147086799061E-2</c:v>
                </c:pt>
                <c:pt idx="3" formatCode="0.000%">
                  <c:v>4.9999999999999829E-2</c:v>
                </c:pt>
                <c:pt idx="4" formatCode="0.000%">
                  <c:v>4.9999999999999989E-2</c:v>
                </c:pt>
                <c:pt idx="5" formatCode="0.000%">
                  <c:v>4.9999999999999989E-2</c:v>
                </c:pt>
                <c:pt idx="6" formatCode="0.0%">
                  <c:v>4.9999999999999989E-2</c:v>
                </c:pt>
                <c:pt idx="7" formatCode="0.0%">
                  <c:v>4.9999999999999989E-2</c:v>
                </c:pt>
                <c:pt idx="8" formatCode="0.0%">
                  <c:v>4.9999999999999989E-2</c:v>
                </c:pt>
                <c:pt idx="9" formatCode="0.0%">
                  <c:v>4.9999999999999989E-2</c:v>
                </c:pt>
                <c:pt idx="10" formatCode="0.0%">
                  <c:v>4.9999999999999989E-2</c:v>
                </c:pt>
                <c:pt idx="11" formatCode="0.0%">
                  <c:v>4.9999999999999989E-2</c:v>
                </c:pt>
                <c:pt idx="12" formatCode="0.0%">
                  <c:v>4.9999999999999989E-2</c:v>
                </c:pt>
                <c:pt idx="13" formatCode="0.0%">
                  <c:v>4.9999999999999989E-2</c:v>
                </c:pt>
                <c:pt idx="14" formatCode="0.0%">
                  <c:v>4.9999999999999989E-2</c:v>
                </c:pt>
                <c:pt idx="15" formatCode="0.0%">
                  <c:v>4.9999999999999989E-2</c:v>
                </c:pt>
                <c:pt idx="16" formatCode="0.0%">
                  <c:v>4.9999999999999989E-2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11264"/>
        <c:axId val="390211840"/>
      </c:scatterChart>
      <c:valAx>
        <c:axId val="390211264"/>
        <c:scaling>
          <c:logBase val="10"/>
          <c:orientation val="minMax"/>
          <c:max val="1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время, секунд ЛОГАРИФМИЧЕСКАЯ</a:t>
                </a:r>
              </a:p>
            </c:rich>
          </c:tx>
          <c:layout>
            <c:manualLayout>
              <c:xMode val="edge"/>
              <c:yMode val="edge"/>
              <c:x val="0.30070575106299735"/>
              <c:y val="0.85240311879349095"/>
            </c:manualLayout>
          </c:layout>
          <c:overlay val="0"/>
        </c:title>
        <c:numFmt formatCode="#,##0" sourceLinked="1"/>
        <c:majorTickMark val="cross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90211840"/>
        <c:crosses val="autoZero"/>
        <c:crossBetween val="midCat"/>
      </c:valAx>
      <c:valAx>
        <c:axId val="39021184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трития с(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T)</a:t>
                </a: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%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3367562269869742E-3"/>
              <c:y val="8.2758360644405227E-2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39021126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microsoft.com/office/2007/relationships/hdphoto" Target="../media/hdphoto2.wdp"/><Relationship Id="rId12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microsoft.com/office/2007/relationships/hdphoto" Target="../media/hdphoto1.wdp"/><Relationship Id="rId10" Type="http://schemas.openxmlformats.org/officeDocument/2006/relationships/image" Target="../media/image6.emf"/><Relationship Id="rId4" Type="http://schemas.openxmlformats.org/officeDocument/2006/relationships/image" Target="../media/image2.png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20613</xdr:colOff>
      <xdr:row>15</xdr:row>
      <xdr:rowOff>4559</xdr:rowOff>
    </xdr:from>
    <xdr:to>
      <xdr:col>3</xdr:col>
      <xdr:colOff>11088</xdr:colOff>
      <xdr:row>18</xdr:row>
      <xdr:rowOff>0</xdr:rowOff>
    </xdr:to>
    <xdr:sp macro="" textlink="">
      <xdr:nvSpPr>
        <xdr:cNvPr id="32" name="Прямоугольник 31"/>
        <xdr:cNvSpPr/>
      </xdr:nvSpPr>
      <xdr:spPr>
        <a:xfrm>
          <a:off x="5602263" y="2976359"/>
          <a:ext cx="809625" cy="585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590550</xdr:colOff>
      <xdr:row>27</xdr:row>
      <xdr:rowOff>145676</xdr:rowOff>
    </xdr:from>
    <xdr:to>
      <xdr:col>7</xdr:col>
      <xdr:colOff>600075</xdr:colOff>
      <xdr:row>41</xdr:row>
      <xdr:rowOff>68035</xdr:rowOff>
    </xdr:to>
    <xdr:sp macro="" textlink="">
      <xdr:nvSpPr>
        <xdr:cNvPr id="42" name="Прямоугольник 41"/>
        <xdr:cNvSpPr/>
      </xdr:nvSpPr>
      <xdr:spPr>
        <a:xfrm>
          <a:off x="590550" y="5490882"/>
          <a:ext cx="8761319" cy="28134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38100</xdr:colOff>
      <xdr:row>34</xdr:row>
      <xdr:rowOff>28575</xdr:rowOff>
    </xdr:from>
    <xdr:to>
      <xdr:col>7</xdr:col>
      <xdr:colOff>495299</xdr:colOff>
      <xdr:row>36</xdr:row>
      <xdr:rowOff>38100</xdr:rowOff>
    </xdr:to>
    <xdr:sp macro="" textlink="">
      <xdr:nvSpPr>
        <xdr:cNvPr id="43" name="TextBox 42"/>
        <xdr:cNvSpPr txBox="1"/>
      </xdr:nvSpPr>
      <xdr:spPr>
        <a:xfrm>
          <a:off x="7305675" y="6400800"/>
          <a:ext cx="1943099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NBIs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590549</xdr:colOff>
      <xdr:row>68</xdr:row>
      <xdr:rowOff>146048</xdr:rowOff>
    </xdr:from>
    <xdr:to>
      <xdr:col>7</xdr:col>
      <xdr:colOff>590549</xdr:colOff>
      <xdr:row>75</xdr:row>
      <xdr:rowOff>95250</xdr:rowOff>
    </xdr:to>
    <xdr:sp macro="" textlink="">
      <xdr:nvSpPr>
        <xdr:cNvPr id="44" name="Прямоугольник 43"/>
        <xdr:cNvSpPr/>
      </xdr:nvSpPr>
      <xdr:spPr>
        <a:xfrm>
          <a:off x="590549" y="14066155"/>
          <a:ext cx="8763000" cy="13779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590549</xdr:colOff>
      <xdr:row>64</xdr:row>
      <xdr:rowOff>152400</xdr:rowOff>
    </xdr:from>
    <xdr:to>
      <xdr:col>7</xdr:col>
      <xdr:colOff>590549</xdr:colOff>
      <xdr:row>68</xdr:row>
      <xdr:rowOff>57150</xdr:rowOff>
    </xdr:to>
    <xdr:sp macro="" textlink="">
      <xdr:nvSpPr>
        <xdr:cNvPr id="45" name="Прямоугольник 44"/>
        <xdr:cNvSpPr/>
      </xdr:nvSpPr>
      <xdr:spPr>
        <a:xfrm>
          <a:off x="590549" y="12363450"/>
          <a:ext cx="87534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438150</xdr:colOff>
      <xdr:row>65</xdr:row>
      <xdr:rowOff>57150</xdr:rowOff>
    </xdr:from>
    <xdr:to>
      <xdr:col>7</xdr:col>
      <xdr:colOff>676274</xdr:colOff>
      <xdr:row>68</xdr:row>
      <xdr:rowOff>38100</xdr:rowOff>
    </xdr:to>
    <xdr:sp macro="" textlink="">
      <xdr:nvSpPr>
        <xdr:cNvPr id="46" name="TextBox 45"/>
        <xdr:cNvSpPr txBox="1"/>
      </xdr:nvSpPr>
      <xdr:spPr>
        <a:xfrm>
          <a:off x="6838950" y="7905750"/>
          <a:ext cx="2590799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эффективность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ввода топлива в </a:t>
          </a:r>
          <a:r>
            <a:rPr lang="en-US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CORE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590550</xdr:colOff>
      <xdr:row>1</xdr:row>
      <xdr:rowOff>123825</xdr:rowOff>
    </xdr:from>
    <xdr:to>
      <xdr:col>7</xdr:col>
      <xdr:colOff>581025</xdr:colOff>
      <xdr:row>27</xdr:row>
      <xdr:rowOff>66676</xdr:rowOff>
    </xdr:to>
    <xdr:sp macro="" textlink="">
      <xdr:nvSpPr>
        <xdr:cNvPr id="50" name="Прямоугольник 49"/>
        <xdr:cNvSpPr/>
      </xdr:nvSpPr>
      <xdr:spPr>
        <a:xfrm>
          <a:off x="590550" y="323850"/>
          <a:ext cx="8743950" cy="5114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9526</xdr:colOff>
      <xdr:row>1</xdr:row>
      <xdr:rowOff>228600</xdr:rowOff>
    </xdr:from>
    <xdr:to>
      <xdr:col>7</xdr:col>
      <xdr:colOff>19050</xdr:colOff>
      <xdr:row>4</xdr:row>
      <xdr:rowOff>180975</xdr:rowOff>
    </xdr:to>
    <xdr:sp macro="" textlink="">
      <xdr:nvSpPr>
        <xdr:cNvPr id="51" name="TextBox 50"/>
        <xdr:cNvSpPr txBox="1"/>
      </xdr:nvSpPr>
      <xdr:spPr>
        <a:xfrm>
          <a:off x="7277101" y="4286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установки</a:t>
          </a:r>
        </a:p>
      </xdr:txBody>
    </xdr:sp>
    <xdr:clientData/>
  </xdr:twoCellAnchor>
  <xdr:twoCellAnchor>
    <xdr:from>
      <xdr:col>5</xdr:col>
      <xdr:colOff>19051</xdr:colOff>
      <xdr:row>8</xdr:row>
      <xdr:rowOff>47625</xdr:rowOff>
    </xdr:from>
    <xdr:to>
      <xdr:col>7</xdr:col>
      <xdr:colOff>28575</xdr:colOff>
      <xdr:row>11</xdr:row>
      <xdr:rowOff>47625</xdr:rowOff>
    </xdr:to>
    <xdr:sp macro="" textlink="">
      <xdr:nvSpPr>
        <xdr:cNvPr id="52" name="TextBox 51"/>
        <xdr:cNvSpPr txBox="1"/>
      </xdr:nvSpPr>
      <xdr:spPr>
        <a:xfrm>
          <a:off x="7286626" y="16859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плазмы</a:t>
          </a:r>
        </a:p>
      </xdr:txBody>
    </xdr:sp>
    <xdr:clientData/>
  </xdr:twoCellAnchor>
  <xdr:twoCellAnchor>
    <xdr:from>
      <xdr:col>4</xdr:col>
      <xdr:colOff>266701</xdr:colOff>
      <xdr:row>24</xdr:row>
      <xdr:rowOff>76200</xdr:rowOff>
    </xdr:from>
    <xdr:to>
      <xdr:col>7</xdr:col>
      <xdr:colOff>352425</xdr:colOff>
      <xdr:row>27</xdr:row>
      <xdr:rowOff>85725</xdr:rowOff>
    </xdr:to>
    <xdr:sp macro="" textlink="">
      <xdr:nvSpPr>
        <xdr:cNvPr id="53" name="TextBox 52"/>
        <xdr:cNvSpPr txBox="1"/>
      </xdr:nvSpPr>
      <xdr:spPr>
        <a:xfrm>
          <a:off x="7219951" y="4867275"/>
          <a:ext cx="1885949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бланкета</a:t>
          </a:r>
        </a:p>
      </xdr:txBody>
    </xdr:sp>
    <xdr:clientData/>
  </xdr:twoCellAnchor>
  <xdr:twoCellAnchor>
    <xdr:from>
      <xdr:col>5</xdr:col>
      <xdr:colOff>76200</xdr:colOff>
      <xdr:row>42</xdr:row>
      <xdr:rowOff>152399</xdr:rowOff>
    </xdr:from>
    <xdr:to>
      <xdr:col>7</xdr:col>
      <xdr:colOff>533399</xdr:colOff>
      <xdr:row>57</xdr:row>
      <xdr:rowOff>8283</xdr:rowOff>
    </xdr:to>
    <xdr:sp macro="" textlink="">
      <xdr:nvSpPr>
        <xdr:cNvPr id="56" name="TextBox 55"/>
        <xdr:cNvSpPr txBox="1"/>
      </xdr:nvSpPr>
      <xdr:spPr>
        <a:xfrm>
          <a:off x="7348330" y="7896638"/>
          <a:ext cx="1939786" cy="2796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PIS</a:t>
          </a:r>
        </a:p>
        <a:p>
          <a:pPr algn="ctr"/>
          <a:endParaRPr lang="ru-RU" sz="11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(fueling)</a:t>
          </a: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ru-RU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подавление</a:t>
          </a:r>
          <a:r>
            <a:rPr lang="en-US" sz="1600" b="1" i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ELM</a:t>
          </a:r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600074</xdr:colOff>
      <xdr:row>41</xdr:row>
      <xdr:rowOff>142874</xdr:rowOff>
    </xdr:from>
    <xdr:to>
      <xdr:col>7</xdr:col>
      <xdr:colOff>600074</xdr:colOff>
      <xdr:row>64</xdr:row>
      <xdr:rowOff>78441</xdr:rowOff>
    </xdr:to>
    <xdr:sp macro="" textlink="">
      <xdr:nvSpPr>
        <xdr:cNvPr id="57" name="Прямоугольник 56"/>
        <xdr:cNvSpPr/>
      </xdr:nvSpPr>
      <xdr:spPr>
        <a:xfrm>
          <a:off x="600074" y="7942168"/>
          <a:ext cx="8751794" cy="45187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523875</xdr:colOff>
      <xdr:row>69</xdr:row>
      <xdr:rowOff>0</xdr:rowOff>
    </xdr:from>
    <xdr:to>
      <xdr:col>8</xdr:col>
      <xdr:colOff>38099</xdr:colOff>
      <xdr:row>71</xdr:row>
      <xdr:rowOff>180975</xdr:rowOff>
    </xdr:to>
    <xdr:sp macro="" textlink="">
      <xdr:nvSpPr>
        <xdr:cNvPr id="59" name="TextBox 58"/>
        <xdr:cNvSpPr txBox="1"/>
      </xdr:nvSpPr>
      <xdr:spPr>
        <a:xfrm>
          <a:off x="6924675" y="13782675"/>
          <a:ext cx="2590799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очистка / разделение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изотопов водорода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20613</xdr:colOff>
      <xdr:row>15</xdr:row>
      <xdr:rowOff>4559</xdr:rowOff>
    </xdr:from>
    <xdr:to>
      <xdr:col>3</xdr:col>
      <xdr:colOff>11088</xdr:colOff>
      <xdr:row>18</xdr:row>
      <xdr:rowOff>0</xdr:rowOff>
    </xdr:to>
    <xdr:sp macro="" textlink="">
      <xdr:nvSpPr>
        <xdr:cNvPr id="91" name="Прямоугольник 90"/>
        <xdr:cNvSpPr/>
      </xdr:nvSpPr>
      <xdr:spPr>
        <a:xfrm>
          <a:off x="5602263" y="2976359"/>
          <a:ext cx="809625" cy="585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8617</xdr:colOff>
      <xdr:row>43</xdr:row>
      <xdr:rowOff>180975</xdr:rowOff>
    </xdr:from>
    <xdr:to>
      <xdr:col>3</xdr:col>
      <xdr:colOff>5897</xdr:colOff>
      <xdr:row>50</xdr:row>
      <xdr:rowOff>11206</xdr:rowOff>
    </xdr:to>
    <xdr:sp macro="" textlink="">
      <xdr:nvSpPr>
        <xdr:cNvPr id="112" name="Прямоугольник 111"/>
        <xdr:cNvSpPr/>
      </xdr:nvSpPr>
      <xdr:spPr>
        <a:xfrm>
          <a:off x="5590267" y="8324850"/>
          <a:ext cx="816430" cy="12018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9526</xdr:colOff>
      <xdr:row>14</xdr:row>
      <xdr:rowOff>200025</xdr:rowOff>
    </xdr:to>
    <xdr:sp macro="" textlink="">
      <xdr:nvSpPr>
        <xdr:cNvPr id="19" name="Прямоугольник 18"/>
        <xdr:cNvSpPr/>
      </xdr:nvSpPr>
      <xdr:spPr>
        <a:xfrm>
          <a:off x="10944225" y="3943350"/>
          <a:ext cx="733426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448236</xdr:colOff>
      <xdr:row>102</xdr:row>
      <xdr:rowOff>134471</xdr:rowOff>
    </xdr:from>
    <xdr:to>
      <xdr:col>3</xdr:col>
      <xdr:colOff>661147</xdr:colOff>
      <xdr:row>107</xdr:row>
      <xdr:rowOff>56029</xdr:rowOff>
    </xdr:to>
    <xdr:sp macro="" textlink="">
      <xdr:nvSpPr>
        <xdr:cNvPr id="28" name="Прямоугольник 27"/>
        <xdr:cNvSpPr/>
      </xdr:nvSpPr>
      <xdr:spPr>
        <a:xfrm>
          <a:off x="448236" y="19621500"/>
          <a:ext cx="2409264" cy="930088"/>
        </a:xfrm>
        <a:prstGeom prst="rect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источник ионов</a:t>
          </a:r>
        </a:p>
      </xdr:txBody>
    </xdr:sp>
    <xdr:clientData/>
  </xdr:twoCellAnchor>
  <xdr:twoCellAnchor>
    <xdr:from>
      <xdr:col>17</xdr:col>
      <xdr:colOff>89647</xdr:colOff>
      <xdr:row>103</xdr:row>
      <xdr:rowOff>100853</xdr:rowOff>
    </xdr:from>
    <xdr:to>
      <xdr:col>18</xdr:col>
      <xdr:colOff>705970</xdr:colOff>
      <xdr:row>106</xdr:row>
      <xdr:rowOff>78442</xdr:rowOff>
    </xdr:to>
    <xdr:sp macro="" textlink="">
      <xdr:nvSpPr>
        <xdr:cNvPr id="29" name="Прямоугольник 28"/>
        <xdr:cNvSpPr/>
      </xdr:nvSpPr>
      <xdr:spPr>
        <a:xfrm>
          <a:off x="11956676" y="19789588"/>
          <a:ext cx="1299882" cy="582707"/>
        </a:xfrm>
        <a:prstGeom prst="rect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атомопровод</a:t>
          </a:r>
        </a:p>
      </xdr:txBody>
    </xdr:sp>
    <xdr:clientData/>
  </xdr:twoCellAnchor>
  <xdr:twoCellAnchor>
    <xdr:from>
      <xdr:col>5</xdr:col>
      <xdr:colOff>100853</xdr:colOff>
      <xdr:row>102</xdr:row>
      <xdr:rowOff>100852</xdr:rowOff>
    </xdr:from>
    <xdr:to>
      <xdr:col>7</xdr:col>
      <xdr:colOff>582706</xdr:colOff>
      <xdr:row>107</xdr:row>
      <xdr:rowOff>89647</xdr:rowOff>
    </xdr:to>
    <xdr:sp macro="" textlink="">
      <xdr:nvSpPr>
        <xdr:cNvPr id="30" name="Прямоугольник 29"/>
        <xdr:cNvSpPr/>
      </xdr:nvSpPr>
      <xdr:spPr>
        <a:xfrm>
          <a:off x="3821206" y="19587881"/>
          <a:ext cx="2106706" cy="997325"/>
        </a:xfrm>
        <a:prstGeom prst="rect">
          <a:avLst/>
        </a:prstGeom>
        <a:solidFill>
          <a:srgbClr val="00B0F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нейтрализатор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112059</xdr:colOff>
      <xdr:row>102</xdr:row>
      <xdr:rowOff>78442</xdr:rowOff>
    </xdr:from>
    <xdr:to>
      <xdr:col>15</xdr:col>
      <xdr:colOff>750793</xdr:colOff>
      <xdr:row>107</xdr:row>
      <xdr:rowOff>100853</xdr:rowOff>
    </xdr:to>
    <xdr:sp macro="" textlink="">
      <xdr:nvSpPr>
        <xdr:cNvPr id="31" name="Прямоугольник 30"/>
        <xdr:cNvSpPr/>
      </xdr:nvSpPr>
      <xdr:spPr>
        <a:xfrm>
          <a:off x="6891618" y="19565471"/>
          <a:ext cx="4908175" cy="1030941"/>
        </a:xfrm>
        <a:prstGeom prst="rect">
          <a:avLst/>
        </a:prstGeom>
        <a:solidFill>
          <a:srgbClr val="00B0F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калориметр </a:t>
          </a:r>
        </a:p>
        <a:p>
          <a:pPr algn="ctr"/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+ </a:t>
          </a:r>
        </a:p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RID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582706</xdr:colOff>
      <xdr:row>108</xdr:row>
      <xdr:rowOff>11206</xdr:rowOff>
    </xdr:from>
    <xdr:to>
      <xdr:col>6</xdr:col>
      <xdr:colOff>593912</xdr:colOff>
      <xdr:row>110</xdr:row>
      <xdr:rowOff>11207</xdr:rowOff>
    </xdr:to>
    <xdr:cxnSp macro="">
      <xdr:nvCxnSpPr>
        <xdr:cNvPr id="33" name="Прямая со стрелкой 32"/>
        <xdr:cNvCxnSpPr/>
      </xdr:nvCxnSpPr>
      <xdr:spPr>
        <a:xfrm flipV="1">
          <a:off x="5266765" y="20708471"/>
          <a:ext cx="11206" cy="40341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108181</xdr:colOff>
      <xdr:row>105</xdr:row>
      <xdr:rowOff>19483</xdr:rowOff>
    </xdr:from>
    <xdr:to>
      <xdr:col>19</xdr:col>
      <xdr:colOff>686232</xdr:colOff>
      <xdr:row>105</xdr:row>
      <xdr:rowOff>23273</xdr:rowOff>
    </xdr:to>
    <xdr:cxnSp macro="">
      <xdr:nvCxnSpPr>
        <xdr:cNvPr id="34" name="Прямая со стрелкой 33"/>
        <xdr:cNvCxnSpPr/>
      </xdr:nvCxnSpPr>
      <xdr:spPr>
        <a:xfrm flipV="1">
          <a:off x="14160357" y="20111630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53231</xdr:colOff>
      <xdr:row>105</xdr:row>
      <xdr:rowOff>144816</xdr:rowOff>
    </xdr:from>
    <xdr:to>
      <xdr:col>19</xdr:col>
      <xdr:colOff>664596</xdr:colOff>
      <xdr:row>105</xdr:row>
      <xdr:rowOff>148262</xdr:rowOff>
    </xdr:to>
    <xdr:cxnSp macro="">
      <xdr:nvCxnSpPr>
        <xdr:cNvPr id="36" name="Прямая со стрелкой 35"/>
        <xdr:cNvCxnSpPr/>
      </xdr:nvCxnSpPr>
      <xdr:spPr>
        <a:xfrm flipH="1" flipV="1">
          <a:off x="13377025" y="20236963"/>
          <a:ext cx="611365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55729</xdr:colOff>
      <xdr:row>107</xdr:row>
      <xdr:rowOff>178518</xdr:rowOff>
    </xdr:from>
    <xdr:to>
      <xdr:col>6</xdr:col>
      <xdr:colOff>56029</xdr:colOff>
      <xdr:row>110</xdr:row>
      <xdr:rowOff>33618</xdr:rowOff>
    </xdr:to>
    <xdr:cxnSp macro="">
      <xdr:nvCxnSpPr>
        <xdr:cNvPr id="38" name="Прямая со стрелкой 37"/>
        <xdr:cNvCxnSpPr/>
      </xdr:nvCxnSpPr>
      <xdr:spPr>
        <a:xfrm>
          <a:off x="4739788" y="20674077"/>
          <a:ext cx="300" cy="46021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403845</xdr:colOff>
      <xdr:row>120</xdr:row>
      <xdr:rowOff>34919</xdr:rowOff>
    </xdr:from>
    <xdr:to>
      <xdr:col>15</xdr:col>
      <xdr:colOff>806824</xdr:colOff>
      <xdr:row>121</xdr:row>
      <xdr:rowOff>113360</xdr:rowOff>
    </xdr:to>
    <xdr:sp macro="" textlink="">
      <xdr:nvSpPr>
        <xdr:cNvPr id="40" name="Левая фигурная скобка 39"/>
        <xdr:cNvSpPr/>
      </xdr:nvSpPr>
      <xdr:spPr>
        <a:xfrm rot="16200000">
          <a:off x="9015349" y="20592326"/>
          <a:ext cx="280147" cy="5400803"/>
        </a:xfrm>
        <a:prstGeom prst="lef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2017</xdr:colOff>
      <xdr:row>117</xdr:row>
      <xdr:rowOff>134471</xdr:rowOff>
    </xdr:from>
    <xdr:to>
      <xdr:col>2</xdr:col>
      <xdr:colOff>0</xdr:colOff>
      <xdr:row>119</xdr:row>
      <xdr:rowOff>93528</xdr:rowOff>
    </xdr:to>
    <xdr:sp macro="" textlink="">
      <xdr:nvSpPr>
        <xdr:cNvPr id="41" name="Выгнутая вниз стрелка 40"/>
        <xdr:cNvSpPr/>
      </xdr:nvSpPr>
      <xdr:spPr>
        <a:xfrm>
          <a:off x="719193" y="22647089"/>
          <a:ext cx="748778" cy="362468"/>
        </a:xfrm>
        <a:prstGeom prst="curvedUpArrow">
          <a:avLst>
            <a:gd name="adj1" fmla="val 52166"/>
            <a:gd name="adj2" fmla="val 7781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11</xdr:col>
      <xdr:colOff>645028</xdr:colOff>
      <xdr:row>117</xdr:row>
      <xdr:rowOff>190501</xdr:rowOff>
    </xdr:from>
    <xdr:to>
      <xdr:col>13</xdr:col>
      <xdr:colOff>139641</xdr:colOff>
      <xdr:row>119</xdr:row>
      <xdr:rowOff>170933</xdr:rowOff>
    </xdr:to>
    <xdr:sp macro="" textlink="">
      <xdr:nvSpPr>
        <xdr:cNvPr id="42" name="Выгнутая вниз стрелка 41"/>
        <xdr:cNvSpPr/>
      </xdr:nvSpPr>
      <xdr:spPr>
        <a:xfrm>
          <a:off x="8892557" y="22703119"/>
          <a:ext cx="884143" cy="383843"/>
        </a:xfrm>
        <a:prstGeom prst="curvedUpArrow">
          <a:avLst>
            <a:gd name="adj1" fmla="val 46861"/>
            <a:gd name="adj2" fmla="val 83382"/>
            <a:gd name="adj3" fmla="val 305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425824</xdr:colOff>
      <xdr:row>120</xdr:row>
      <xdr:rowOff>45094</xdr:rowOff>
    </xdr:from>
    <xdr:to>
      <xdr:col>8</xdr:col>
      <xdr:colOff>268942</xdr:colOff>
      <xdr:row>121</xdr:row>
      <xdr:rowOff>100852</xdr:rowOff>
    </xdr:to>
    <xdr:sp macro="" textlink="">
      <xdr:nvSpPr>
        <xdr:cNvPr id="43" name="Левая фигурная скобка 42"/>
        <xdr:cNvSpPr/>
      </xdr:nvSpPr>
      <xdr:spPr>
        <a:xfrm rot="16200000">
          <a:off x="3244239" y="20344414"/>
          <a:ext cx="257464" cy="5894294"/>
        </a:xfrm>
        <a:prstGeom prst="leftBrac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oneCellAnchor>
    <xdr:from>
      <xdr:col>30</xdr:col>
      <xdr:colOff>649513</xdr:colOff>
      <xdr:row>142</xdr:row>
      <xdr:rowOff>203222</xdr:rowOff>
    </xdr:from>
    <xdr:ext cx="5786666" cy="4698888"/>
    <xdr:pic>
      <xdr:nvPicPr>
        <xdr:cNvPr id="56" name="Picture 5" descr="Fig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38" b="7941"/>
        <a:stretch>
          <a:fillRect/>
        </a:stretch>
      </xdr:blipFill>
      <xdr:spPr bwMode="auto">
        <a:xfrm>
          <a:off x="23631977" y="36234936"/>
          <a:ext cx="5786666" cy="4698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16</xdr:col>
      <xdr:colOff>82148</xdr:colOff>
      <xdr:row>105</xdr:row>
      <xdr:rowOff>10691</xdr:rowOff>
    </xdr:from>
    <xdr:to>
      <xdr:col>16</xdr:col>
      <xdr:colOff>660199</xdr:colOff>
      <xdr:row>105</xdr:row>
      <xdr:rowOff>14481</xdr:rowOff>
    </xdr:to>
    <xdr:cxnSp macro="">
      <xdr:nvCxnSpPr>
        <xdr:cNvPr id="67" name="Прямая со стрелкой 66"/>
        <xdr:cNvCxnSpPr/>
      </xdr:nvCxnSpPr>
      <xdr:spPr>
        <a:xfrm flipV="1">
          <a:off x="10436383" y="20102838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56939</xdr:colOff>
      <xdr:row>105</xdr:row>
      <xdr:rowOff>158435</xdr:rowOff>
    </xdr:from>
    <xdr:to>
      <xdr:col>16</xdr:col>
      <xdr:colOff>649771</xdr:colOff>
      <xdr:row>105</xdr:row>
      <xdr:rowOff>161881</xdr:rowOff>
    </xdr:to>
    <xdr:cxnSp macro="">
      <xdr:nvCxnSpPr>
        <xdr:cNvPr id="68" name="Прямая со стрелкой 67"/>
        <xdr:cNvCxnSpPr/>
      </xdr:nvCxnSpPr>
      <xdr:spPr>
        <a:xfrm flipH="1" flipV="1">
          <a:off x="10411174" y="20250582"/>
          <a:ext cx="592832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92877</xdr:colOff>
      <xdr:row>105</xdr:row>
      <xdr:rowOff>18447</xdr:rowOff>
    </xdr:from>
    <xdr:to>
      <xdr:col>8</xdr:col>
      <xdr:colOff>670928</xdr:colOff>
      <xdr:row>105</xdr:row>
      <xdr:rowOff>22237</xdr:rowOff>
    </xdr:to>
    <xdr:cxnSp macro="">
      <xdr:nvCxnSpPr>
        <xdr:cNvPr id="69" name="Прямая со стрелкой 68"/>
        <xdr:cNvCxnSpPr/>
      </xdr:nvCxnSpPr>
      <xdr:spPr>
        <a:xfrm flipV="1">
          <a:off x="6144053" y="20110594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56462</xdr:colOff>
      <xdr:row>105</xdr:row>
      <xdr:rowOff>143779</xdr:rowOff>
    </xdr:from>
    <xdr:to>
      <xdr:col>8</xdr:col>
      <xdr:colOff>649294</xdr:colOff>
      <xdr:row>105</xdr:row>
      <xdr:rowOff>147225</xdr:rowOff>
    </xdr:to>
    <xdr:cxnSp macro="">
      <xdr:nvCxnSpPr>
        <xdr:cNvPr id="70" name="Прямая со стрелкой 69"/>
        <xdr:cNvCxnSpPr/>
      </xdr:nvCxnSpPr>
      <xdr:spPr>
        <a:xfrm flipH="1" flipV="1">
          <a:off x="6107638" y="20235926"/>
          <a:ext cx="592832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102790</xdr:colOff>
      <xdr:row>105</xdr:row>
      <xdr:rowOff>53099</xdr:rowOff>
    </xdr:from>
    <xdr:to>
      <xdr:col>4</xdr:col>
      <xdr:colOff>680841</xdr:colOff>
      <xdr:row>105</xdr:row>
      <xdr:rowOff>56889</xdr:rowOff>
    </xdr:to>
    <xdr:cxnSp macro="">
      <xdr:nvCxnSpPr>
        <xdr:cNvPr id="71" name="Прямая со стрелкой 70"/>
        <xdr:cNvCxnSpPr/>
      </xdr:nvCxnSpPr>
      <xdr:spPr>
        <a:xfrm flipV="1">
          <a:off x="3027525" y="20145246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77580</xdr:colOff>
      <xdr:row>105</xdr:row>
      <xdr:rowOff>178430</xdr:rowOff>
    </xdr:from>
    <xdr:to>
      <xdr:col>4</xdr:col>
      <xdr:colOff>670412</xdr:colOff>
      <xdr:row>105</xdr:row>
      <xdr:rowOff>181876</xdr:rowOff>
    </xdr:to>
    <xdr:cxnSp macro="">
      <xdr:nvCxnSpPr>
        <xdr:cNvPr id="72" name="Прямая со стрелкой 71"/>
        <xdr:cNvCxnSpPr/>
      </xdr:nvCxnSpPr>
      <xdr:spPr>
        <a:xfrm flipH="1" flipV="1">
          <a:off x="3002315" y="20270577"/>
          <a:ext cx="592832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117</xdr:row>
      <xdr:rowOff>151539</xdr:rowOff>
    </xdr:from>
    <xdr:to>
      <xdr:col>7</xdr:col>
      <xdr:colOff>78440</xdr:colOff>
      <xdr:row>119</xdr:row>
      <xdr:rowOff>110596</xdr:rowOff>
    </xdr:to>
    <xdr:sp macro="" textlink="">
      <xdr:nvSpPr>
        <xdr:cNvPr id="77" name="Выгнутая вниз стрелка 76"/>
        <xdr:cNvSpPr/>
      </xdr:nvSpPr>
      <xdr:spPr>
        <a:xfrm>
          <a:off x="4684059" y="22664157"/>
          <a:ext cx="739587" cy="362468"/>
        </a:xfrm>
        <a:prstGeom prst="curvedUpArrow">
          <a:avLst>
            <a:gd name="adj1" fmla="val 52166"/>
            <a:gd name="adj2" fmla="val 7781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20</xdr:col>
      <xdr:colOff>21297</xdr:colOff>
      <xdr:row>101</xdr:row>
      <xdr:rowOff>89648</xdr:rowOff>
    </xdr:from>
    <xdr:to>
      <xdr:col>22</xdr:col>
      <xdr:colOff>89654</xdr:colOff>
      <xdr:row>108</xdr:row>
      <xdr:rowOff>66191</xdr:rowOff>
    </xdr:to>
    <xdr:grpSp>
      <xdr:nvGrpSpPr>
        <xdr:cNvPr id="211" name="Группа 210"/>
        <xdr:cNvGrpSpPr/>
      </xdr:nvGrpSpPr>
      <xdr:grpSpPr>
        <a:xfrm rot="10800000">
          <a:off x="15709532" y="19722354"/>
          <a:ext cx="1540063" cy="1336190"/>
          <a:chOff x="773206" y="19386178"/>
          <a:chExt cx="1400736" cy="1388484"/>
        </a:xfrm>
      </xdr:grpSpPr>
      <xdr:sp macro="" textlink="">
        <xdr:nvSpPr>
          <xdr:cNvPr id="62" name="Пирог 61"/>
          <xdr:cNvSpPr/>
        </xdr:nvSpPr>
        <xdr:spPr>
          <a:xfrm>
            <a:off x="773206" y="19386178"/>
            <a:ext cx="1400736" cy="1367118"/>
          </a:xfrm>
          <a:prstGeom prst="pie">
            <a:avLst>
              <a:gd name="adj1" fmla="val 16200000"/>
              <a:gd name="adj2" fmla="val 5351240"/>
            </a:avLst>
          </a:prstGeom>
          <a:solidFill>
            <a:srgbClr val="FF0000">
              <a:alpha val="32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chemeClr val="tx1"/>
              </a:solidFill>
            </a:endParaRPr>
          </a:p>
        </xdr:txBody>
      </xdr:sp>
      <xdr:sp macro="" textlink="">
        <xdr:nvSpPr>
          <xdr:cNvPr id="80" name="TextBox 267"/>
          <xdr:cNvSpPr txBox="1">
            <a:spLocks noChangeArrowheads="1"/>
          </xdr:cNvSpPr>
        </xdr:nvSpPr>
        <xdr:spPr bwMode="auto">
          <a:xfrm rot="5400000">
            <a:off x="1004865" y="19958324"/>
            <a:ext cx="1363372" cy="2693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 eaLnBrk="1" hangingPunct="1"/>
            <a:r>
              <a:rPr lang="en-US" sz="1200">
                <a:latin typeface="Times New Roman" pitchFamily="18" charset="0"/>
                <a:cs typeface="Times New Roman" pitchFamily="18" charset="0"/>
              </a:rPr>
              <a:t>plasma</a:t>
            </a:r>
          </a:p>
        </xdr:txBody>
      </xdr:sp>
      <xdr:sp macro="" textlink="">
        <xdr:nvSpPr>
          <xdr:cNvPr id="81" name="Пирог 80"/>
          <xdr:cNvSpPr/>
        </xdr:nvSpPr>
        <xdr:spPr>
          <a:xfrm>
            <a:off x="1073610" y="19742612"/>
            <a:ext cx="802083" cy="653820"/>
          </a:xfrm>
          <a:prstGeom prst="pie">
            <a:avLst>
              <a:gd name="adj1" fmla="val 16200000"/>
              <a:gd name="adj2" fmla="val 5351240"/>
            </a:avLst>
          </a:prstGeom>
          <a:solidFill>
            <a:srgbClr val="FF0000">
              <a:alpha val="32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520497</xdr:colOff>
      <xdr:row>3</xdr:row>
      <xdr:rowOff>190642</xdr:rowOff>
    </xdr:from>
    <xdr:to>
      <xdr:col>7</xdr:col>
      <xdr:colOff>667036</xdr:colOff>
      <xdr:row>8</xdr:row>
      <xdr:rowOff>3735</xdr:rowOff>
    </xdr:to>
    <xdr:sp macro="" textlink="">
      <xdr:nvSpPr>
        <xdr:cNvPr id="82" name="Правая фигурная скобка 81"/>
        <xdr:cNvSpPr/>
      </xdr:nvSpPr>
      <xdr:spPr>
        <a:xfrm rot="10800000">
          <a:off x="6078615" y="773348"/>
          <a:ext cx="146539" cy="78426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338432</xdr:colOff>
      <xdr:row>3</xdr:row>
      <xdr:rowOff>188818</xdr:rowOff>
    </xdr:from>
    <xdr:to>
      <xdr:col>16</xdr:col>
      <xdr:colOff>499523</xdr:colOff>
      <xdr:row>7</xdr:row>
      <xdr:rowOff>168088</xdr:rowOff>
    </xdr:to>
    <xdr:sp macro="" textlink="">
      <xdr:nvSpPr>
        <xdr:cNvPr id="85" name="Правая фигурная скобка 84"/>
        <xdr:cNvSpPr/>
      </xdr:nvSpPr>
      <xdr:spPr>
        <a:xfrm>
          <a:off x="12149432" y="793936"/>
          <a:ext cx="161091" cy="78609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571500</xdr:colOff>
      <xdr:row>127</xdr:row>
      <xdr:rowOff>123266</xdr:rowOff>
    </xdr:from>
    <xdr:to>
      <xdr:col>20</xdr:col>
      <xdr:colOff>67235</xdr:colOff>
      <xdr:row>135</xdr:row>
      <xdr:rowOff>123265</xdr:rowOff>
    </xdr:to>
    <xdr:sp macro="" textlink="">
      <xdr:nvSpPr>
        <xdr:cNvPr id="97" name="Овал 96"/>
        <xdr:cNvSpPr/>
      </xdr:nvSpPr>
      <xdr:spPr>
        <a:xfrm>
          <a:off x="1288676" y="18769854"/>
          <a:ext cx="2498912" cy="161364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32</xdr:col>
      <xdr:colOff>12886</xdr:colOff>
      <xdr:row>0</xdr:row>
      <xdr:rowOff>0</xdr:rowOff>
    </xdr:from>
    <xdr:to>
      <xdr:col>43</xdr:col>
      <xdr:colOff>351951</xdr:colOff>
      <xdr:row>30</xdr:row>
      <xdr:rowOff>190500</xdr:rowOff>
    </xdr:to>
    <xdr:graphicFrame macro="">
      <xdr:nvGraphicFramePr>
        <xdr:cNvPr id="99" name="Диаграмма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693964</xdr:colOff>
      <xdr:row>39</xdr:row>
      <xdr:rowOff>13607</xdr:rowOff>
    </xdr:from>
    <xdr:to>
      <xdr:col>16</xdr:col>
      <xdr:colOff>13607</xdr:colOff>
      <xdr:row>58</xdr:row>
      <xdr:rowOff>10806</xdr:rowOff>
    </xdr:to>
    <xdr:graphicFrame macro="">
      <xdr:nvGraphicFramePr>
        <xdr:cNvPr id="102" name="Диаграмма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553328</xdr:colOff>
      <xdr:row>47</xdr:row>
      <xdr:rowOff>50031</xdr:rowOff>
    </xdr:from>
    <xdr:to>
      <xdr:col>15</xdr:col>
      <xdr:colOff>542925</xdr:colOff>
      <xdr:row>48</xdr:row>
      <xdr:rowOff>143039</xdr:rowOff>
    </xdr:to>
    <xdr:grpSp>
      <xdr:nvGrpSpPr>
        <xdr:cNvPr id="103" name="Группа 102"/>
        <xdr:cNvGrpSpPr/>
      </xdr:nvGrpSpPr>
      <xdr:grpSpPr>
        <a:xfrm>
          <a:off x="6985504" y="9179090"/>
          <a:ext cx="5271303" cy="287243"/>
          <a:chOff x="8281146" y="9502588"/>
          <a:chExt cx="7306503" cy="285189"/>
        </a:xfrm>
      </xdr:grpSpPr>
      <xdr:sp macro="" textlink="">
        <xdr:nvSpPr>
          <xdr:cNvPr id="104" name="Овал 103"/>
          <xdr:cNvSpPr/>
        </xdr:nvSpPr>
        <xdr:spPr>
          <a:xfrm>
            <a:off x="8281146" y="9502588"/>
            <a:ext cx="780410" cy="285189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cxnSp macro="">
        <xdr:nvCxnSpPr>
          <xdr:cNvPr id="105" name="Прямая соединительная линия 104"/>
          <xdr:cNvCxnSpPr/>
        </xdr:nvCxnSpPr>
        <xdr:spPr>
          <a:xfrm flipV="1">
            <a:off x="9065558" y="9634652"/>
            <a:ext cx="6522091" cy="2406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511096</xdr:colOff>
      <xdr:row>60</xdr:row>
      <xdr:rowOff>92555</xdr:rowOff>
    </xdr:from>
    <xdr:to>
      <xdr:col>20</xdr:col>
      <xdr:colOff>277933</xdr:colOff>
      <xdr:row>73</xdr:row>
      <xdr:rowOff>126174</xdr:rowOff>
    </xdr:to>
    <xdr:sp macro="" textlink="">
      <xdr:nvSpPr>
        <xdr:cNvPr id="110" name="Дуга 109"/>
        <xdr:cNvSpPr/>
      </xdr:nvSpPr>
      <xdr:spPr>
        <a:xfrm>
          <a:off x="12009132" y="13359519"/>
          <a:ext cx="2515480" cy="2687012"/>
        </a:xfrm>
        <a:prstGeom prst="arc">
          <a:avLst>
            <a:gd name="adj1" fmla="val 16208001"/>
            <a:gd name="adj2" fmla="val 5576029"/>
          </a:avLst>
        </a:prstGeom>
        <a:ln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790575</xdr:colOff>
      <xdr:row>70</xdr:row>
      <xdr:rowOff>57150</xdr:rowOff>
    </xdr:from>
    <xdr:to>
      <xdr:col>6</xdr:col>
      <xdr:colOff>209550</xdr:colOff>
      <xdr:row>74</xdr:row>
      <xdr:rowOff>190500</xdr:rowOff>
    </xdr:to>
    <xdr:cxnSp macro="">
      <xdr:nvCxnSpPr>
        <xdr:cNvPr id="3" name="Прямая со стрелкой 2"/>
        <xdr:cNvCxnSpPr/>
      </xdr:nvCxnSpPr>
      <xdr:spPr>
        <a:xfrm>
          <a:off x="4581525" y="13982700"/>
          <a:ext cx="381000" cy="933450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7471</xdr:colOff>
      <xdr:row>111</xdr:row>
      <xdr:rowOff>-1</xdr:rowOff>
    </xdr:from>
    <xdr:to>
      <xdr:col>13</xdr:col>
      <xdr:colOff>14940</xdr:colOff>
      <xdr:row>113</xdr:row>
      <xdr:rowOff>19049</xdr:rowOff>
    </xdr:to>
    <xdr:sp macro="" textlink="">
      <xdr:nvSpPr>
        <xdr:cNvPr id="52" name="Прямоугольник 51"/>
        <xdr:cNvSpPr/>
      </xdr:nvSpPr>
      <xdr:spPr>
        <a:xfrm>
          <a:off x="4923118" y="18840823"/>
          <a:ext cx="649940" cy="4075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392206</xdr:colOff>
      <xdr:row>87</xdr:row>
      <xdr:rowOff>13607</xdr:rowOff>
    </xdr:from>
    <xdr:to>
      <xdr:col>4</xdr:col>
      <xdr:colOff>425824</xdr:colOff>
      <xdr:row>94</xdr:row>
      <xdr:rowOff>27214</xdr:rowOff>
    </xdr:to>
    <xdr:sp macro="" textlink="">
      <xdr:nvSpPr>
        <xdr:cNvPr id="2" name="Прямоугольник 1"/>
        <xdr:cNvSpPr/>
      </xdr:nvSpPr>
      <xdr:spPr>
        <a:xfrm>
          <a:off x="392206" y="16878460"/>
          <a:ext cx="2958353" cy="14255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470647</xdr:colOff>
      <xdr:row>87</xdr:row>
      <xdr:rowOff>16329</xdr:rowOff>
    </xdr:from>
    <xdr:to>
      <xdr:col>8</xdr:col>
      <xdr:colOff>347383</xdr:colOff>
      <xdr:row>94</xdr:row>
      <xdr:rowOff>29936</xdr:rowOff>
    </xdr:to>
    <xdr:sp macro="" textlink="">
      <xdr:nvSpPr>
        <xdr:cNvPr id="61" name="Прямоугольник 60"/>
        <xdr:cNvSpPr/>
      </xdr:nvSpPr>
      <xdr:spPr>
        <a:xfrm>
          <a:off x="3395382" y="16881182"/>
          <a:ext cx="3003177" cy="142554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544286</xdr:colOff>
      <xdr:row>148</xdr:row>
      <xdr:rowOff>0</xdr:rowOff>
    </xdr:from>
    <xdr:to>
      <xdr:col>5</xdr:col>
      <xdr:colOff>751255</xdr:colOff>
      <xdr:row>158</xdr:row>
      <xdr:rowOff>87230</xdr:rowOff>
    </xdr:to>
    <xdr:grpSp>
      <xdr:nvGrpSpPr>
        <xdr:cNvPr id="63" name="Группа 62"/>
        <xdr:cNvGrpSpPr/>
      </xdr:nvGrpSpPr>
      <xdr:grpSpPr>
        <a:xfrm>
          <a:off x="544286" y="28761765"/>
          <a:ext cx="4173851" cy="2029583"/>
          <a:chOff x="236187" y="465333"/>
          <a:chExt cx="3948933" cy="2128302"/>
        </a:xfrm>
      </xdr:grpSpPr>
      <xdr:sp macro="" textlink="">
        <xdr:nvSpPr>
          <xdr:cNvPr id="64" name="Скругленный прямоугольник 63"/>
          <xdr:cNvSpPr/>
        </xdr:nvSpPr>
        <xdr:spPr>
          <a:xfrm>
            <a:off x="236187" y="1002760"/>
            <a:ext cx="2928809" cy="1076329"/>
          </a:xfrm>
          <a:prstGeom prst="round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66" name="Группа 65"/>
          <xdr:cNvGrpSpPr/>
        </xdr:nvGrpSpPr>
        <xdr:grpSpPr>
          <a:xfrm>
            <a:off x="689146" y="1242844"/>
            <a:ext cx="2281208" cy="673988"/>
            <a:chOff x="689146" y="2714549"/>
            <a:chExt cx="2281208" cy="673988"/>
          </a:xfrm>
        </xdr:grpSpPr>
        <xdr:pic>
          <xdr:nvPicPr>
            <xdr:cNvPr id="117" name="Picture 37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sharpenSoften amount="65000"/>
                      </a14:imgEffect>
                      <a14:imgEffect>
                        <a14:saturation sat="70000"/>
                      </a14:imgEffect>
                      <a14:imgEffect>
                        <a14:brightnessContrast bright="5000" contrast="4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07" t="19243" b="20937"/>
            <a:stretch/>
          </xdr:blipFill>
          <xdr:spPr bwMode="auto">
            <a:xfrm rot="10800000">
              <a:off x="689146" y="2714549"/>
              <a:ext cx="2281208" cy="673988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</xdr:pic>
        <xdr:sp macro="" textlink="">
          <xdr:nvSpPr>
            <xdr:cNvPr id="118" name="Прямоугольник 117"/>
            <xdr:cNvSpPr/>
          </xdr:nvSpPr>
          <xdr:spPr>
            <a:xfrm>
              <a:off x="734470" y="2884938"/>
              <a:ext cx="791945" cy="300150"/>
            </a:xfrm>
            <a:prstGeom prst="rect">
              <a:avLst/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19" name="Прямоугольник 118"/>
            <xdr:cNvSpPr/>
          </xdr:nvSpPr>
          <xdr:spPr>
            <a:xfrm>
              <a:off x="1621436" y="2883300"/>
              <a:ext cx="438091" cy="285461"/>
            </a:xfrm>
            <a:prstGeom prst="rect">
              <a:avLst/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120" name="Трапеция 119"/>
            <xdr:cNvSpPr/>
          </xdr:nvSpPr>
          <xdr:spPr>
            <a:xfrm rot="16200000">
              <a:off x="2397112" y="2629241"/>
              <a:ext cx="224655" cy="798554"/>
            </a:xfrm>
            <a:prstGeom prst="trapezoid">
              <a:avLst>
                <a:gd name="adj" fmla="val 0"/>
              </a:avLst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73" name="Прямоугольник 72"/>
          <xdr:cNvSpPr/>
        </xdr:nvSpPr>
        <xdr:spPr>
          <a:xfrm>
            <a:off x="347625" y="1295759"/>
            <a:ext cx="237112" cy="51983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74" name="Прямоугольник 73"/>
          <xdr:cNvSpPr/>
        </xdr:nvSpPr>
        <xdr:spPr>
          <a:xfrm>
            <a:off x="680781" y="1929500"/>
            <a:ext cx="2226171" cy="996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75" name="Прямоугольник 74"/>
          <xdr:cNvSpPr/>
        </xdr:nvSpPr>
        <xdr:spPr>
          <a:xfrm>
            <a:off x="680782" y="1052325"/>
            <a:ext cx="2226169" cy="901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76" name="Прямоугольник 75"/>
          <xdr:cNvSpPr/>
        </xdr:nvSpPr>
        <xdr:spPr>
          <a:xfrm>
            <a:off x="3164997" y="1390938"/>
            <a:ext cx="573699" cy="285461"/>
          </a:xfrm>
          <a:prstGeom prst="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cxnSp macro="">
        <xdr:nvCxnSpPr>
          <xdr:cNvPr id="78" name="Прямая со стрелкой 77"/>
          <xdr:cNvCxnSpPr/>
        </xdr:nvCxnSpPr>
        <xdr:spPr>
          <a:xfrm>
            <a:off x="429504" y="848744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Прямая со стрелкой 78"/>
          <xdr:cNvCxnSpPr/>
        </xdr:nvCxnSpPr>
        <xdr:spPr>
          <a:xfrm>
            <a:off x="429504" y="1865055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Прямая со стрелкой 85"/>
          <xdr:cNvCxnSpPr/>
        </xdr:nvCxnSpPr>
        <xdr:spPr>
          <a:xfrm>
            <a:off x="1057368" y="848744"/>
            <a:ext cx="0" cy="53328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Прямая со стрелкой 86"/>
          <xdr:cNvCxnSpPr/>
        </xdr:nvCxnSpPr>
        <xdr:spPr>
          <a:xfrm flipV="1">
            <a:off x="1057368" y="1722217"/>
            <a:ext cx="0" cy="581990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Прямая со стрелкой 87"/>
          <xdr:cNvCxnSpPr/>
        </xdr:nvCxnSpPr>
        <xdr:spPr>
          <a:xfrm>
            <a:off x="899840" y="1730464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Прямая со стрелкой 88"/>
          <xdr:cNvCxnSpPr/>
        </xdr:nvCxnSpPr>
        <xdr:spPr>
          <a:xfrm>
            <a:off x="1189853" y="1730464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Прямая со стрелкой 89"/>
          <xdr:cNvCxnSpPr/>
        </xdr:nvCxnSpPr>
        <xdr:spPr>
          <a:xfrm flipH="1" flipV="1">
            <a:off x="1187105" y="1183507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Прямая со стрелкой 90"/>
          <xdr:cNvCxnSpPr/>
        </xdr:nvCxnSpPr>
        <xdr:spPr>
          <a:xfrm flipH="1" flipV="1">
            <a:off x="893765" y="1190532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Прямая со стрелкой 91"/>
          <xdr:cNvCxnSpPr/>
        </xdr:nvCxnSpPr>
        <xdr:spPr>
          <a:xfrm>
            <a:off x="1264842" y="1457774"/>
            <a:ext cx="543744" cy="3176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Прямая со стрелкой 92"/>
          <xdr:cNvCxnSpPr/>
        </xdr:nvCxnSpPr>
        <xdr:spPr>
          <a:xfrm flipV="1">
            <a:off x="1252684" y="1639561"/>
            <a:ext cx="559542" cy="354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Прямая со стрелкой 93"/>
          <xdr:cNvCxnSpPr/>
        </xdr:nvCxnSpPr>
        <xdr:spPr>
          <a:xfrm>
            <a:off x="1666856" y="1726915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Прямая со стрелкой 94"/>
          <xdr:cNvCxnSpPr/>
        </xdr:nvCxnSpPr>
        <xdr:spPr>
          <a:xfrm>
            <a:off x="1956869" y="1726915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Прямая со стрелкой 95"/>
          <xdr:cNvCxnSpPr/>
        </xdr:nvCxnSpPr>
        <xdr:spPr>
          <a:xfrm flipH="1" flipV="1">
            <a:off x="1954121" y="1179958"/>
            <a:ext cx="2748" cy="18278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Прямая со стрелкой 97"/>
          <xdr:cNvCxnSpPr/>
        </xdr:nvCxnSpPr>
        <xdr:spPr>
          <a:xfrm flipH="1" flipV="1">
            <a:off x="1660781" y="1186983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/>
          <xdr:cNvCxnSpPr/>
        </xdr:nvCxnSpPr>
        <xdr:spPr>
          <a:xfrm flipH="1">
            <a:off x="2989650" y="1457774"/>
            <a:ext cx="869568" cy="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Прямая со стрелкой 105"/>
          <xdr:cNvCxnSpPr>
            <a:stCxn id="73" idx="3"/>
          </xdr:cNvCxnSpPr>
        </xdr:nvCxnSpPr>
        <xdr:spPr>
          <a:xfrm flipV="1">
            <a:off x="584737" y="1549692"/>
            <a:ext cx="3406439" cy="598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Прямая со стрелкой 106"/>
          <xdr:cNvCxnSpPr/>
        </xdr:nvCxnSpPr>
        <xdr:spPr>
          <a:xfrm flipH="1" flipV="1">
            <a:off x="2572952" y="1213897"/>
            <a:ext cx="232522" cy="21861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Прямая со стрелкой 107"/>
          <xdr:cNvCxnSpPr/>
        </xdr:nvCxnSpPr>
        <xdr:spPr>
          <a:xfrm flipH="1">
            <a:off x="2626115" y="1643109"/>
            <a:ext cx="169370" cy="24977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Прямая со стрелкой 108"/>
          <xdr:cNvCxnSpPr/>
        </xdr:nvCxnSpPr>
        <xdr:spPr>
          <a:xfrm>
            <a:off x="550765" y="843211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Прямая со стрелкой 110"/>
          <xdr:cNvCxnSpPr/>
        </xdr:nvCxnSpPr>
        <xdr:spPr>
          <a:xfrm>
            <a:off x="550765" y="1859522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 стрелкой 111"/>
          <xdr:cNvCxnSpPr>
            <a:stCxn id="73" idx="3"/>
          </xdr:cNvCxnSpPr>
        </xdr:nvCxnSpPr>
        <xdr:spPr>
          <a:xfrm flipV="1">
            <a:off x="584737" y="1552684"/>
            <a:ext cx="3413660" cy="2994"/>
          </a:xfrm>
          <a:prstGeom prst="straightConnector1">
            <a:avLst/>
          </a:prstGeom>
          <a:ln w="19050">
            <a:solidFill>
              <a:srgbClr val="00B0F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TextBox 134"/>
          <xdr:cNvSpPr txBox="1">
            <a:spLocks noChangeArrowheads="1"/>
          </xdr:cNvSpPr>
        </xdr:nvSpPr>
        <xdr:spPr bwMode="auto">
          <a:xfrm>
            <a:off x="429109" y="465333"/>
            <a:ext cx="75733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4" name="TextBox 134"/>
          <xdr:cNvSpPr txBox="1">
            <a:spLocks noChangeArrowheads="1"/>
          </xdr:cNvSpPr>
        </xdr:nvSpPr>
        <xdr:spPr bwMode="auto">
          <a:xfrm>
            <a:off x="466361" y="2193525"/>
            <a:ext cx="841089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5" name="TextBox 134"/>
          <xdr:cNvSpPr txBox="1">
            <a:spLocks noChangeArrowheads="1"/>
          </xdr:cNvSpPr>
        </xdr:nvSpPr>
        <xdr:spPr bwMode="auto">
          <a:xfrm>
            <a:off x="3683714" y="1064431"/>
            <a:ext cx="501406" cy="9130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0</a:t>
            </a:r>
          </a:p>
          <a:p>
            <a:pPr eaLnBrk="1" hangingPunct="1"/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 </a:t>
            </a:r>
          </a:p>
          <a:p>
            <a:pPr eaLnBrk="1" hangingPunct="1"/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0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6" name="TextBox 134"/>
          <xdr:cNvSpPr txBox="1">
            <a:spLocks noChangeArrowheads="1"/>
          </xdr:cNvSpPr>
        </xdr:nvSpPr>
        <xdr:spPr bwMode="auto">
          <a:xfrm>
            <a:off x="3180534" y="999506"/>
            <a:ext cx="43117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13</xdr:col>
      <xdr:colOff>231321</xdr:colOff>
      <xdr:row>148</xdr:row>
      <xdr:rowOff>27216</xdr:rowOff>
    </xdr:from>
    <xdr:to>
      <xdr:col>18</xdr:col>
      <xdr:colOff>567376</xdr:colOff>
      <xdr:row>158</xdr:row>
      <xdr:rowOff>114445</xdr:rowOff>
    </xdr:to>
    <xdr:grpSp>
      <xdr:nvGrpSpPr>
        <xdr:cNvPr id="121" name="Группа 120"/>
        <xdr:cNvGrpSpPr/>
      </xdr:nvGrpSpPr>
      <xdr:grpSpPr>
        <a:xfrm>
          <a:off x="10466027" y="28788981"/>
          <a:ext cx="4265584" cy="2029582"/>
          <a:chOff x="4628675" y="2153455"/>
          <a:chExt cx="4023591" cy="2128302"/>
        </a:xfrm>
      </xdr:grpSpPr>
      <xdr:sp macro="" textlink="">
        <xdr:nvSpPr>
          <xdr:cNvPr id="122" name="Скругленный прямоугольник 121"/>
          <xdr:cNvSpPr/>
        </xdr:nvSpPr>
        <xdr:spPr>
          <a:xfrm>
            <a:off x="4628675" y="2685363"/>
            <a:ext cx="2928809" cy="1076329"/>
          </a:xfrm>
          <a:prstGeom prst="round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pic>
        <xdr:nvPicPr>
          <xdr:cNvPr id="123" name="Picture 3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sharpenSoften amount="65000"/>
                    </a14:imgEffect>
                    <a14:imgEffect>
                      <a14:saturation sat="70000"/>
                    </a14:imgEffect>
                    <a14:imgEffect>
                      <a14:brightnessContrast bright="5000" contrast="4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707" t="19243" b="20937"/>
          <a:stretch/>
        </xdr:blipFill>
        <xdr:spPr bwMode="auto">
          <a:xfrm rot="10800000">
            <a:off x="5079869" y="2913468"/>
            <a:ext cx="2281208" cy="67398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24" name="Прямоугольник 123"/>
          <xdr:cNvSpPr/>
        </xdr:nvSpPr>
        <xdr:spPr>
          <a:xfrm>
            <a:off x="4740113" y="2978362"/>
            <a:ext cx="237112" cy="51983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25" name="Прямоугольник 124"/>
          <xdr:cNvSpPr/>
        </xdr:nvSpPr>
        <xdr:spPr>
          <a:xfrm>
            <a:off x="5125193" y="3083857"/>
            <a:ext cx="791945" cy="300150"/>
          </a:xfrm>
          <a:prstGeom prst="rect">
            <a:avLst/>
          </a:prstGeom>
          <a:solidFill>
            <a:schemeClr val="accent1">
              <a:alpha val="3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26" name="Прямоугольник 125"/>
          <xdr:cNvSpPr/>
        </xdr:nvSpPr>
        <xdr:spPr>
          <a:xfrm>
            <a:off x="6012159" y="3082219"/>
            <a:ext cx="438091" cy="285461"/>
          </a:xfrm>
          <a:prstGeom prst="rect">
            <a:avLst/>
          </a:prstGeom>
          <a:solidFill>
            <a:schemeClr val="accent1">
              <a:alpha val="3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27" name="Трапеция 126"/>
          <xdr:cNvSpPr/>
        </xdr:nvSpPr>
        <xdr:spPr>
          <a:xfrm rot="16200000">
            <a:off x="6787835" y="2828160"/>
            <a:ext cx="224655" cy="798554"/>
          </a:xfrm>
          <a:prstGeom prst="trapezoid">
            <a:avLst>
              <a:gd name="adj" fmla="val 0"/>
            </a:avLst>
          </a:prstGeom>
          <a:solidFill>
            <a:schemeClr val="accent1">
              <a:alpha val="3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28" name="Прямоугольник 127"/>
          <xdr:cNvSpPr/>
        </xdr:nvSpPr>
        <xdr:spPr>
          <a:xfrm>
            <a:off x="5060867" y="3612102"/>
            <a:ext cx="2238573" cy="1081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29" name="Прямоугольник 128"/>
          <xdr:cNvSpPr/>
        </xdr:nvSpPr>
        <xdr:spPr>
          <a:xfrm>
            <a:off x="5060866" y="2734928"/>
            <a:ext cx="2238573" cy="1081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130" name="Прямоугольник 129"/>
          <xdr:cNvSpPr/>
        </xdr:nvSpPr>
        <xdr:spPr>
          <a:xfrm>
            <a:off x="7557485" y="3073541"/>
            <a:ext cx="573699" cy="285461"/>
          </a:xfrm>
          <a:prstGeom prst="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cxnSp macro="">
        <xdr:nvCxnSpPr>
          <xdr:cNvPr id="131" name="Прямая со стрелкой 130"/>
          <xdr:cNvCxnSpPr/>
        </xdr:nvCxnSpPr>
        <xdr:spPr>
          <a:xfrm>
            <a:off x="4916707" y="2525022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Прямая со стрелкой 131"/>
          <xdr:cNvCxnSpPr/>
        </xdr:nvCxnSpPr>
        <xdr:spPr>
          <a:xfrm>
            <a:off x="4916707" y="3541333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Прямая со стрелкой 132"/>
          <xdr:cNvCxnSpPr/>
        </xdr:nvCxnSpPr>
        <xdr:spPr>
          <a:xfrm>
            <a:off x="5450275" y="2535221"/>
            <a:ext cx="0" cy="533280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Прямая со стрелкой 133"/>
          <xdr:cNvCxnSpPr/>
        </xdr:nvCxnSpPr>
        <xdr:spPr>
          <a:xfrm flipV="1">
            <a:off x="5449856" y="3413068"/>
            <a:ext cx="3701" cy="57374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Прямая со стрелкой 134"/>
          <xdr:cNvCxnSpPr/>
        </xdr:nvCxnSpPr>
        <xdr:spPr>
          <a:xfrm>
            <a:off x="5292328" y="3413067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Прямая со стрелкой 135"/>
          <xdr:cNvCxnSpPr/>
        </xdr:nvCxnSpPr>
        <xdr:spPr>
          <a:xfrm>
            <a:off x="5582341" y="3413067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Прямая со стрелкой 136"/>
          <xdr:cNvCxnSpPr/>
        </xdr:nvCxnSpPr>
        <xdr:spPr>
          <a:xfrm flipH="1" flipV="1">
            <a:off x="5579593" y="2866110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Прямая со стрелкой 137"/>
          <xdr:cNvCxnSpPr/>
        </xdr:nvCxnSpPr>
        <xdr:spPr>
          <a:xfrm flipH="1" flipV="1">
            <a:off x="5286253" y="2873135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Прямая со стрелкой 138"/>
          <xdr:cNvCxnSpPr/>
        </xdr:nvCxnSpPr>
        <xdr:spPr>
          <a:xfrm>
            <a:off x="6349357" y="3408942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Прямая со стрелкой 139"/>
          <xdr:cNvCxnSpPr/>
        </xdr:nvCxnSpPr>
        <xdr:spPr>
          <a:xfrm>
            <a:off x="6349357" y="3409518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Прямая со стрелкой 140"/>
          <xdr:cNvCxnSpPr/>
        </xdr:nvCxnSpPr>
        <xdr:spPr>
          <a:xfrm flipH="1" flipV="1">
            <a:off x="6346609" y="2862561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Прямая со стрелкой 141"/>
          <xdr:cNvCxnSpPr/>
        </xdr:nvCxnSpPr>
        <xdr:spPr>
          <a:xfrm flipH="1" flipV="1">
            <a:off x="6053269" y="2869586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Прямая со стрелкой 142"/>
          <xdr:cNvCxnSpPr/>
        </xdr:nvCxnSpPr>
        <xdr:spPr>
          <a:xfrm flipH="1">
            <a:off x="7382138" y="3140377"/>
            <a:ext cx="869568" cy="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Прямая со стрелкой 143"/>
          <xdr:cNvCxnSpPr>
            <a:stCxn id="127" idx="2"/>
          </xdr:cNvCxnSpPr>
        </xdr:nvCxnSpPr>
        <xdr:spPr>
          <a:xfrm flipV="1">
            <a:off x="7299440" y="3213059"/>
            <a:ext cx="1084224" cy="14378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Прямая со стрелкой 144"/>
          <xdr:cNvCxnSpPr/>
        </xdr:nvCxnSpPr>
        <xdr:spPr>
          <a:xfrm flipH="1" flipV="1">
            <a:off x="6965440" y="2896500"/>
            <a:ext cx="232522" cy="21861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Прямая со стрелкой 145"/>
          <xdr:cNvCxnSpPr/>
        </xdr:nvCxnSpPr>
        <xdr:spPr>
          <a:xfrm flipH="1">
            <a:off x="7018603" y="3325712"/>
            <a:ext cx="169370" cy="24977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Прямая со стрелкой 146"/>
          <xdr:cNvCxnSpPr/>
        </xdr:nvCxnSpPr>
        <xdr:spPr>
          <a:xfrm>
            <a:off x="4784808" y="2525022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Прямая со стрелкой 147"/>
          <xdr:cNvCxnSpPr/>
        </xdr:nvCxnSpPr>
        <xdr:spPr>
          <a:xfrm>
            <a:off x="4784808" y="3541333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Прямая со стрелкой 148"/>
          <xdr:cNvCxnSpPr/>
        </xdr:nvCxnSpPr>
        <xdr:spPr>
          <a:xfrm>
            <a:off x="4784808" y="3541736"/>
            <a:ext cx="0" cy="427375"/>
          </a:xfrm>
          <a:prstGeom prst="straightConnector1">
            <a:avLst/>
          </a:prstGeom>
          <a:ln w="19050">
            <a:solidFill>
              <a:srgbClr val="00B0F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Прямая со стрелкой 149"/>
          <xdr:cNvCxnSpPr/>
        </xdr:nvCxnSpPr>
        <xdr:spPr>
          <a:xfrm>
            <a:off x="4784808" y="2525022"/>
            <a:ext cx="0" cy="427375"/>
          </a:xfrm>
          <a:prstGeom prst="straightConnector1">
            <a:avLst/>
          </a:prstGeom>
          <a:ln w="19050">
            <a:solidFill>
              <a:srgbClr val="00B0F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Прямая со стрелкой 150"/>
          <xdr:cNvCxnSpPr/>
        </xdr:nvCxnSpPr>
        <xdr:spPr>
          <a:xfrm flipV="1">
            <a:off x="5453557" y="3417806"/>
            <a:ext cx="3281" cy="573745"/>
          </a:xfrm>
          <a:prstGeom prst="straightConnector1">
            <a:avLst/>
          </a:prstGeom>
          <a:ln w="19050">
            <a:solidFill>
              <a:srgbClr val="00B0F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Прямая со стрелкой 151"/>
          <xdr:cNvCxnSpPr/>
        </xdr:nvCxnSpPr>
        <xdr:spPr>
          <a:xfrm>
            <a:off x="5659841" y="3140378"/>
            <a:ext cx="543744" cy="3176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Прямая со стрелкой 152"/>
          <xdr:cNvCxnSpPr/>
        </xdr:nvCxnSpPr>
        <xdr:spPr>
          <a:xfrm flipV="1">
            <a:off x="5647683" y="3322165"/>
            <a:ext cx="559542" cy="354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Прямая со стрелкой 153"/>
          <xdr:cNvCxnSpPr/>
        </xdr:nvCxnSpPr>
        <xdr:spPr>
          <a:xfrm flipH="1" flipV="1">
            <a:off x="6051046" y="2873134"/>
            <a:ext cx="2748" cy="182789"/>
          </a:xfrm>
          <a:prstGeom prst="straightConnector1">
            <a:avLst/>
          </a:prstGeom>
          <a:ln w="19050">
            <a:solidFill>
              <a:srgbClr val="FF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Прямая со стрелкой 154"/>
          <xdr:cNvCxnSpPr/>
        </xdr:nvCxnSpPr>
        <xdr:spPr>
          <a:xfrm>
            <a:off x="6056017" y="3408941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Прямая со стрелкой 155"/>
          <xdr:cNvCxnSpPr/>
        </xdr:nvCxnSpPr>
        <xdr:spPr>
          <a:xfrm>
            <a:off x="5582341" y="3409518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Прямая со стрелкой 156"/>
          <xdr:cNvCxnSpPr/>
        </xdr:nvCxnSpPr>
        <xdr:spPr>
          <a:xfrm flipH="1" flipV="1">
            <a:off x="5284030" y="2873134"/>
            <a:ext cx="2748" cy="182789"/>
          </a:xfrm>
          <a:prstGeom prst="straightConnector1">
            <a:avLst/>
          </a:prstGeom>
          <a:ln w="19050">
            <a:solidFill>
              <a:srgbClr val="FF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Прямая со стрелкой 157"/>
          <xdr:cNvCxnSpPr/>
        </xdr:nvCxnSpPr>
        <xdr:spPr>
          <a:xfrm>
            <a:off x="5659841" y="3143554"/>
            <a:ext cx="543744" cy="3792"/>
          </a:xfrm>
          <a:prstGeom prst="straightConnector1">
            <a:avLst/>
          </a:prstGeom>
          <a:ln w="19050">
            <a:solidFill>
              <a:srgbClr val="FF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TextBox 134"/>
          <xdr:cNvSpPr txBox="1">
            <a:spLocks noChangeArrowheads="1"/>
          </xdr:cNvSpPr>
        </xdr:nvSpPr>
        <xdr:spPr bwMode="auto">
          <a:xfrm>
            <a:off x="4763834" y="2153455"/>
            <a:ext cx="75733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60" name="TextBox 134"/>
          <xdr:cNvSpPr txBox="1">
            <a:spLocks noChangeArrowheads="1"/>
          </xdr:cNvSpPr>
        </xdr:nvSpPr>
        <xdr:spPr bwMode="auto">
          <a:xfrm>
            <a:off x="4801086" y="3881647"/>
            <a:ext cx="841089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61" name="TextBox 134"/>
          <xdr:cNvSpPr txBox="1">
            <a:spLocks noChangeArrowheads="1"/>
          </xdr:cNvSpPr>
        </xdr:nvSpPr>
        <xdr:spPr bwMode="auto">
          <a:xfrm>
            <a:off x="8150860" y="3276353"/>
            <a:ext cx="501406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0</a:t>
            </a:r>
          </a:p>
        </xdr:txBody>
      </xdr:sp>
      <xdr:sp macro="" textlink="">
        <xdr:nvSpPr>
          <xdr:cNvPr id="162" name="TextBox 134"/>
          <xdr:cNvSpPr txBox="1">
            <a:spLocks noChangeArrowheads="1"/>
          </xdr:cNvSpPr>
        </xdr:nvSpPr>
        <xdr:spPr bwMode="auto">
          <a:xfrm>
            <a:off x="7575672" y="2687628"/>
            <a:ext cx="43117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 editAs="oneCell">
    <xdr:from>
      <xdr:col>21</xdr:col>
      <xdr:colOff>247393</xdr:colOff>
      <xdr:row>111</xdr:row>
      <xdr:rowOff>56029</xdr:rowOff>
    </xdr:from>
    <xdr:to>
      <xdr:col>30</xdr:col>
      <xdr:colOff>382178</xdr:colOff>
      <xdr:row>130</xdr:row>
      <xdr:rowOff>123264</xdr:rowOff>
    </xdr:to>
    <xdr:pic>
      <xdr:nvPicPr>
        <xdr:cNvPr id="201" name="Рисунок 20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2364" y="21358411"/>
          <a:ext cx="7340168" cy="389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392206</xdr:colOff>
      <xdr:row>28</xdr:row>
      <xdr:rowOff>33617</xdr:rowOff>
    </xdr:from>
    <xdr:to>
      <xdr:col>13</xdr:col>
      <xdr:colOff>616324</xdr:colOff>
      <xdr:row>34</xdr:row>
      <xdr:rowOff>190500</xdr:rowOff>
    </xdr:to>
    <xdr:cxnSp macro="">
      <xdr:nvCxnSpPr>
        <xdr:cNvPr id="16" name="Прямая со стрелкой 15"/>
        <xdr:cNvCxnSpPr/>
      </xdr:nvCxnSpPr>
      <xdr:spPr>
        <a:xfrm flipH="1">
          <a:off x="10107706" y="5681382"/>
          <a:ext cx="224118" cy="13559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369796</xdr:colOff>
      <xdr:row>87</xdr:row>
      <xdr:rowOff>16329</xdr:rowOff>
    </xdr:from>
    <xdr:to>
      <xdr:col>12</xdr:col>
      <xdr:colOff>324971</xdr:colOff>
      <xdr:row>94</xdr:row>
      <xdr:rowOff>29936</xdr:rowOff>
    </xdr:to>
    <xdr:sp macro="" textlink="">
      <xdr:nvSpPr>
        <xdr:cNvPr id="202" name="Прямоугольник 201"/>
        <xdr:cNvSpPr/>
      </xdr:nvSpPr>
      <xdr:spPr>
        <a:xfrm>
          <a:off x="6420972" y="16881182"/>
          <a:ext cx="2835087" cy="1425548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369794</xdr:colOff>
      <xdr:row>87</xdr:row>
      <xdr:rowOff>7845</xdr:rowOff>
    </xdr:from>
    <xdr:to>
      <xdr:col>16</xdr:col>
      <xdr:colOff>336177</xdr:colOff>
      <xdr:row>94</xdr:row>
      <xdr:rowOff>21452</xdr:rowOff>
    </xdr:to>
    <xdr:sp macro="" textlink="">
      <xdr:nvSpPr>
        <xdr:cNvPr id="203" name="Прямоугольник 202"/>
        <xdr:cNvSpPr/>
      </xdr:nvSpPr>
      <xdr:spPr>
        <a:xfrm>
          <a:off x="9300882" y="16872698"/>
          <a:ext cx="2902324" cy="1425548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22</xdr:col>
      <xdr:colOff>8811</xdr:colOff>
      <xdr:row>131</xdr:row>
      <xdr:rowOff>40820</xdr:rowOff>
    </xdr:from>
    <xdr:to>
      <xdr:col>26</xdr:col>
      <xdr:colOff>397070</xdr:colOff>
      <xdr:row>143</xdr:row>
      <xdr:rowOff>152880</xdr:rowOff>
    </xdr:to>
    <xdr:pic>
      <xdr:nvPicPr>
        <xdr:cNvPr id="204" name="Рисунок 20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4918" y="25663070"/>
          <a:ext cx="3585938" cy="2561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42425</xdr:colOff>
      <xdr:row>111</xdr:row>
      <xdr:rowOff>27215</xdr:rowOff>
    </xdr:from>
    <xdr:to>
      <xdr:col>39</xdr:col>
      <xdr:colOff>46815</xdr:colOff>
      <xdr:row>130</xdr:row>
      <xdr:rowOff>139272</xdr:rowOff>
    </xdr:to>
    <xdr:pic>
      <xdr:nvPicPr>
        <xdr:cNvPr id="205" name="Рисунок 20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3282" y="34426072"/>
          <a:ext cx="5324783" cy="3990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607225</xdr:colOff>
      <xdr:row>151</xdr:row>
      <xdr:rowOff>137380</xdr:rowOff>
    </xdr:from>
    <xdr:to>
      <xdr:col>29</xdr:col>
      <xdr:colOff>723813</xdr:colOff>
      <xdr:row>165</xdr:row>
      <xdr:rowOff>68880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6350689" y="38006059"/>
          <a:ext cx="6525552" cy="2789000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76</xdr:row>
      <xdr:rowOff>95250</xdr:rowOff>
    </xdr:from>
    <xdr:to>
      <xdr:col>16</xdr:col>
      <xdr:colOff>612323</xdr:colOff>
      <xdr:row>76</xdr:row>
      <xdr:rowOff>108857</xdr:rowOff>
    </xdr:to>
    <xdr:cxnSp macro="">
      <xdr:nvCxnSpPr>
        <xdr:cNvPr id="206" name="Прямая со стрелкой 205"/>
        <xdr:cNvCxnSpPr/>
      </xdr:nvCxnSpPr>
      <xdr:spPr>
        <a:xfrm flipH="1" flipV="1">
          <a:off x="5657850" y="15230475"/>
          <a:ext cx="6784523" cy="13607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369796</xdr:colOff>
      <xdr:row>89</xdr:row>
      <xdr:rowOff>9525</xdr:rowOff>
    </xdr:from>
    <xdr:to>
      <xdr:col>20</xdr:col>
      <xdr:colOff>336178</xdr:colOff>
      <xdr:row>92</xdr:row>
      <xdr:rowOff>23812</xdr:rowOff>
    </xdr:to>
    <xdr:sp macro="" textlink="">
      <xdr:nvSpPr>
        <xdr:cNvPr id="210" name="Прямоугольник 209"/>
        <xdr:cNvSpPr/>
      </xdr:nvSpPr>
      <xdr:spPr>
        <a:xfrm>
          <a:off x="12236825" y="17277790"/>
          <a:ext cx="3025588" cy="619404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623048</xdr:colOff>
      <xdr:row>108</xdr:row>
      <xdr:rowOff>6724</xdr:rowOff>
    </xdr:from>
    <xdr:to>
      <xdr:col>12</xdr:col>
      <xdr:colOff>634254</xdr:colOff>
      <xdr:row>110</xdr:row>
      <xdr:rowOff>6725</xdr:rowOff>
    </xdr:to>
    <xdr:cxnSp macro="">
      <xdr:nvCxnSpPr>
        <xdr:cNvPr id="222" name="Прямая со стрелкой 221"/>
        <xdr:cNvCxnSpPr/>
      </xdr:nvCxnSpPr>
      <xdr:spPr>
        <a:xfrm flipV="1">
          <a:off x="9554136" y="20703989"/>
          <a:ext cx="11206" cy="40341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96071</xdr:colOff>
      <xdr:row>107</xdr:row>
      <xdr:rowOff>174036</xdr:rowOff>
    </xdr:from>
    <xdr:to>
      <xdr:col>12</xdr:col>
      <xdr:colOff>96371</xdr:colOff>
      <xdr:row>110</xdr:row>
      <xdr:rowOff>29136</xdr:rowOff>
    </xdr:to>
    <xdr:cxnSp macro="">
      <xdr:nvCxnSpPr>
        <xdr:cNvPr id="223" name="Прямая со стрелкой 222"/>
        <xdr:cNvCxnSpPr/>
      </xdr:nvCxnSpPr>
      <xdr:spPr>
        <a:xfrm>
          <a:off x="9027159" y="20669595"/>
          <a:ext cx="300" cy="46021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649942</xdr:colOff>
      <xdr:row>107</xdr:row>
      <xdr:rowOff>156882</xdr:rowOff>
    </xdr:from>
    <xdr:to>
      <xdr:col>1</xdr:col>
      <xdr:colOff>661148</xdr:colOff>
      <xdr:row>109</xdr:row>
      <xdr:rowOff>156883</xdr:rowOff>
    </xdr:to>
    <xdr:cxnSp macro="">
      <xdr:nvCxnSpPr>
        <xdr:cNvPr id="224" name="Прямая со стрелкой 223"/>
        <xdr:cNvCxnSpPr/>
      </xdr:nvCxnSpPr>
      <xdr:spPr>
        <a:xfrm flipV="1">
          <a:off x="1367118" y="20652441"/>
          <a:ext cx="11206" cy="40341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125206</xdr:colOff>
      <xdr:row>107</xdr:row>
      <xdr:rowOff>102319</xdr:rowOff>
    </xdr:from>
    <xdr:to>
      <xdr:col>1</xdr:col>
      <xdr:colOff>125506</xdr:colOff>
      <xdr:row>109</xdr:row>
      <xdr:rowOff>159124</xdr:rowOff>
    </xdr:to>
    <xdr:cxnSp macro="">
      <xdr:nvCxnSpPr>
        <xdr:cNvPr id="225" name="Прямая со стрелкой 224"/>
        <xdr:cNvCxnSpPr/>
      </xdr:nvCxnSpPr>
      <xdr:spPr>
        <a:xfrm>
          <a:off x="842382" y="20597878"/>
          <a:ext cx="300" cy="46021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63357</xdr:colOff>
      <xdr:row>93</xdr:row>
      <xdr:rowOff>109130</xdr:rowOff>
    </xdr:from>
    <xdr:to>
      <xdr:col>18</xdr:col>
      <xdr:colOff>641408</xdr:colOff>
      <xdr:row>93</xdr:row>
      <xdr:rowOff>112920</xdr:rowOff>
    </xdr:to>
    <xdr:cxnSp macro="">
      <xdr:nvCxnSpPr>
        <xdr:cNvPr id="233" name="Прямая со стрелкой 232"/>
        <xdr:cNvCxnSpPr/>
      </xdr:nvCxnSpPr>
      <xdr:spPr>
        <a:xfrm flipV="1">
          <a:off x="13387151" y="17982512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75643</xdr:colOff>
      <xdr:row>93</xdr:row>
      <xdr:rowOff>122404</xdr:rowOff>
    </xdr:from>
    <xdr:to>
      <xdr:col>19</xdr:col>
      <xdr:colOff>687008</xdr:colOff>
      <xdr:row>93</xdr:row>
      <xdr:rowOff>125850</xdr:rowOff>
    </xdr:to>
    <xdr:cxnSp macro="">
      <xdr:nvCxnSpPr>
        <xdr:cNvPr id="234" name="Прямая со стрелкой 233"/>
        <xdr:cNvCxnSpPr/>
      </xdr:nvCxnSpPr>
      <xdr:spPr>
        <a:xfrm flipH="1" flipV="1">
          <a:off x="14127819" y="17995786"/>
          <a:ext cx="611365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74</xdr:row>
      <xdr:rowOff>28575</xdr:rowOff>
    </xdr:from>
    <xdr:to>
      <xdr:col>18</xdr:col>
      <xdr:colOff>723900</xdr:colOff>
      <xdr:row>75</xdr:row>
      <xdr:rowOff>114300</xdr:rowOff>
    </xdr:to>
    <xdr:cxnSp macro="">
      <xdr:nvCxnSpPr>
        <xdr:cNvPr id="11" name="Прямая со стрелкой 10"/>
        <xdr:cNvCxnSpPr/>
      </xdr:nvCxnSpPr>
      <xdr:spPr>
        <a:xfrm>
          <a:off x="13496925" y="14754225"/>
          <a:ext cx="647700" cy="2857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66</xdr:row>
      <xdr:rowOff>190500</xdr:rowOff>
    </xdr:from>
    <xdr:to>
      <xdr:col>7</xdr:col>
      <xdr:colOff>67235</xdr:colOff>
      <xdr:row>71</xdr:row>
      <xdr:rowOff>190500</xdr:rowOff>
    </xdr:to>
    <xdr:sp macro="" textlink="">
      <xdr:nvSpPr>
        <xdr:cNvPr id="323" name="Пятно 2 322"/>
        <xdr:cNvSpPr/>
      </xdr:nvSpPr>
      <xdr:spPr>
        <a:xfrm>
          <a:off x="3495115" y="13424647"/>
          <a:ext cx="1995767" cy="1008529"/>
        </a:xfrm>
        <a:prstGeom prst="irregularSeal2">
          <a:avLst/>
        </a:prstGeom>
        <a:noFill/>
        <a:ln w="57150"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501547</xdr:colOff>
      <xdr:row>12</xdr:row>
      <xdr:rowOff>173881</xdr:rowOff>
    </xdr:from>
    <xdr:to>
      <xdr:col>7</xdr:col>
      <xdr:colOff>651951</xdr:colOff>
      <xdr:row>15</xdr:row>
      <xdr:rowOff>173884</xdr:rowOff>
    </xdr:to>
    <xdr:sp macro="" textlink="">
      <xdr:nvSpPr>
        <xdr:cNvPr id="318" name="Правая фигурная скобка 317"/>
        <xdr:cNvSpPr/>
      </xdr:nvSpPr>
      <xdr:spPr>
        <a:xfrm rot="10800000">
          <a:off x="5940322" y="2555131"/>
          <a:ext cx="150404" cy="5905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511096</xdr:colOff>
      <xdr:row>60</xdr:row>
      <xdr:rowOff>92555</xdr:rowOff>
    </xdr:from>
    <xdr:to>
      <xdr:col>20</xdr:col>
      <xdr:colOff>277933</xdr:colOff>
      <xdr:row>73</xdr:row>
      <xdr:rowOff>126174</xdr:rowOff>
    </xdr:to>
    <xdr:sp macro="" textlink="">
      <xdr:nvSpPr>
        <xdr:cNvPr id="368" name="Дуга 367"/>
        <xdr:cNvSpPr/>
      </xdr:nvSpPr>
      <xdr:spPr>
        <a:xfrm>
          <a:off x="12474496" y="11960705"/>
          <a:ext cx="2681487" cy="2633944"/>
        </a:xfrm>
        <a:prstGeom prst="arc">
          <a:avLst>
            <a:gd name="adj1" fmla="val 16208001"/>
            <a:gd name="adj2" fmla="val 5576029"/>
          </a:avLst>
        </a:prstGeom>
        <a:ln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219075</xdr:colOff>
      <xdr:row>16</xdr:row>
      <xdr:rowOff>9524</xdr:rowOff>
    </xdr:from>
    <xdr:to>
      <xdr:col>11</xdr:col>
      <xdr:colOff>350345</xdr:colOff>
      <xdr:row>22</xdr:row>
      <xdr:rowOff>64593</xdr:rowOff>
    </xdr:to>
    <xdr:sp macro="" textlink="">
      <xdr:nvSpPr>
        <xdr:cNvPr id="369" name="Дуга 368"/>
        <xdr:cNvSpPr/>
      </xdr:nvSpPr>
      <xdr:spPr>
        <a:xfrm rot="16200000">
          <a:off x="5734050" y="1457324"/>
          <a:ext cx="1236169" cy="4684220"/>
        </a:xfrm>
        <a:prstGeom prst="arc">
          <a:avLst>
            <a:gd name="adj1" fmla="val 16771809"/>
            <a:gd name="adj2" fmla="val 5298919"/>
          </a:avLst>
        </a:prstGeom>
        <a:ln>
          <a:solidFill>
            <a:srgbClr val="00B0F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790575</xdr:colOff>
      <xdr:row>70</xdr:row>
      <xdr:rowOff>57150</xdr:rowOff>
    </xdr:from>
    <xdr:to>
      <xdr:col>6</xdr:col>
      <xdr:colOff>209550</xdr:colOff>
      <xdr:row>74</xdr:row>
      <xdr:rowOff>190500</xdr:rowOff>
    </xdr:to>
    <xdr:cxnSp macro="">
      <xdr:nvCxnSpPr>
        <xdr:cNvPr id="370" name="Прямая со стрелкой 369"/>
        <xdr:cNvCxnSpPr/>
      </xdr:nvCxnSpPr>
      <xdr:spPr>
        <a:xfrm>
          <a:off x="4581525" y="13925550"/>
          <a:ext cx="381000" cy="933450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470647</xdr:colOff>
      <xdr:row>87</xdr:row>
      <xdr:rowOff>16329</xdr:rowOff>
    </xdr:from>
    <xdr:to>
      <xdr:col>8</xdr:col>
      <xdr:colOff>347383</xdr:colOff>
      <xdr:row>94</xdr:row>
      <xdr:rowOff>29936</xdr:rowOff>
    </xdr:to>
    <xdr:sp macro="" textlink="">
      <xdr:nvSpPr>
        <xdr:cNvPr id="373" name="Прямоугольник 372"/>
        <xdr:cNvSpPr/>
      </xdr:nvSpPr>
      <xdr:spPr>
        <a:xfrm>
          <a:off x="3461497" y="28896129"/>
          <a:ext cx="3029511" cy="1413782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352425</xdr:colOff>
      <xdr:row>76</xdr:row>
      <xdr:rowOff>95250</xdr:rowOff>
    </xdr:from>
    <xdr:to>
      <xdr:col>16</xdr:col>
      <xdr:colOff>612323</xdr:colOff>
      <xdr:row>76</xdr:row>
      <xdr:rowOff>108857</xdr:rowOff>
    </xdr:to>
    <xdr:cxnSp macro="">
      <xdr:nvCxnSpPr>
        <xdr:cNvPr id="498" name="Прямая со стрелкой 497"/>
        <xdr:cNvCxnSpPr/>
      </xdr:nvCxnSpPr>
      <xdr:spPr>
        <a:xfrm flipH="1" flipV="1">
          <a:off x="5791200" y="15163800"/>
          <a:ext cx="6784523" cy="13607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63357</xdr:colOff>
      <xdr:row>93</xdr:row>
      <xdr:rowOff>109130</xdr:rowOff>
    </xdr:from>
    <xdr:to>
      <xdr:col>18</xdr:col>
      <xdr:colOff>641408</xdr:colOff>
      <xdr:row>93</xdr:row>
      <xdr:rowOff>112920</xdr:rowOff>
    </xdr:to>
    <xdr:cxnSp macro="">
      <xdr:nvCxnSpPr>
        <xdr:cNvPr id="504" name="Прямая со стрелкой 503"/>
        <xdr:cNvCxnSpPr/>
      </xdr:nvCxnSpPr>
      <xdr:spPr>
        <a:xfrm flipV="1">
          <a:off x="13484082" y="30189080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75643</xdr:colOff>
      <xdr:row>93</xdr:row>
      <xdr:rowOff>122404</xdr:rowOff>
    </xdr:from>
    <xdr:to>
      <xdr:col>19</xdr:col>
      <xdr:colOff>687008</xdr:colOff>
      <xdr:row>93</xdr:row>
      <xdr:rowOff>125850</xdr:rowOff>
    </xdr:to>
    <xdr:cxnSp macro="">
      <xdr:nvCxnSpPr>
        <xdr:cNvPr id="505" name="Прямая со стрелкой 504"/>
        <xdr:cNvCxnSpPr/>
      </xdr:nvCxnSpPr>
      <xdr:spPr>
        <a:xfrm flipH="1" flipV="1">
          <a:off x="14229793" y="30202354"/>
          <a:ext cx="611365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74</xdr:row>
      <xdr:rowOff>28575</xdr:rowOff>
    </xdr:from>
    <xdr:to>
      <xdr:col>18</xdr:col>
      <xdr:colOff>723900</xdr:colOff>
      <xdr:row>75</xdr:row>
      <xdr:rowOff>114300</xdr:rowOff>
    </xdr:to>
    <xdr:cxnSp macro="">
      <xdr:nvCxnSpPr>
        <xdr:cNvPr id="526" name="Прямая со стрелкой 525"/>
        <xdr:cNvCxnSpPr/>
      </xdr:nvCxnSpPr>
      <xdr:spPr>
        <a:xfrm>
          <a:off x="13496925" y="14697075"/>
          <a:ext cx="647700" cy="2857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66</xdr:row>
      <xdr:rowOff>190500</xdr:rowOff>
    </xdr:from>
    <xdr:to>
      <xdr:col>7</xdr:col>
      <xdr:colOff>67235</xdr:colOff>
      <xdr:row>71</xdr:row>
      <xdr:rowOff>190500</xdr:rowOff>
    </xdr:to>
    <xdr:sp macro="" textlink="">
      <xdr:nvSpPr>
        <xdr:cNvPr id="527" name="Пятно 2 526"/>
        <xdr:cNvSpPr/>
      </xdr:nvSpPr>
      <xdr:spPr>
        <a:xfrm>
          <a:off x="3505200" y="13258800"/>
          <a:ext cx="2000810" cy="1000125"/>
        </a:xfrm>
        <a:prstGeom prst="irregularSeal2">
          <a:avLst/>
        </a:prstGeom>
        <a:noFill/>
        <a:ln w="57150"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789215</xdr:colOff>
      <xdr:row>136</xdr:row>
      <xdr:rowOff>81642</xdr:rowOff>
    </xdr:from>
    <xdr:to>
      <xdr:col>31</xdr:col>
      <xdr:colOff>231322</xdr:colOff>
      <xdr:row>140</xdr:row>
      <xdr:rowOff>149678</xdr:rowOff>
    </xdr:to>
    <xdr:sp macro="" textlink="">
      <xdr:nvSpPr>
        <xdr:cNvPr id="567" name="TextBox 566"/>
        <xdr:cNvSpPr txBox="1"/>
      </xdr:nvSpPr>
      <xdr:spPr>
        <a:xfrm>
          <a:off x="21213536" y="34888713"/>
          <a:ext cx="2816679" cy="884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что за источники?! </a:t>
          </a:r>
        </a:p>
        <a:p>
          <a:pPr algn="l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я не помню ((</a:t>
          </a:r>
        </a:p>
        <a:p>
          <a:pPr algn="l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вероятно, доклад Крылова...</a:t>
          </a:r>
        </a:p>
      </xdr:txBody>
    </xdr:sp>
    <xdr:clientData/>
  </xdr:twoCellAnchor>
  <xdr:twoCellAnchor>
    <xdr:from>
      <xdr:col>7</xdr:col>
      <xdr:colOff>520352</xdr:colOff>
      <xdr:row>8</xdr:row>
      <xdr:rowOff>188676</xdr:rowOff>
    </xdr:from>
    <xdr:to>
      <xdr:col>7</xdr:col>
      <xdr:colOff>652238</xdr:colOff>
      <xdr:row>11</xdr:row>
      <xdr:rowOff>186477</xdr:rowOff>
    </xdr:to>
    <xdr:sp macro="" textlink="">
      <xdr:nvSpPr>
        <xdr:cNvPr id="615" name="Правая фигурная скобка 614"/>
        <xdr:cNvSpPr/>
      </xdr:nvSpPr>
      <xdr:spPr>
        <a:xfrm rot="10800000">
          <a:off x="5959127" y="1779351"/>
          <a:ext cx="131886" cy="5883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32</xdr:col>
      <xdr:colOff>13608</xdr:colOff>
      <xdr:row>31</xdr:row>
      <xdr:rowOff>36586</xdr:rowOff>
    </xdr:from>
    <xdr:to>
      <xdr:col>43</xdr:col>
      <xdr:colOff>368921</xdr:colOff>
      <xdr:row>42</xdr:row>
      <xdr:rowOff>2400</xdr:rowOff>
    </xdr:to>
    <xdr:graphicFrame macro="">
      <xdr:nvGraphicFramePr>
        <xdr:cNvPr id="620" name="Диаграмма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511096</xdr:colOff>
      <xdr:row>60</xdr:row>
      <xdr:rowOff>92555</xdr:rowOff>
    </xdr:from>
    <xdr:to>
      <xdr:col>20</xdr:col>
      <xdr:colOff>277933</xdr:colOff>
      <xdr:row>73</xdr:row>
      <xdr:rowOff>126174</xdr:rowOff>
    </xdr:to>
    <xdr:sp macro="" textlink="">
      <xdr:nvSpPr>
        <xdr:cNvPr id="625" name="Дуга 624"/>
        <xdr:cNvSpPr/>
      </xdr:nvSpPr>
      <xdr:spPr>
        <a:xfrm>
          <a:off x="12474496" y="11960705"/>
          <a:ext cx="2681487" cy="2633944"/>
        </a:xfrm>
        <a:prstGeom prst="arc">
          <a:avLst>
            <a:gd name="adj1" fmla="val 16208001"/>
            <a:gd name="adj2" fmla="val 5576029"/>
          </a:avLst>
        </a:prstGeom>
        <a:ln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790575</xdr:colOff>
      <xdr:row>70</xdr:row>
      <xdr:rowOff>57150</xdr:rowOff>
    </xdr:from>
    <xdr:to>
      <xdr:col>6</xdr:col>
      <xdr:colOff>209550</xdr:colOff>
      <xdr:row>74</xdr:row>
      <xdr:rowOff>190500</xdr:rowOff>
    </xdr:to>
    <xdr:cxnSp macro="">
      <xdr:nvCxnSpPr>
        <xdr:cNvPr id="627" name="Прямая со стрелкой 626"/>
        <xdr:cNvCxnSpPr/>
      </xdr:nvCxnSpPr>
      <xdr:spPr>
        <a:xfrm>
          <a:off x="4581525" y="13925550"/>
          <a:ext cx="381000" cy="933450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470647</xdr:colOff>
      <xdr:row>87</xdr:row>
      <xdr:rowOff>16329</xdr:rowOff>
    </xdr:from>
    <xdr:to>
      <xdr:col>8</xdr:col>
      <xdr:colOff>347383</xdr:colOff>
      <xdr:row>94</xdr:row>
      <xdr:rowOff>29936</xdr:rowOff>
    </xdr:to>
    <xdr:sp macro="" textlink="">
      <xdr:nvSpPr>
        <xdr:cNvPr id="630" name="Прямоугольник 629"/>
        <xdr:cNvSpPr/>
      </xdr:nvSpPr>
      <xdr:spPr>
        <a:xfrm>
          <a:off x="3461497" y="28896129"/>
          <a:ext cx="3029511" cy="1413782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21</xdr:col>
      <xdr:colOff>606474</xdr:colOff>
      <xdr:row>144</xdr:row>
      <xdr:rowOff>140039</xdr:rowOff>
    </xdr:from>
    <xdr:to>
      <xdr:col>29</xdr:col>
      <xdr:colOff>719933</xdr:colOff>
      <xdr:row>150</xdr:row>
      <xdr:rowOff>165998</xdr:rowOff>
    </xdr:to>
    <xdr:pic>
      <xdr:nvPicPr>
        <xdr:cNvPr id="751" name="Рисунок 750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6349938" y="36579968"/>
          <a:ext cx="6522423" cy="1250601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76</xdr:row>
      <xdr:rowOff>95250</xdr:rowOff>
    </xdr:from>
    <xdr:to>
      <xdr:col>16</xdr:col>
      <xdr:colOff>612323</xdr:colOff>
      <xdr:row>76</xdr:row>
      <xdr:rowOff>108857</xdr:rowOff>
    </xdr:to>
    <xdr:cxnSp macro="">
      <xdr:nvCxnSpPr>
        <xdr:cNvPr id="755" name="Прямая со стрелкой 754"/>
        <xdr:cNvCxnSpPr/>
      </xdr:nvCxnSpPr>
      <xdr:spPr>
        <a:xfrm flipH="1" flipV="1">
          <a:off x="5791200" y="15163800"/>
          <a:ext cx="6784523" cy="13607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519475</xdr:colOff>
      <xdr:row>95</xdr:row>
      <xdr:rowOff>118381</xdr:rowOff>
    </xdr:from>
    <xdr:to>
      <xdr:col>36</xdr:col>
      <xdr:colOff>95250</xdr:colOff>
      <xdr:row>99</xdr:row>
      <xdr:rowOff>122465</xdr:rowOff>
    </xdr:to>
    <xdr:sp macro="" textlink="">
      <xdr:nvSpPr>
        <xdr:cNvPr id="756" name="Прямоугольник 755"/>
        <xdr:cNvSpPr/>
      </xdr:nvSpPr>
      <xdr:spPr>
        <a:xfrm>
          <a:off x="23501939" y="26557060"/>
          <a:ext cx="3780382" cy="82051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63357</xdr:colOff>
      <xdr:row>93</xdr:row>
      <xdr:rowOff>109130</xdr:rowOff>
    </xdr:from>
    <xdr:to>
      <xdr:col>18</xdr:col>
      <xdr:colOff>641408</xdr:colOff>
      <xdr:row>93</xdr:row>
      <xdr:rowOff>112920</xdr:rowOff>
    </xdr:to>
    <xdr:cxnSp macro="">
      <xdr:nvCxnSpPr>
        <xdr:cNvPr id="761" name="Прямая со стрелкой 760"/>
        <xdr:cNvCxnSpPr/>
      </xdr:nvCxnSpPr>
      <xdr:spPr>
        <a:xfrm flipV="1">
          <a:off x="13484082" y="30189080"/>
          <a:ext cx="578051" cy="379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75643</xdr:colOff>
      <xdr:row>93</xdr:row>
      <xdr:rowOff>122404</xdr:rowOff>
    </xdr:from>
    <xdr:to>
      <xdr:col>19</xdr:col>
      <xdr:colOff>687008</xdr:colOff>
      <xdr:row>93</xdr:row>
      <xdr:rowOff>125850</xdr:rowOff>
    </xdr:to>
    <xdr:cxnSp macro="">
      <xdr:nvCxnSpPr>
        <xdr:cNvPr id="762" name="Прямая со стрелкой 761"/>
        <xdr:cNvCxnSpPr/>
      </xdr:nvCxnSpPr>
      <xdr:spPr>
        <a:xfrm flipH="1" flipV="1">
          <a:off x="14229793" y="30202354"/>
          <a:ext cx="611365" cy="344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598716</xdr:colOff>
      <xdr:row>48</xdr:row>
      <xdr:rowOff>0</xdr:rowOff>
    </xdr:from>
    <xdr:to>
      <xdr:col>15</xdr:col>
      <xdr:colOff>607899</xdr:colOff>
      <xdr:row>55</xdr:row>
      <xdr:rowOff>75004</xdr:rowOff>
    </xdr:to>
    <xdr:cxnSp macro="">
      <xdr:nvCxnSpPr>
        <xdr:cNvPr id="781" name="Прямая со стрелкой 780"/>
        <xdr:cNvCxnSpPr/>
      </xdr:nvCxnSpPr>
      <xdr:spPr>
        <a:xfrm flipH="1" flipV="1">
          <a:off x="11756573" y="9715500"/>
          <a:ext cx="9183" cy="149014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918883</xdr:colOff>
      <xdr:row>23</xdr:row>
      <xdr:rowOff>38100</xdr:rowOff>
    </xdr:from>
    <xdr:to>
      <xdr:col>8</xdr:col>
      <xdr:colOff>0</xdr:colOff>
      <xdr:row>27</xdr:row>
      <xdr:rowOff>22412</xdr:rowOff>
    </xdr:to>
    <xdr:cxnSp macro="">
      <xdr:nvCxnSpPr>
        <xdr:cNvPr id="782" name="Прямая со стрелкой 781"/>
        <xdr:cNvCxnSpPr/>
      </xdr:nvCxnSpPr>
      <xdr:spPr>
        <a:xfrm flipH="1">
          <a:off x="4695265" y="4677335"/>
          <a:ext cx="1434353" cy="791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74</xdr:row>
      <xdr:rowOff>28575</xdr:rowOff>
    </xdr:from>
    <xdr:to>
      <xdr:col>18</xdr:col>
      <xdr:colOff>723900</xdr:colOff>
      <xdr:row>75</xdr:row>
      <xdr:rowOff>114300</xdr:rowOff>
    </xdr:to>
    <xdr:cxnSp macro="">
      <xdr:nvCxnSpPr>
        <xdr:cNvPr id="783" name="Прямая со стрелкой 782"/>
        <xdr:cNvCxnSpPr/>
      </xdr:nvCxnSpPr>
      <xdr:spPr>
        <a:xfrm>
          <a:off x="13496925" y="14697075"/>
          <a:ext cx="647700" cy="2857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66</xdr:row>
      <xdr:rowOff>190500</xdr:rowOff>
    </xdr:from>
    <xdr:to>
      <xdr:col>7</xdr:col>
      <xdr:colOff>67235</xdr:colOff>
      <xdr:row>71</xdr:row>
      <xdr:rowOff>190500</xdr:rowOff>
    </xdr:to>
    <xdr:sp macro="" textlink="">
      <xdr:nvSpPr>
        <xdr:cNvPr id="784" name="Пятно 2 783"/>
        <xdr:cNvSpPr/>
      </xdr:nvSpPr>
      <xdr:spPr>
        <a:xfrm>
          <a:off x="3505200" y="13258800"/>
          <a:ext cx="2000810" cy="1000125"/>
        </a:xfrm>
        <a:prstGeom prst="irregularSeal2">
          <a:avLst/>
        </a:prstGeom>
        <a:noFill/>
        <a:ln w="57150"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489857</xdr:colOff>
      <xdr:row>138</xdr:row>
      <xdr:rowOff>122464</xdr:rowOff>
    </xdr:from>
    <xdr:to>
      <xdr:col>27</xdr:col>
      <xdr:colOff>693965</xdr:colOff>
      <xdr:row>147</xdr:row>
      <xdr:rowOff>176893</xdr:rowOff>
    </xdr:to>
    <xdr:cxnSp macro="">
      <xdr:nvCxnSpPr>
        <xdr:cNvPr id="825" name="Прямая со стрелкой 824"/>
        <xdr:cNvCxnSpPr/>
      </xdr:nvCxnSpPr>
      <xdr:spPr>
        <a:xfrm flipH="1">
          <a:off x="20043321" y="35337750"/>
          <a:ext cx="1074965" cy="189139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176893</xdr:colOff>
      <xdr:row>138</xdr:row>
      <xdr:rowOff>40821</xdr:rowOff>
    </xdr:from>
    <xdr:to>
      <xdr:col>27</xdr:col>
      <xdr:colOff>666751</xdr:colOff>
      <xdr:row>138</xdr:row>
      <xdr:rowOff>81643</xdr:rowOff>
    </xdr:to>
    <xdr:cxnSp macro="">
      <xdr:nvCxnSpPr>
        <xdr:cNvPr id="826" name="Прямая со стрелкой 825"/>
        <xdr:cNvCxnSpPr/>
      </xdr:nvCxnSpPr>
      <xdr:spPr>
        <a:xfrm flipH="1" flipV="1">
          <a:off x="19730357" y="35256107"/>
          <a:ext cx="1360715" cy="4082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560293</xdr:colOff>
      <xdr:row>19</xdr:row>
      <xdr:rowOff>33618</xdr:rowOff>
    </xdr:from>
    <xdr:to>
      <xdr:col>19</xdr:col>
      <xdr:colOff>627528</xdr:colOff>
      <xdr:row>21</xdr:row>
      <xdr:rowOff>156882</xdr:rowOff>
    </xdr:to>
    <xdr:sp macro="" textlink="">
      <xdr:nvSpPr>
        <xdr:cNvPr id="382" name="TextBox 381"/>
        <xdr:cNvSpPr txBox="1"/>
      </xdr:nvSpPr>
      <xdr:spPr>
        <a:xfrm>
          <a:off x="9569822" y="3866030"/>
          <a:ext cx="5255559" cy="526676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>
              <a:latin typeface="Times New Roman" pitchFamily="18" charset="0"/>
              <a:cs typeface="Times New Roman" pitchFamily="18" charset="0"/>
            </a:rPr>
            <a:t>ЗНАК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"+" ОЗНАЧАЕТ НАПРАВЛЕНИЕ ПОТОКА </a:t>
          </a:r>
          <a:r>
            <a:rPr lang="ru-RU" sz="1400" b="1" baseline="0">
              <a:latin typeface="Times New Roman" pitchFamily="18" charset="0"/>
              <a:cs typeface="Times New Roman" pitchFamily="18" charset="0"/>
            </a:rPr>
            <a:t>ВНУТРЬ</a:t>
          </a:r>
        </a:p>
        <a:p>
          <a:r>
            <a:rPr lang="ru-RU" sz="1400" baseline="0">
              <a:latin typeface="Times New Roman" pitchFamily="18" charset="0"/>
              <a:cs typeface="Times New Roman" pitchFamily="18" charset="0"/>
            </a:rPr>
            <a:t>ЗНАК "-" ОЗНАЧАЕТ НАПРАВЛЕНИЕ ПОТОКА </a:t>
          </a:r>
          <a:r>
            <a:rPr lang="ru-RU" sz="1400" b="1" baseline="0">
              <a:latin typeface="Times New Roman" pitchFamily="18" charset="0"/>
              <a:cs typeface="Times New Roman" pitchFamily="18" charset="0"/>
            </a:rPr>
            <a:t>НАРУЖУ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!</a:t>
          </a:r>
          <a:endParaRPr lang="ru-RU" sz="14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180095</xdr:colOff>
      <xdr:row>9</xdr:row>
      <xdr:rowOff>196903</xdr:rowOff>
    </xdr:from>
    <xdr:to>
      <xdr:col>12</xdr:col>
      <xdr:colOff>471448</xdr:colOff>
      <xdr:row>20</xdr:row>
      <xdr:rowOff>60032</xdr:rowOff>
    </xdr:to>
    <xdr:cxnSp macro="">
      <xdr:nvCxnSpPr>
        <xdr:cNvPr id="384" name="Прямая со стрелкой 383"/>
        <xdr:cNvCxnSpPr/>
      </xdr:nvCxnSpPr>
      <xdr:spPr>
        <a:xfrm flipH="1" flipV="1">
          <a:off x="5622952" y="2033867"/>
          <a:ext cx="3883639" cy="2108308"/>
        </a:xfrm>
        <a:prstGeom prst="straightConnector1">
          <a:avLst/>
        </a:prstGeom>
        <a:ln w="38100">
          <a:solidFill>
            <a:srgbClr val="00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618579</xdr:colOff>
      <xdr:row>4</xdr:row>
      <xdr:rowOff>20729</xdr:rowOff>
    </xdr:from>
    <xdr:to>
      <xdr:col>7</xdr:col>
      <xdr:colOff>123265</xdr:colOff>
      <xdr:row>16</xdr:row>
      <xdr:rowOff>0</xdr:rowOff>
    </xdr:to>
    <xdr:sp macro="" textlink="">
      <xdr:nvSpPr>
        <xdr:cNvPr id="385" name="Правая фигурная скобка 384"/>
        <xdr:cNvSpPr/>
      </xdr:nvSpPr>
      <xdr:spPr>
        <a:xfrm>
          <a:off x="5358667" y="827553"/>
          <a:ext cx="188245" cy="2399741"/>
        </a:xfrm>
        <a:prstGeom prst="rightBrace">
          <a:avLst/>
        </a:prstGeom>
        <a:ln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18</xdr:col>
      <xdr:colOff>466164</xdr:colOff>
      <xdr:row>3</xdr:row>
      <xdr:rowOff>197223</xdr:rowOff>
    </xdr:from>
    <xdr:to>
      <xdr:col>21</xdr:col>
      <xdr:colOff>78442</xdr:colOff>
      <xdr:row>5</xdr:row>
      <xdr:rowOff>78441</xdr:rowOff>
    </xdr:to>
    <xdr:sp macro="" textlink="">
      <xdr:nvSpPr>
        <xdr:cNvPr id="386" name="TextBox 385"/>
        <xdr:cNvSpPr txBox="1"/>
      </xdr:nvSpPr>
      <xdr:spPr>
        <a:xfrm>
          <a:off x="13935635" y="802341"/>
          <a:ext cx="1864660" cy="28462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>
              <a:latin typeface="Times New Roman" pitchFamily="18" charset="0"/>
              <a:cs typeface="Times New Roman" pitchFamily="18" charset="0"/>
            </a:rPr>
            <a:t>РЕЖИМ </a:t>
          </a:r>
          <a:r>
            <a:rPr lang="en-US" sz="1400" b="1">
              <a:latin typeface="Times New Roman" pitchFamily="18" charset="0"/>
              <a:cs typeface="Times New Roman" pitchFamily="18" charset="0"/>
            </a:rPr>
            <a:t>D:T=1:0,05</a:t>
          </a:r>
          <a:endParaRPr lang="ru-RU" sz="14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691259</xdr:colOff>
      <xdr:row>4</xdr:row>
      <xdr:rowOff>152223</xdr:rowOff>
    </xdr:from>
    <xdr:to>
      <xdr:col>6</xdr:col>
      <xdr:colOff>67236</xdr:colOff>
      <xdr:row>6</xdr:row>
      <xdr:rowOff>44824</xdr:rowOff>
    </xdr:to>
    <xdr:sp macro="" textlink="">
      <xdr:nvSpPr>
        <xdr:cNvPr id="388" name="Овал 387"/>
        <xdr:cNvSpPr/>
      </xdr:nvSpPr>
      <xdr:spPr>
        <a:xfrm rot="16200000" flipV="1">
          <a:off x="4091668" y="539403"/>
          <a:ext cx="296012" cy="1135300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296956</xdr:colOff>
      <xdr:row>148</xdr:row>
      <xdr:rowOff>5605</xdr:rowOff>
    </xdr:from>
    <xdr:to>
      <xdr:col>6</xdr:col>
      <xdr:colOff>13607</xdr:colOff>
      <xdr:row>158</xdr:row>
      <xdr:rowOff>190501</xdr:rowOff>
    </xdr:to>
    <xdr:sp macro="" textlink="">
      <xdr:nvSpPr>
        <xdr:cNvPr id="392" name="Прямоугольник 391"/>
        <xdr:cNvSpPr/>
      </xdr:nvSpPr>
      <xdr:spPr>
        <a:xfrm>
          <a:off x="296956" y="37261962"/>
          <a:ext cx="4479151" cy="222596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669472</xdr:colOff>
      <xdr:row>148</xdr:row>
      <xdr:rowOff>43543</xdr:rowOff>
    </xdr:from>
    <xdr:to>
      <xdr:col>12</xdr:col>
      <xdr:colOff>400191</xdr:colOff>
      <xdr:row>158</xdr:row>
      <xdr:rowOff>130773</xdr:rowOff>
    </xdr:to>
    <xdr:grpSp>
      <xdr:nvGrpSpPr>
        <xdr:cNvPr id="393" name="Группа 392"/>
        <xdr:cNvGrpSpPr/>
      </xdr:nvGrpSpPr>
      <xdr:grpSpPr>
        <a:xfrm>
          <a:off x="5644884" y="28805308"/>
          <a:ext cx="4250425" cy="2029583"/>
          <a:chOff x="236187" y="465333"/>
          <a:chExt cx="3948933" cy="2128302"/>
        </a:xfrm>
      </xdr:grpSpPr>
      <xdr:sp macro="" textlink="">
        <xdr:nvSpPr>
          <xdr:cNvPr id="394" name="Скругленный прямоугольник 393"/>
          <xdr:cNvSpPr/>
        </xdr:nvSpPr>
        <xdr:spPr>
          <a:xfrm>
            <a:off x="236187" y="1002760"/>
            <a:ext cx="2928809" cy="1076329"/>
          </a:xfrm>
          <a:prstGeom prst="round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396" name="Группа 65"/>
          <xdr:cNvGrpSpPr/>
        </xdr:nvGrpSpPr>
        <xdr:grpSpPr>
          <a:xfrm>
            <a:off x="689146" y="1242844"/>
            <a:ext cx="2281208" cy="673988"/>
            <a:chOff x="689146" y="2714549"/>
            <a:chExt cx="2281208" cy="673988"/>
          </a:xfrm>
        </xdr:grpSpPr>
        <xdr:pic>
          <xdr:nvPicPr>
            <xdr:cNvPr id="426" name="Picture 37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sharpenSoften amount="65000"/>
                      </a14:imgEffect>
                      <a14:imgEffect>
                        <a14:saturation sat="70000"/>
                      </a14:imgEffect>
                      <a14:imgEffect>
                        <a14:brightnessContrast bright="5000" contrast="4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707" t="19243" b="20937"/>
            <a:stretch/>
          </xdr:blipFill>
          <xdr:spPr bwMode="auto">
            <a:xfrm rot="10800000">
              <a:off x="689146" y="2714549"/>
              <a:ext cx="2281208" cy="673988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</xdr:pic>
        <xdr:sp macro="" textlink="">
          <xdr:nvSpPr>
            <xdr:cNvPr id="427" name="Прямоугольник 426"/>
            <xdr:cNvSpPr/>
          </xdr:nvSpPr>
          <xdr:spPr>
            <a:xfrm>
              <a:off x="734470" y="2884938"/>
              <a:ext cx="791945" cy="300150"/>
            </a:xfrm>
            <a:prstGeom prst="rect">
              <a:avLst/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28" name="Прямоугольник 427"/>
            <xdr:cNvSpPr/>
          </xdr:nvSpPr>
          <xdr:spPr>
            <a:xfrm>
              <a:off x="1621436" y="2883300"/>
              <a:ext cx="438091" cy="285461"/>
            </a:xfrm>
            <a:prstGeom prst="rect">
              <a:avLst/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  <xdr:sp macro="" textlink="">
          <xdr:nvSpPr>
            <xdr:cNvPr id="429" name="Трапеция 428"/>
            <xdr:cNvSpPr/>
          </xdr:nvSpPr>
          <xdr:spPr>
            <a:xfrm rot="16200000">
              <a:off x="2397112" y="2629241"/>
              <a:ext cx="224655" cy="798554"/>
            </a:xfrm>
            <a:prstGeom prst="trapezoid">
              <a:avLst>
                <a:gd name="adj" fmla="val 0"/>
              </a:avLst>
            </a:prstGeom>
            <a:solidFill>
              <a:schemeClr val="accent1">
                <a:alpha val="3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97" name="Прямоугольник 396"/>
          <xdr:cNvSpPr/>
        </xdr:nvSpPr>
        <xdr:spPr>
          <a:xfrm>
            <a:off x="347625" y="1295759"/>
            <a:ext cx="237112" cy="51983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98" name="Прямоугольник 397"/>
          <xdr:cNvSpPr/>
        </xdr:nvSpPr>
        <xdr:spPr>
          <a:xfrm>
            <a:off x="680781" y="1929500"/>
            <a:ext cx="2226171" cy="996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399" name="Прямоугольник 398"/>
          <xdr:cNvSpPr/>
        </xdr:nvSpPr>
        <xdr:spPr>
          <a:xfrm>
            <a:off x="680782" y="1052325"/>
            <a:ext cx="2226169" cy="901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400" name="Прямоугольник 399"/>
          <xdr:cNvSpPr/>
        </xdr:nvSpPr>
        <xdr:spPr>
          <a:xfrm>
            <a:off x="3164997" y="1390938"/>
            <a:ext cx="573699" cy="285461"/>
          </a:xfrm>
          <a:prstGeom prst="rect">
            <a:avLst/>
          </a:prstGeom>
          <a:solidFill>
            <a:schemeClr val="accent1">
              <a:lumMod val="20000"/>
              <a:lumOff val="80000"/>
              <a:alpha val="1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ru-RU"/>
          </a:p>
        </xdr:txBody>
      </xdr:sp>
      <xdr:cxnSp macro="">
        <xdr:nvCxnSpPr>
          <xdr:cNvPr id="401" name="Прямая со стрелкой 400"/>
          <xdr:cNvCxnSpPr/>
        </xdr:nvCxnSpPr>
        <xdr:spPr>
          <a:xfrm>
            <a:off x="429504" y="848744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" name="Прямая со стрелкой 401"/>
          <xdr:cNvCxnSpPr/>
        </xdr:nvCxnSpPr>
        <xdr:spPr>
          <a:xfrm>
            <a:off x="429504" y="1865055"/>
            <a:ext cx="0" cy="423863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" name="Прямая со стрелкой 402"/>
          <xdr:cNvCxnSpPr/>
        </xdr:nvCxnSpPr>
        <xdr:spPr>
          <a:xfrm>
            <a:off x="1057368" y="848744"/>
            <a:ext cx="0" cy="53328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" name="Прямая со стрелкой 403"/>
          <xdr:cNvCxnSpPr/>
        </xdr:nvCxnSpPr>
        <xdr:spPr>
          <a:xfrm flipV="1">
            <a:off x="1057368" y="1722217"/>
            <a:ext cx="0" cy="581990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" name="Прямая со стрелкой 404"/>
          <xdr:cNvCxnSpPr/>
        </xdr:nvCxnSpPr>
        <xdr:spPr>
          <a:xfrm>
            <a:off x="899840" y="1730464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" name="Прямая со стрелкой 405"/>
          <xdr:cNvCxnSpPr/>
        </xdr:nvCxnSpPr>
        <xdr:spPr>
          <a:xfrm>
            <a:off x="1189853" y="1730464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" name="Прямая со стрелкой 406"/>
          <xdr:cNvCxnSpPr/>
        </xdr:nvCxnSpPr>
        <xdr:spPr>
          <a:xfrm flipH="1" flipV="1">
            <a:off x="1187105" y="1183507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Прямая со стрелкой 407"/>
          <xdr:cNvCxnSpPr/>
        </xdr:nvCxnSpPr>
        <xdr:spPr>
          <a:xfrm flipH="1" flipV="1">
            <a:off x="893765" y="1190532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" name="Прямая со стрелкой 408"/>
          <xdr:cNvCxnSpPr/>
        </xdr:nvCxnSpPr>
        <xdr:spPr>
          <a:xfrm>
            <a:off x="1264842" y="1457774"/>
            <a:ext cx="543744" cy="3176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" name="Прямая со стрелкой 409"/>
          <xdr:cNvCxnSpPr/>
        </xdr:nvCxnSpPr>
        <xdr:spPr>
          <a:xfrm flipV="1">
            <a:off x="1252684" y="1639561"/>
            <a:ext cx="559542" cy="354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" name="Прямая со стрелкой 410"/>
          <xdr:cNvCxnSpPr/>
        </xdr:nvCxnSpPr>
        <xdr:spPr>
          <a:xfrm>
            <a:off x="1666856" y="1726915"/>
            <a:ext cx="0" cy="17851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" name="Прямая со стрелкой 411"/>
          <xdr:cNvCxnSpPr/>
        </xdr:nvCxnSpPr>
        <xdr:spPr>
          <a:xfrm>
            <a:off x="1956869" y="1726915"/>
            <a:ext cx="0" cy="178515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" name="Прямая со стрелкой 412"/>
          <xdr:cNvCxnSpPr/>
        </xdr:nvCxnSpPr>
        <xdr:spPr>
          <a:xfrm flipH="1" flipV="1">
            <a:off x="1954121" y="1179958"/>
            <a:ext cx="2748" cy="18278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" name="Прямая со стрелкой 413"/>
          <xdr:cNvCxnSpPr/>
        </xdr:nvCxnSpPr>
        <xdr:spPr>
          <a:xfrm flipH="1" flipV="1">
            <a:off x="1660781" y="1186983"/>
            <a:ext cx="2748" cy="182789"/>
          </a:xfrm>
          <a:prstGeom prst="straightConnector1">
            <a:avLst/>
          </a:prstGeom>
          <a:ln w="19050">
            <a:solidFill>
              <a:srgbClr val="00B0F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Прямая со стрелкой 414"/>
          <xdr:cNvCxnSpPr/>
        </xdr:nvCxnSpPr>
        <xdr:spPr>
          <a:xfrm flipH="1">
            <a:off x="2989650" y="1457774"/>
            <a:ext cx="869568" cy="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" name="Прямая со стрелкой 415"/>
          <xdr:cNvCxnSpPr>
            <a:stCxn id="397" idx="3"/>
          </xdr:cNvCxnSpPr>
        </xdr:nvCxnSpPr>
        <xdr:spPr>
          <a:xfrm flipV="1">
            <a:off x="584737" y="1549692"/>
            <a:ext cx="3406439" cy="598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" name="Прямая со стрелкой 416"/>
          <xdr:cNvCxnSpPr/>
        </xdr:nvCxnSpPr>
        <xdr:spPr>
          <a:xfrm flipH="1" flipV="1">
            <a:off x="2572952" y="1213897"/>
            <a:ext cx="232522" cy="21861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" name="Прямая со стрелкой 417"/>
          <xdr:cNvCxnSpPr/>
        </xdr:nvCxnSpPr>
        <xdr:spPr>
          <a:xfrm flipH="1">
            <a:off x="2626115" y="1643109"/>
            <a:ext cx="169370" cy="24977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" name="Прямая со стрелкой 418"/>
          <xdr:cNvCxnSpPr/>
        </xdr:nvCxnSpPr>
        <xdr:spPr>
          <a:xfrm>
            <a:off x="550765" y="843211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Прямая со стрелкой 419"/>
          <xdr:cNvCxnSpPr/>
        </xdr:nvCxnSpPr>
        <xdr:spPr>
          <a:xfrm>
            <a:off x="550765" y="1859522"/>
            <a:ext cx="0" cy="42386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Прямая со стрелкой 420"/>
          <xdr:cNvCxnSpPr>
            <a:stCxn id="397" idx="3"/>
          </xdr:cNvCxnSpPr>
        </xdr:nvCxnSpPr>
        <xdr:spPr>
          <a:xfrm flipV="1">
            <a:off x="584737" y="1552684"/>
            <a:ext cx="3413660" cy="2994"/>
          </a:xfrm>
          <a:prstGeom prst="straightConnector1">
            <a:avLst/>
          </a:prstGeom>
          <a:ln w="19050">
            <a:solidFill>
              <a:srgbClr val="00B0F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2" name="TextBox 134"/>
          <xdr:cNvSpPr txBox="1">
            <a:spLocks noChangeArrowheads="1"/>
          </xdr:cNvSpPr>
        </xdr:nvSpPr>
        <xdr:spPr bwMode="auto">
          <a:xfrm>
            <a:off x="429109" y="465333"/>
            <a:ext cx="75733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23" name="TextBox 134"/>
          <xdr:cNvSpPr txBox="1">
            <a:spLocks noChangeArrowheads="1"/>
          </xdr:cNvSpPr>
        </xdr:nvSpPr>
        <xdr:spPr bwMode="auto">
          <a:xfrm>
            <a:off x="466361" y="2193525"/>
            <a:ext cx="841089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 </a:t>
            </a:r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24" name="TextBox 134"/>
          <xdr:cNvSpPr txBox="1">
            <a:spLocks noChangeArrowheads="1"/>
          </xdr:cNvSpPr>
        </xdr:nvSpPr>
        <xdr:spPr bwMode="auto">
          <a:xfrm>
            <a:off x="3683714" y="1064431"/>
            <a:ext cx="501406" cy="9130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lang="en-US" sz="2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D</a:t>
            </a:r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0</a:t>
            </a:r>
          </a:p>
          <a:p>
            <a:pPr eaLnBrk="1" hangingPunct="1"/>
            <a:r>
              <a:rPr lang="en-US" sz="2000" baseline="-25000">
                <a:solidFill>
                  <a:srgbClr val="00B0F0"/>
                </a:solidFill>
                <a:latin typeface="Times New Roman" pitchFamily="18" charset="0"/>
                <a:cs typeface="Times New Roman" pitchFamily="18" charset="0"/>
                <a:sym typeface="Symbol" pitchFamily="18" charset="2"/>
              </a:rPr>
              <a:t> </a:t>
            </a:r>
          </a:p>
          <a:p>
            <a:pPr eaLnBrk="1" hangingPunct="1"/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0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25" name="TextBox 134"/>
          <xdr:cNvSpPr txBox="1">
            <a:spLocks noChangeArrowheads="1"/>
          </xdr:cNvSpPr>
        </xdr:nvSpPr>
        <xdr:spPr bwMode="auto">
          <a:xfrm>
            <a:off x="3180534" y="999506"/>
            <a:ext cx="431172" cy="4001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ru-RU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hangingPunct="1"/>
            <a:r>
              <a:rPr kumimoji="0" lang="en-US" sz="2000" b="0" i="0" u="none" strike="noStrike" kern="0" cap="none" spc="0" normalizeH="0" baseline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T</a:t>
            </a:r>
            <a:r>
              <a:rPr kumimoji="0" lang="en-US" sz="2000" b="0" i="0" u="none" strike="noStrike" kern="0" cap="none" spc="0" normalizeH="0" baseline="-2500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imes New Roman" pitchFamily="18" charset="0"/>
                <a:cs typeface="Times New Roman" pitchFamily="18" charset="0"/>
                <a:sym typeface="Symbol" pitchFamily="18" charset="2"/>
              </a:rPr>
              <a:t>2</a:t>
            </a:r>
            <a:endParaRPr lang="ru-RU" sz="2000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4</xdr:col>
      <xdr:colOff>719274</xdr:colOff>
      <xdr:row>8</xdr:row>
      <xdr:rowOff>169833</xdr:rowOff>
    </xdr:from>
    <xdr:to>
      <xdr:col>6</xdr:col>
      <xdr:colOff>95251</xdr:colOff>
      <xdr:row>10</xdr:row>
      <xdr:rowOff>62434</xdr:rowOff>
    </xdr:to>
    <xdr:sp macro="" textlink="">
      <xdr:nvSpPr>
        <xdr:cNvPr id="431" name="Овал 430"/>
        <xdr:cNvSpPr/>
      </xdr:nvSpPr>
      <xdr:spPr>
        <a:xfrm rot="16200000" flipV="1">
          <a:off x="4134890" y="1380645"/>
          <a:ext cx="300815" cy="1144906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089;&#1093;&#1086;&#1076;&#1085;&#1099;&#1077;%20&#1076;&#1072;&#1085;&#1085;&#1099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72;&#1083;&#1072;&#1085;&#1089;%20&#1095;&#1072;&#1089;&#1090;&#1080;&#1094;%20(&#1053;,%20D,%20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101;&#1083;&#1077;&#1084;&#1077;&#1085;&#1090;&#1099;&#1081;%20&#1088;&#1072;&#1089;&#1095;&#1077;&#1090;%20&#1089;&#1080;&#1089;&#1090;&#1077;&#10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0;&#1085;&#1072;&#1084;&#1080;&#1082;&#1072;%20&#1087;&#1088;&#1086;&#1090;&#1080;&#1103;%20&#1074;%20&#1058;&#106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скан параметров"/>
      <sheetName val="ASTRA"/>
      <sheetName val="параметры установок"/>
      <sheetName val="выдача"/>
      <sheetName val="Лист2"/>
    </sheetNames>
    <sheetDataSet>
      <sheetData sheetId="0">
        <row r="1">
          <cell r="C1" t="str">
            <v>ДЕМО-ТИН</v>
          </cell>
        </row>
        <row r="3">
          <cell r="C3">
            <v>270</v>
          </cell>
          <cell r="K3">
            <v>0.91</v>
          </cell>
          <cell r="AM3">
            <v>8.9207785912464583</v>
          </cell>
        </row>
        <row r="4">
          <cell r="C4">
            <v>286</v>
          </cell>
          <cell r="AM4">
            <v>9.3413552842018586</v>
          </cell>
        </row>
        <row r="5">
          <cell r="C5">
            <v>133</v>
          </cell>
        </row>
        <row r="6">
          <cell r="C6">
            <v>180</v>
          </cell>
          <cell r="AM6">
            <v>8.920778591246453</v>
          </cell>
        </row>
        <row r="7">
          <cell r="C7">
            <v>17.27875959474386</v>
          </cell>
          <cell r="AM7">
            <v>8.500201898291051</v>
          </cell>
        </row>
        <row r="8">
          <cell r="C8">
            <v>2</v>
          </cell>
        </row>
        <row r="11">
          <cell r="C11">
            <v>8E+19</v>
          </cell>
        </row>
        <row r="12">
          <cell r="C12">
            <v>2.4607574272048387</v>
          </cell>
          <cell r="K12">
            <v>4.5967806300646621E+19</v>
          </cell>
        </row>
        <row r="13">
          <cell r="C13">
            <v>6.4716265525384389E+19</v>
          </cell>
        </row>
        <row r="14">
          <cell r="C14">
            <v>1.1784920981299063E+19</v>
          </cell>
        </row>
        <row r="16">
          <cell r="C16">
            <v>33.165596022411073</v>
          </cell>
          <cell r="K16">
            <v>2.8985507246376809E+20</v>
          </cell>
        </row>
        <row r="17">
          <cell r="C17">
            <v>36.385680359718272</v>
          </cell>
        </row>
        <row r="18">
          <cell r="C18">
            <v>788.12959684333293</v>
          </cell>
        </row>
        <row r="21">
          <cell r="C21">
            <v>50</v>
          </cell>
        </row>
        <row r="22">
          <cell r="C22">
            <v>50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2.5090617407398321</v>
          </cell>
          <cell r="K25">
            <v>1.6523943906809267E+22</v>
          </cell>
        </row>
        <row r="27">
          <cell r="C27">
            <v>1.2</v>
          </cell>
        </row>
        <row r="28">
          <cell r="C28">
            <v>20</v>
          </cell>
          <cell r="K28">
            <v>1.1111111111111111E+21</v>
          </cell>
          <cell r="M28">
            <v>2E+20</v>
          </cell>
        </row>
        <row r="30">
          <cell r="C30">
            <v>6</v>
          </cell>
        </row>
        <row r="31">
          <cell r="C31">
            <v>6</v>
          </cell>
          <cell r="F31">
            <v>4</v>
          </cell>
        </row>
        <row r="32">
          <cell r="C32">
            <v>30</v>
          </cell>
        </row>
        <row r="33">
          <cell r="C33">
            <v>500</v>
          </cell>
        </row>
        <row r="34">
          <cell r="C34">
            <v>10</v>
          </cell>
        </row>
        <row r="35">
          <cell r="C35">
            <v>0.8</v>
          </cell>
        </row>
        <row r="36">
          <cell r="C36">
            <v>0.4</v>
          </cell>
        </row>
        <row r="37">
          <cell r="C37">
            <v>4.5</v>
          </cell>
        </row>
        <row r="38">
          <cell r="C38">
            <v>19.5</v>
          </cell>
        </row>
        <row r="39">
          <cell r="C39">
            <v>0.6</v>
          </cell>
        </row>
        <row r="40">
          <cell r="C40">
            <v>0.8</v>
          </cell>
        </row>
        <row r="41">
          <cell r="C41">
            <v>20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8.8986461395615759</v>
          </cell>
        </row>
        <row r="48">
          <cell r="C48">
            <v>8.8986461395615706</v>
          </cell>
        </row>
        <row r="51">
          <cell r="C51">
            <v>2.8446965475698067</v>
          </cell>
        </row>
        <row r="52">
          <cell r="C52">
            <v>2.8329414690653585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1.3657989661467536</v>
          </cell>
        </row>
        <row r="59">
          <cell r="C59">
            <v>1.3657989661467536</v>
          </cell>
        </row>
        <row r="61">
          <cell r="C61">
            <v>100</v>
          </cell>
        </row>
        <row r="62">
          <cell r="C62">
            <v>8.5999999999999993E-2</v>
          </cell>
        </row>
        <row r="63">
          <cell r="C63">
            <v>0.16200000000000001</v>
          </cell>
        </row>
        <row r="64">
          <cell r="C64">
            <v>0.24</v>
          </cell>
        </row>
        <row r="66">
          <cell r="C66">
            <v>90</v>
          </cell>
        </row>
        <row r="67">
          <cell r="C67">
            <v>90</v>
          </cell>
        </row>
        <row r="68">
          <cell r="C68">
            <v>50</v>
          </cell>
        </row>
        <row r="70">
          <cell r="C70">
            <v>100</v>
          </cell>
        </row>
        <row r="71">
          <cell r="C71">
            <v>20</v>
          </cell>
        </row>
        <row r="72">
          <cell r="C72">
            <v>2</v>
          </cell>
        </row>
        <row r="74">
          <cell r="C74">
            <v>1</v>
          </cell>
        </row>
        <row r="75">
          <cell r="C75">
            <v>8</v>
          </cell>
        </row>
        <row r="76">
          <cell r="C76">
            <v>8</v>
          </cell>
        </row>
        <row r="78">
          <cell r="C78">
            <v>0.01</v>
          </cell>
        </row>
        <row r="79">
          <cell r="C79">
            <v>1.8480000000000001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баланс тритий"/>
      <sheetName val="баланс дейтерий"/>
      <sheetName val="баланс протий"/>
      <sheetName val="результаты"/>
    </sheetNames>
    <sheetDataSet>
      <sheetData sheetId="0"/>
      <sheetData sheetId="1">
        <row r="4">
          <cell r="B4">
            <v>3.9163048082686361E+21</v>
          </cell>
        </row>
        <row r="36">
          <cell r="B36">
            <v>2.0833333333333334E+20</v>
          </cell>
        </row>
        <row r="37">
          <cell r="B37">
            <v>2.0833333333333334E+20</v>
          </cell>
        </row>
        <row r="38">
          <cell r="B38">
            <v>0</v>
          </cell>
        </row>
        <row r="58">
          <cell r="B58">
            <v>3.5555555555555561E+19</v>
          </cell>
        </row>
        <row r="63">
          <cell r="B63">
            <v>3.5555555555555561E+19</v>
          </cell>
        </row>
      </sheetData>
      <sheetData sheetId="2">
        <row r="4">
          <cell r="B4">
            <v>3.9163048082686361E+21</v>
          </cell>
        </row>
        <row r="36">
          <cell r="B36">
            <v>2.0833333333333334E+20</v>
          </cell>
        </row>
        <row r="37">
          <cell r="B37">
            <v>2.0833333333333334E+20</v>
          </cell>
        </row>
        <row r="38">
          <cell r="B38">
            <v>4.1666666666666669E+20</v>
          </cell>
        </row>
        <row r="56">
          <cell r="B56">
            <v>1.1594202898550724E+22</v>
          </cell>
        </row>
        <row r="58">
          <cell r="B58">
            <v>3.5555555555555561E+19</v>
          </cell>
        </row>
        <row r="63">
          <cell r="B63">
            <v>1.1525591787439611E+22</v>
          </cell>
        </row>
      </sheetData>
      <sheetData sheetId="3">
        <row r="128">
          <cell r="B128">
            <v>3.5555555555555565E+17</v>
          </cell>
        </row>
      </sheetData>
      <sheetData sheetId="4">
        <row r="8">
          <cell r="AC8">
            <v>1.1784920981299063</v>
          </cell>
        </row>
        <row r="73">
          <cell r="AM73">
            <v>0.63405853168718307</v>
          </cell>
          <cell r="AN73">
            <v>0.63405853168718307</v>
          </cell>
          <cell r="AO73">
            <v>0.64727382236714692</v>
          </cell>
        </row>
        <row r="82">
          <cell r="AM82">
            <v>0.63405853168718307</v>
          </cell>
          <cell r="AN82">
            <v>0.63405853168718307</v>
          </cell>
          <cell r="AO82">
            <v>0.62087241715243024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поэлементый расчет систем"/>
    </sheetNames>
    <sheetDataSet>
      <sheetData sheetId="0"/>
      <sheetData sheetId="1">
        <row r="14">
          <cell r="L14">
            <v>17.05049934999278</v>
          </cell>
        </row>
        <row r="91">
          <cell r="L91">
            <v>7.2541119553640074</v>
          </cell>
          <cell r="Q91">
            <v>136.60692781390321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динамика протия в ТЦ"/>
    </sheetNames>
    <sheetDataSet>
      <sheetData sheetId="0"/>
      <sheetData sheetId="1">
        <row r="5">
          <cell r="F5">
            <v>2.9767774208102532E+16</v>
          </cell>
        </row>
        <row r="11">
          <cell r="F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4"/>
  <sheetViews>
    <sheetView zoomScale="85" zoomScaleNormal="85" workbookViewId="0">
      <selection activeCell="J23" sqref="J23"/>
    </sheetView>
  </sheetViews>
  <sheetFormatPr defaultColWidth="9.1796875" defaultRowHeight="15.5" x14ac:dyDescent="0.35"/>
  <cols>
    <col min="1" max="1" width="70.54296875" style="2" customWidth="1"/>
    <col min="2" max="2" width="13.1796875" style="2" customWidth="1"/>
    <col min="3" max="3" width="12.26953125" style="2" customWidth="1"/>
    <col min="4" max="4" width="8.26953125" style="2" customWidth="1"/>
    <col min="5" max="5" width="4.7265625" style="2" customWidth="1"/>
    <col min="6" max="6" width="10.7265625" style="2" customWidth="1"/>
    <col min="7" max="7" width="11.54296875" style="2" customWidth="1"/>
    <col min="8" max="8" width="10.81640625" style="2" customWidth="1"/>
    <col min="9" max="9" width="10.7265625" style="2" customWidth="1"/>
    <col min="10" max="10" width="11.26953125" style="2" customWidth="1"/>
    <col min="11" max="11" width="10.81640625" style="2" customWidth="1"/>
    <col min="12" max="12" width="10.7265625" style="2" customWidth="1"/>
    <col min="13" max="13" width="11" style="2" customWidth="1"/>
    <col min="14" max="15" width="10.54296875" style="2" customWidth="1"/>
    <col min="16" max="16" width="11.26953125" style="2" customWidth="1"/>
    <col min="17" max="18" width="15.1796875" style="2" customWidth="1"/>
    <col min="19" max="19" width="14.7265625" style="2" customWidth="1"/>
    <col min="20" max="20" width="11" style="2" customWidth="1"/>
    <col min="21" max="21" width="11.453125" style="2" customWidth="1"/>
    <col min="22" max="22" width="11.7265625" style="2" customWidth="1"/>
    <col min="23" max="23" width="8.7265625" style="2" customWidth="1"/>
    <col min="24" max="24" width="10" style="2" customWidth="1"/>
    <col min="25" max="26" width="10.7265625" style="2" bestFit="1" customWidth="1"/>
    <col min="27" max="28" width="10.1796875" style="2" customWidth="1"/>
    <col min="29" max="29" width="10.7265625" style="2" bestFit="1" customWidth="1"/>
    <col min="30" max="30" width="10.81640625" style="2" customWidth="1"/>
    <col min="31" max="33" width="9.1796875" style="2"/>
    <col min="34" max="36" width="9.7265625" style="2" customWidth="1"/>
    <col min="37" max="37" width="9.1796875" style="2"/>
    <col min="38" max="38" width="9.26953125" style="2" bestFit="1" customWidth="1"/>
    <col min="39" max="39" width="9.1796875" style="2" customWidth="1"/>
    <col min="40" max="40" width="9.1796875" style="2"/>
    <col min="41" max="41" width="10" style="2" bestFit="1" customWidth="1"/>
    <col min="42" max="42" width="9.81640625" style="2" customWidth="1"/>
    <col min="43" max="43" width="9.1796875" style="2"/>
    <col min="44" max="44" width="9.26953125" style="2" bestFit="1" customWidth="1"/>
    <col min="45" max="16384" width="9.1796875" style="2"/>
  </cols>
  <sheetData>
    <row r="1" spans="2:46" x14ac:dyDescent="0.35">
      <c r="B1" s="12" t="s">
        <v>46</v>
      </c>
      <c r="C1" s="379" t="str">
        <f>'[1]параметры для расчета'!$C$1</f>
        <v>ДЕМО-ТИН</v>
      </c>
      <c r="D1" s="168"/>
    </row>
    <row r="3" spans="2:46" x14ac:dyDescent="0.35">
      <c r="B3" s="12" t="s">
        <v>242</v>
      </c>
      <c r="C3" s="313">
        <f>'[1]параметры для расчета'!$C$3</f>
        <v>270</v>
      </c>
      <c r="D3" s="25" t="s">
        <v>0</v>
      </c>
      <c r="J3" s="3" t="s">
        <v>280</v>
      </c>
      <c r="K3" s="313">
        <f>'[1]параметры для расчета'!$K$3</f>
        <v>0.91</v>
      </c>
    </row>
    <row r="4" spans="2:46" x14ac:dyDescent="0.35">
      <c r="B4" s="12" t="s">
        <v>243</v>
      </c>
      <c r="C4" s="313">
        <f>'[1]параметры для расчета'!$C$4</f>
        <v>286</v>
      </c>
      <c r="D4" s="112" t="s">
        <v>3</v>
      </c>
      <c r="J4" s="3" t="s">
        <v>281</v>
      </c>
      <c r="K4" s="358">
        <f>1-K3</f>
        <v>8.9999999999999969E-2</v>
      </c>
    </row>
    <row r="5" spans="2:46" x14ac:dyDescent="0.35">
      <c r="B5" s="12" t="s">
        <v>270</v>
      </c>
      <c r="C5" s="363">
        <f>'[1]параметры для расчета'!$C$5</f>
        <v>133</v>
      </c>
      <c r="D5" s="25" t="s">
        <v>0</v>
      </c>
      <c r="J5" s="3" t="s">
        <v>267</v>
      </c>
      <c r="K5" s="358">
        <f>K3*C5</f>
        <v>121.03</v>
      </c>
      <c r="L5" s="25" t="s">
        <v>0</v>
      </c>
    </row>
    <row r="6" spans="2:46" x14ac:dyDescent="0.35">
      <c r="B6" s="3" t="s">
        <v>269</v>
      </c>
      <c r="C6" s="364">
        <f>'[1]параметры для расчета'!$C$6</f>
        <v>180</v>
      </c>
      <c r="D6" s="112" t="s">
        <v>3</v>
      </c>
      <c r="J6" s="3" t="s">
        <v>268</v>
      </c>
      <c r="K6" s="358">
        <f>K4*C5</f>
        <v>11.969999999999995</v>
      </c>
      <c r="L6" s="25" t="s">
        <v>0</v>
      </c>
      <c r="S6" s="107"/>
      <c r="T6" s="107"/>
    </row>
    <row r="7" spans="2:46" x14ac:dyDescent="0.35">
      <c r="B7" s="3" t="s">
        <v>253</v>
      </c>
      <c r="C7" s="319">
        <f>'[1]параметры для расчета'!$C$7</f>
        <v>17.27875959474386</v>
      </c>
      <c r="D7" s="25" t="s">
        <v>293</v>
      </c>
      <c r="J7" s="3" t="s">
        <v>292</v>
      </c>
      <c r="K7" s="358">
        <f>C6*K3^2</f>
        <v>149.05800000000002</v>
      </c>
      <c r="L7" s="112" t="s">
        <v>3</v>
      </c>
      <c r="S7" s="107"/>
      <c r="T7" s="107"/>
    </row>
    <row r="8" spans="2:46" x14ac:dyDescent="0.35">
      <c r="C8" s="172"/>
      <c r="S8" s="336"/>
      <c r="T8" s="336"/>
    </row>
    <row r="9" spans="2:46" ht="15.65" customHeight="1" x14ac:dyDescent="0.35">
      <c r="B9" s="12" t="s">
        <v>274</v>
      </c>
      <c r="C9" s="362">
        <f>'[1]параметры для расчета'!$C$8</f>
        <v>2</v>
      </c>
      <c r="D9" s="25" t="s">
        <v>6</v>
      </c>
      <c r="J9" s="345" t="s">
        <v>272</v>
      </c>
      <c r="K9" s="158">
        <f>'[1]параметры для расчета'!$K$16</f>
        <v>2.8985507246376809E+20</v>
      </c>
      <c r="L9" s="326">
        <f>K9*1/2*1.38E-23*1000</f>
        <v>2</v>
      </c>
      <c r="M9" s="2" t="s">
        <v>282</v>
      </c>
      <c r="N9" s="48" t="s">
        <v>246</v>
      </c>
      <c r="O9" s="48"/>
      <c r="S9" s="336"/>
      <c r="T9" s="336"/>
    </row>
    <row r="10" spans="2:46" x14ac:dyDescent="0.35">
      <c r="B10" s="277" t="s">
        <v>273</v>
      </c>
      <c r="C10" s="365">
        <f>'[1]параметры для расчета'!$C$11</f>
        <v>8E+19</v>
      </c>
      <c r="D10" s="25" t="s">
        <v>1</v>
      </c>
      <c r="J10" s="345" t="s">
        <v>271</v>
      </c>
      <c r="K10" s="158">
        <f>'[1]параметры для расчета'!$K$12</f>
        <v>4.5967806300646621E+19</v>
      </c>
      <c r="L10" s="326">
        <f>K10*1/2*1.38E-23*600</f>
        <v>0.19030671808467703</v>
      </c>
      <c r="M10" s="112" t="s">
        <v>283</v>
      </c>
      <c r="N10" s="48" t="s">
        <v>254</v>
      </c>
      <c r="O10" s="48"/>
    </row>
    <row r="11" spans="2:46" x14ac:dyDescent="0.35">
      <c r="B11" s="3" t="s">
        <v>266</v>
      </c>
      <c r="C11" s="465">
        <f>'[1]параметры для расчета'!$C$12</f>
        <v>2.4607574272048387</v>
      </c>
      <c r="Q11" s="458"/>
      <c r="R11" s="21"/>
      <c r="S11" s="21"/>
      <c r="T11" s="70"/>
      <c r="AR11" s="69"/>
    </row>
    <row r="12" spans="2:46" x14ac:dyDescent="0.35">
      <c r="B12" s="41" t="s">
        <v>279</v>
      </c>
      <c r="C12" s="365">
        <f>'[1]параметры для расчета'!$C$13</f>
        <v>6.4716265525384389E+19</v>
      </c>
      <c r="D12" s="25" t="s">
        <v>1</v>
      </c>
      <c r="K12" s="325" t="s">
        <v>250</v>
      </c>
      <c r="L12" s="325"/>
      <c r="M12" s="107"/>
      <c r="N12" s="107"/>
      <c r="Q12" s="70"/>
      <c r="R12" s="457"/>
      <c r="S12" s="65"/>
      <c r="T12" s="70"/>
      <c r="AR12" s="33"/>
      <c r="AT12" s="1"/>
    </row>
    <row r="13" spans="2:46" ht="15.65" customHeight="1" x14ac:dyDescent="0.35">
      <c r="B13" s="12" t="s">
        <v>47</v>
      </c>
      <c r="C13" s="159">
        <f>'[1]параметры для расчета'!$C$14</f>
        <v>1.1784920981299063E+19</v>
      </c>
      <c r="D13" s="168" t="s">
        <v>23</v>
      </c>
      <c r="K13" s="90">
        <f>'[1]параметры для расчета'!$K$25</f>
        <v>1.6523943906809267E+22</v>
      </c>
      <c r="L13" s="2" t="s">
        <v>251</v>
      </c>
      <c r="M13" s="107"/>
      <c r="N13" s="107"/>
      <c r="O13" s="98"/>
      <c r="Q13" s="70"/>
      <c r="R13" s="70"/>
      <c r="S13" s="70"/>
      <c r="T13" s="70"/>
      <c r="U13" s="98"/>
      <c r="AR13" s="1"/>
      <c r="AT13" s="33"/>
    </row>
    <row r="14" spans="2:46" ht="15.65" customHeight="1" x14ac:dyDescent="0.35">
      <c r="B14" s="41"/>
      <c r="D14" s="168"/>
      <c r="K14" s="138" t="s">
        <v>248</v>
      </c>
      <c r="M14" s="107"/>
      <c r="N14" s="107"/>
      <c r="O14" s="98"/>
      <c r="Q14" s="459"/>
      <c r="R14" s="460"/>
      <c r="S14" s="70"/>
      <c r="T14" s="461"/>
      <c r="U14" s="98"/>
    </row>
    <row r="15" spans="2:46" x14ac:dyDescent="0.35">
      <c r="B15" s="12" t="s">
        <v>275</v>
      </c>
      <c r="C15" s="16">
        <f>'[1]параметры для расчета'!$C$16</f>
        <v>33.165596022411073</v>
      </c>
      <c r="D15" s="168" t="s">
        <v>28</v>
      </c>
      <c r="K15" s="90">
        <f>K13/K7</f>
        <v>1.1085580047236153E+20</v>
      </c>
      <c r="L15" s="2" t="s">
        <v>249</v>
      </c>
      <c r="M15" s="165">
        <f>'[1]параметры для расчета'!$M$27</f>
        <v>0</v>
      </c>
      <c r="N15" s="17" t="s">
        <v>260</v>
      </c>
    </row>
    <row r="16" spans="2:46" x14ac:dyDescent="0.35">
      <c r="B16" s="310" t="s">
        <v>276</v>
      </c>
      <c r="C16" s="466">
        <f>'[1]параметры для расчета'!$C$17</f>
        <v>36.385680359718272</v>
      </c>
      <c r="D16" s="168" t="s">
        <v>28</v>
      </c>
      <c r="U16" s="172"/>
      <c r="AL16" s="3"/>
    </row>
    <row r="17" spans="2:38" x14ac:dyDescent="0.35">
      <c r="B17" s="12" t="s">
        <v>277</v>
      </c>
      <c r="C17" s="278">
        <f>'[1]параметры для расчета'!$C$18</f>
        <v>788.12959684333293</v>
      </c>
      <c r="D17" s="168" t="s">
        <v>30</v>
      </c>
      <c r="AL17" s="3"/>
    </row>
    <row r="18" spans="2:38" ht="15.65" customHeight="1" x14ac:dyDescent="0.45">
      <c r="B18" s="310" t="s">
        <v>278</v>
      </c>
      <c r="C18" s="467">
        <f>'[1]параметры для расчета'!$F$19</f>
        <v>0</v>
      </c>
      <c r="D18" s="148"/>
      <c r="E18" s="89"/>
      <c r="F18" s="460"/>
      <c r="G18" s="344"/>
      <c r="J18" s="449"/>
      <c r="AL18" s="3"/>
    </row>
    <row r="19" spans="2:38" ht="14.25" customHeight="1" x14ac:dyDescent="0.35">
      <c r="J19" s="70"/>
      <c r="U19" s="172"/>
      <c r="AL19" s="3"/>
    </row>
    <row r="20" spans="2:38" x14ac:dyDescent="0.35">
      <c r="B20" s="6" t="s">
        <v>320</v>
      </c>
      <c r="C20" s="464">
        <f>100-'[1]параметры для расчета'!$C$21</f>
        <v>50</v>
      </c>
      <c r="D20" s="33" t="s">
        <v>13</v>
      </c>
      <c r="J20" s="77"/>
      <c r="U20" s="318"/>
      <c r="AL20" s="3"/>
    </row>
    <row r="21" spans="2:38" x14ac:dyDescent="0.35">
      <c r="B21" s="89" t="s">
        <v>89</v>
      </c>
      <c r="C21" s="366">
        <f>'[1]параметры для расчета'!$C$22</f>
        <v>50</v>
      </c>
      <c r="D21" s="2" t="s">
        <v>13</v>
      </c>
      <c r="J21" s="21"/>
      <c r="AA21" s="3"/>
      <c r="AL21" s="3"/>
    </row>
    <row r="22" spans="2:38" ht="15.75" customHeight="1" x14ac:dyDescent="0.35">
      <c r="B22" s="89" t="s">
        <v>257</v>
      </c>
      <c r="C22" s="166">
        <f>'[1]параметры для расчета'!$C$23</f>
        <v>0.5</v>
      </c>
      <c r="D22" s="83" t="s">
        <v>13</v>
      </c>
      <c r="J22" s="70"/>
      <c r="K22" s="70"/>
      <c r="L22" s="70"/>
      <c r="M22" s="70"/>
      <c r="N22" s="70"/>
      <c r="V22" s="98"/>
      <c r="W22" s="98"/>
      <c r="X22" s="98"/>
      <c r="Y22" s="98"/>
      <c r="Z22" s="98"/>
      <c r="AA22" s="98"/>
      <c r="AB22" s="98"/>
      <c r="AC22" s="98"/>
      <c r="AD22" s="98"/>
      <c r="AE22" s="147"/>
      <c r="AL22" s="3"/>
    </row>
    <row r="23" spans="2:38" ht="15" customHeight="1" x14ac:dyDescent="0.35">
      <c r="B23" s="89" t="s">
        <v>256</v>
      </c>
      <c r="C23" s="359">
        <f>'[1]параметры для расчета'!$C$24</f>
        <v>0.5</v>
      </c>
      <c r="D23" s="83" t="s">
        <v>13</v>
      </c>
      <c r="J23" s="70"/>
      <c r="K23" s="70"/>
      <c r="L23" s="70"/>
      <c r="M23" s="21"/>
      <c r="N23" s="70"/>
      <c r="V23" s="98"/>
      <c r="W23" s="98"/>
      <c r="AL23" s="3"/>
    </row>
    <row r="24" spans="2:38" ht="15.75" customHeight="1" x14ac:dyDescent="0.35">
      <c r="B24" s="89" t="s">
        <v>255</v>
      </c>
      <c r="C24" s="346">
        <f>'[1]параметры для расчета'!$C$25</f>
        <v>2.5090617407398321</v>
      </c>
      <c r="D24" s="83" t="s">
        <v>13</v>
      </c>
      <c r="N24" s="107"/>
      <c r="O24" s="107"/>
      <c r="V24" s="98"/>
      <c r="W24" s="98"/>
      <c r="X24" s="98"/>
      <c r="AL24" s="3"/>
    </row>
    <row r="25" spans="2:38" ht="15.65" customHeight="1" x14ac:dyDescent="0.35"/>
    <row r="26" spans="2:38" ht="15.65" customHeight="1" x14ac:dyDescent="0.35">
      <c r="B26" s="3" t="s">
        <v>318</v>
      </c>
      <c r="C26" s="166">
        <f>'[1]параметры для расчета'!$C$27</f>
        <v>1.2</v>
      </c>
      <c r="J26" s="168"/>
      <c r="AL26" s="3"/>
    </row>
    <row r="27" spans="2:38" ht="15.75" customHeight="1" x14ac:dyDescent="0.35">
      <c r="B27" s="99" t="s">
        <v>264</v>
      </c>
      <c r="C27" s="262">
        <f>'[1]параметры для расчета'!$C$28</f>
        <v>20</v>
      </c>
      <c r="D27" s="65" t="s">
        <v>59</v>
      </c>
      <c r="AL27" s="3"/>
    </row>
    <row r="28" spans="2:38" x14ac:dyDescent="0.35">
      <c r="AL28" s="3"/>
    </row>
    <row r="29" spans="2:38" ht="15.75" customHeight="1" x14ac:dyDescent="0.35">
      <c r="B29" s="12" t="s">
        <v>34</v>
      </c>
      <c r="C29" s="16">
        <f>'[1]параметры для расчета'!$C$70</f>
        <v>100</v>
      </c>
      <c r="D29" s="168" t="s">
        <v>2</v>
      </c>
      <c r="U29" s="33"/>
      <c r="AL29" s="3"/>
    </row>
    <row r="30" spans="2:38" x14ac:dyDescent="0.35">
      <c r="B30" s="41" t="s">
        <v>319</v>
      </c>
      <c r="C30" s="463">
        <f>'[1]параметры для расчета'!$C$30</f>
        <v>6</v>
      </c>
      <c r="D30" s="168" t="s">
        <v>28</v>
      </c>
      <c r="AL30" s="3"/>
    </row>
    <row r="31" spans="2:38" x14ac:dyDescent="0.35">
      <c r="B31" s="12" t="s">
        <v>40</v>
      </c>
      <c r="C31" s="361">
        <f>'[1]параметры для расчета'!$C$31</f>
        <v>6</v>
      </c>
      <c r="D31" s="168" t="s">
        <v>23</v>
      </c>
      <c r="F31" s="455">
        <f>'[1]параметры для расчета'!$F$31</f>
        <v>4</v>
      </c>
      <c r="G31" s="2" t="s">
        <v>315</v>
      </c>
      <c r="AL31" s="3"/>
    </row>
    <row r="32" spans="2:38" x14ac:dyDescent="0.35">
      <c r="B32" s="12" t="s">
        <v>17</v>
      </c>
      <c r="C32" s="361">
        <f>'[1]параметры для расчета'!$C$32</f>
        <v>30</v>
      </c>
      <c r="D32" s="25" t="s">
        <v>31</v>
      </c>
      <c r="F32" s="456"/>
      <c r="G32" s="112" t="s">
        <v>316</v>
      </c>
    </row>
    <row r="33" spans="1:24" x14ac:dyDescent="0.35">
      <c r="B33" s="41" t="s">
        <v>241</v>
      </c>
      <c r="C33" s="362">
        <f>'[1]параметры для расчета'!$C$33</f>
        <v>500</v>
      </c>
      <c r="D33" s="20" t="s">
        <v>32</v>
      </c>
    </row>
    <row r="34" spans="1:24" x14ac:dyDescent="0.35">
      <c r="B34" s="3" t="s">
        <v>18</v>
      </c>
      <c r="C34" s="166">
        <f>'[1]параметры для расчета'!$C$34</f>
        <v>10</v>
      </c>
      <c r="D34" s="289" t="s">
        <v>19</v>
      </c>
    </row>
    <row r="35" spans="1:24" x14ac:dyDescent="0.35">
      <c r="B35" s="3" t="s">
        <v>108</v>
      </c>
      <c r="C35" s="166">
        <f>'[1]параметры для расчета'!$C$35</f>
        <v>0.8</v>
      </c>
      <c r="D35" s="289" t="s">
        <v>19</v>
      </c>
      <c r="O35" s="107"/>
    </row>
    <row r="36" spans="1:24" x14ac:dyDescent="0.35">
      <c r="B36" s="3" t="s">
        <v>109</v>
      </c>
      <c r="C36" s="166">
        <f>'[1]параметры для расчета'!$C$36</f>
        <v>0.4</v>
      </c>
      <c r="D36" s="289" t="s">
        <v>19</v>
      </c>
      <c r="L36" s="450"/>
      <c r="M36" s="451"/>
      <c r="N36" s="451"/>
      <c r="O36" s="107"/>
    </row>
    <row r="37" spans="1:24" ht="16.5" customHeight="1" x14ac:dyDescent="0.35">
      <c r="B37" s="3" t="s">
        <v>265</v>
      </c>
      <c r="C37" s="313">
        <f>'[1]параметры для расчета'!$C$37</f>
        <v>4.5</v>
      </c>
      <c r="D37" s="63" t="s">
        <v>9</v>
      </c>
      <c r="E37" s="98"/>
      <c r="L37" s="452"/>
      <c r="M37" s="451"/>
      <c r="N37" s="451"/>
      <c r="O37" s="107"/>
    </row>
    <row r="38" spans="1:24" ht="16.5" customHeight="1" x14ac:dyDescent="0.35">
      <c r="B38" s="3" t="s">
        <v>116</v>
      </c>
      <c r="C38" s="313">
        <f>'[1]параметры для расчета'!$C$38</f>
        <v>19.5</v>
      </c>
      <c r="D38" s="63" t="s">
        <v>9</v>
      </c>
      <c r="E38" s="98"/>
      <c r="F38" s="291"/>
      <c r="K38" s="450"/>
      <c r="L38" s="452"/>
      <c r="M38" s="451"/>
      <c r="N38" s="451"/>
    </row>
    <row r="39" spans="1:24" ht="16.5" customHeight="1" x14ac:dyDescent="0.35">
      <c r="A39" s="3" t="s">
        <v>288</v>
      </c>
      <c r="B39" s="5" t="s">
        <v>10</v>
      </c>
      <c r="C39" s="319">
        <f>'[1]параметры для расчета'!$C$39</f>
        <v>0.6</v>
      </c>
      <c r="D39" s="33"/>
      <c r="E39" s="173"/>
      <c r="F39" s="292"/>
      <c r="K39" s="40"/>
      <c r="L39" s="452"/>
      <c r="M39" s="258"/>
      <c r="N39" s="454"/>
      <c r="U39" s="30"/>
    </row>
    <row r="40" spans="1:24" ht="17.5" x14ac:dyDescent="0.35">
      <c r="A40" s="3" t="s">
        <v>289</v>
      </c>
      <c r="B40" s="5" t="s">
        <v>5</v>
      </c>
      <c r="C40" s="319">
        <f>'[1]параметры для расчета'!$C$40</f>
        <v>0.8</v>
      </c>
      <c r="D40" s="33"/>
      <c r="E40" s="290"/>
      <c r="F40" s="292"/>
      <c r="H40" s="136"/>
      <c r="K40" s="453"/>
      <c r="O40" s="70"/>
      <c r="P40" s="70"/>
      <c r="Q40" s="70"/>
      <c r="R40" s="70"/>
      <c r="S40" s="70"/>
      <c r="T40" s="70"/>
      <c r="U40" s="21"/>
      <c r="V40" s="70"/>
      <c r="W40" s="70"/>
      <c r="X40" s="70"/>
    </row>
    <row r="41" spans="1:24" x14ac:dyDescent="0.35">
      <c r="B41" s="6" t="s">
        <v>107</v>
      </c>
      <c r="C41" s="293">
        <f>'[1]параметры для расчета'!$C$41</f>
        <v>20</v>
      </c>
      <c r="D41" s="168" t="s">
        <v>13</v>
      </c>
      <c r="F41" s="120" t="s">
        <v>178</v>
      </c>
      <c r="K41" s="40"/>
      <c r="M41" s="382"/>
      <c r="N41" s="382"/>
      <c r="O41" s="70"/>
      <c r="P41" s="70"/>
      <c r="Q41" s="70"/>
      <c r="R41" s="70"/>
      <c r="S41" s="70"/>
      <c r="T41" s="70"/>
      <c r="U41" s="70"/>
      <c r="V41" s="21"/>
      <c r="W41" s="70"/>
      <c r="X41" s="70"/>
    </row>
    <row r="42" spans="1:24" ht="15.65" customHeight="1" x14ac:dyDescent="0.35">
      <c r="J42" s="97"/>
      <c r="M42" s="382"/>
      <c r="N42" s="382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spans="1:24" x14ac:dyDescent="0.35">
      <c r="A43" s="12" t="s">
        <v>261</v>
      </c>
      <c r="B43" s="3" t="s">
        <v>295</v>
      </c>
      <c r="C43" s="313">
        <f>'[1]параметры для расчета'!$C$43</f>
        <v>1</v>
      </c>
      <c r="D43" s="2" t="s">
        <v>23</v>
      </c>
      <c r="H43" s="46"/>
      <c r="I43" s="136"/>
      <c r="J43" s="381"/>
      <c r="K43" s="381"/>
      <c r="O43" s="70"/>
      <c r="P43" s="70"/>
      <c r="Q43" s="111"/>
      <c r="R43" s="111"/>
      <c r="S43" s="111"/>
      <c r="T43" s="70"/>
      <c r="U43" s="70"/>
      <c r="V43" s="70"/>
      <c r="W43" s="70"/>
      <c r="X43" s="70"/>
    </row>
    <row r="44" spans="1:24" x14ac:dyDescent="0.35">
      <c r="A44" s="172"/>
      <c r="B44" s="3" t="s">
        <v>294</v>
      </c>
      <c r="C44" s="313">
        <f>'[1]параметры для расчета'!$C$44</f>
        <v>1</v>
      </c>
      <c r="D44" s="2" t="s">
        <v>23</v>
      </c>
      <c r="I44" s="136"/>
      <c r="J44" s="382"/>
      <c r="K44" s="382"/>
      <c r="O44" s="70"/>
      <c r="P44" s="70"/>
      <c r="Q44" s="60"/>
      <c r="R44" s="60"/>
      <c r="S44" s="60"/>
      <c r="T44" s="388"/>
      <c r="U44" s="70"/>
      <c r="V44" s="70"/>
      <c r="W44" s="70"/>
      <c r="X44" s="70"/>
    </row>
    <row r="45" spans="1:24" ht="15.65" customHeight="1" x14ac:dyDescent="0.35">
      <c r="A45" s="12" t="s">
        <v>262</v>
      </c>
      <c r="B45" s="3" t="s">
        <v>295</v>
      </c>
      <c r="C45" s="411">
        <f>'[1]параметры для расчета'!$C$45</f>
        <v>8.8986461395615759</v>
      </c>
      <c r="D45" s="112" t="s">
        <v>240</v>
      </c>
      <c r="I45" s="136"/>
      <c r="J45" s="89" t="s">
        <v>286</v>
      </c>
      <c r="K45" s="356">
        <f>[2]результаты!AM73</f>
        <v>0.63405853168718307</v>
      </c>
      <c r="O45" s="70"/>
      <c r="P45" s="70"/>
      <c r="Q45" s="70"/>
      <c r="R45" s="93"/>
      <c r="S45" s="70"/>
      <c r="T45" s="70"/>
      <c r="U45" s="70"/>
      <c r="V45" s="70"/>
      <c r="W45" s="70"/>
      <c r="X45" s="70"/>
    </row>
    <row r="46" spans="1:24" x14ac:dyDescent="0.35">
      <c r="C46" s="412">
        <f>'[1]параметры для расчета'!$AM$3</f>
        <v>8.9207785912464583</v>
      </c>
      <c r="K46" s="357">
        <f>[2]результаты!AN73</f>
        <v>0.63405853168718307</v>
      </c>
      <c r="O46" s="70"/>
      <c r="P46" s="70"/>
      <c r="Q46" s="60"/>
      <c r="R46" s="60"/>
      <c r="S46" s="60"/>
      <c r="T46" s="389"/>
      <c r="U46" s="70"/>
      <c r="V46" s="70"/>
      <c r="W46" s="70"/>
      <c r="X46" s="70"/>
    </row>
    <row r="47" spans="1:24" ht="15.65" customHeight="1" x14ac:dyDescent="0.35">
      <c r="B47" s="3"/>
      <c r="C47" s="413">
        <f>'[1]параметры для расчета'!$AM$4</f>
        <v>9.3413552842018586</v>
      </c>
      <c r="D47" s="112"/>
      <c r="I47" s="265"/>
      <c r="K47" s="367">
        <f>[2]результаты!AO73</f>
        <v>0.64727382236714692</v>
      </c>
      <c r="O47" s="70"/>
      <c r="P47" s="70"/>
      <c r="Q47" s="111"/>
      <c r="R47" s="111"/>
      <c r="S47" s="111"/>
      <c r="T47" s="70"/>
      <c r="U47" s="70"/>
      <c r="V47" s="70"/>
      <c r="W47" s="70"/>
      <c r="X47" s="70"/>
    </row>
    <row r="48" spans="1:24" x14ac:dyDescent="0.35">
      <c r="B48" s="3" t="s">
        <v>294</v>
      </c>
      <c r="C48" s="411">
        <f>'[1]параметры для расчета'!$C$48</f>
        <v>8.8986461395615706</v>
      </c>
      <c r="D48" s="112" t="s">
        <v>240</v>
      </c>
      <c r="I48" s="265"/>
      <c r="J48" s="360" t="s">
        <v>287</v>
      </c>
      <c r="K48" s="356">
        <f>[2]результаты!AM82</f>
        <v>0.63405853168718307</v>
      </c>
      <c r="M48" s="382"/>
      <c r="N48" s="382"/>
      <c r="O48" s="70"/>
      <c r="P48" s="70"/>
      <c r="Q48" s="70"/>
      <c r="R48" s="70"/>
      <c r="S48" s="70"/>
      <c r="T48" s="70"/>
      <c r="U48" s="70"/>
      <c r="V48" s="70"/>
      <c r="W48" s="70"/>
      <c r="X48" s="70"/>
    </row>
    <row r="49" spans="1:24" ht="15.65" customHeight="1" x14ac:dyDescent="0.35">
      <c r="C49" s="412">
        <f>'[1]параметры для расчета'!$AM$6</f>
        <v>8.920778591246453</v>
      </c>
      <c r="I49" s="136"/>
      <c r="J49" s="382"/>
      <c r="K49" s="357">
        <f>[2]результаты!AN82</f>
        <v>0.63405853168718307</v>
      </c>
      <c r="M49" s="382"/>
      <c r="N49" s="382"/>
      <c r="O49" s="70"/>
      <c r="P49" s="70"/>
      <c r="Q49" s="70"/>
      <c r="R49" s="93"/>
      <c r="S49" s="70"/>
      <c r="T49" s="70"/>
      <c r="U49" s="70"/>
      <c r="V49" s="70"/>
      <c r="W49" s="70"/>
      <c r="X49" s="70"/>
    </row>
    <row r="50" spans="1:24" x14ac:dyDescent="0.35">
      <c r="C50" s="413">
        <f>'[1]параметры для расчета'!$AM$7</f>
        <v>8.500201898291051</v>
      </c>
      <c r="I50" s="136"/>
      <c r="J50" s="382"/>
      <c r="K50" s="367">
        <f>[2]результаты!AO82</f>
        <v>0.62087241715243024</v>
      </c>
      <c r="L50" s="384"/>
      <c r="M50" s="385"/>
      <c r="O50" s="70"/>
      <c r="P50" s="70"/>
      <c r="Q50" s="390"/>
      <c r="R50" s="390"/>
      <c r="S50" s="390"/>
      <c r="T50" s="388"/>
      <c r="U50" s="391"/>
      <c r="V50" s="392"/>
      <c r="W50" s="70"/>
      <c r="X50" s="70"/>
    </row>
    <row r="51" spans="1:24" x14ac:dyDescent="0.35">
      <c r="A51" s="3" t="s">
        <v>263</v>
      </c>
      <c r="B51" s="3" t="s">
        <v>295</v>
      </c>
      <c r="C51" s="16">
        <f>'[1]параметры для расчета'!$C$51</f>
        <v>2.8446965475698067</v>
      </c>
      <c r="D51" s="112" t="s">
        <v>48</v>
      </c>
      <c r="E51" s="146" t="s">
        <v>8</v>
      </c>
      <c r="F51" s="326">
        <f>3.14*(C51/2)^3</f>
        <v>9.0354023815721582</v>
      </c>
      <c r="G51" s="2" t="s">
        <v>245</v>
      </c>
      <c r="I51" s="136"/>
      <c r="J51" s="382"/>
      <c r="K51" s="382"/>
      <c r="O51" s="70"/>
      <c r="P51" s="70"/>
      <c r="Q51" s="390"/>
      <c r="R51" s="393"/>
      <c r="S51" s="393"/>
      <c r="T51" s="388"/>
      <c r="U51" s="390"/>
      <c r="V51" s="390"/>
      <c r="W51" s="70"/>
      <c r="X51" s="70"/>
    </row>
    <row r="52" spans="1:24" x14ac:dyDescent="0.35">
      <c r="B52" s="3" t="s">
        <v>294</v>
      </c>
      <c r="C52" s="16">
        <f>'[1]параметры для расчета'!$C$52</f>
        <v>2.8329414690653585</v>
      </c>
      <c r="D52" s="112" t="s">
        <v>48</v>
      </c>
      <c r="E52" s="170" t="s">
        <v>8</v>
      </c>
      <c r="F52" s="326">
        <f>3.14*(C52/2)^3</f>
        <v>8.9238542040218896</v>
      </c>
      <c r="G52" s="2" t="s">
        <v>245</v>
      </c>
      <c r="J52" s="383"/>
      <c r="K52" s="383"/>
      <c r="L52" s="380"/>
      <c r="M52" s="143"/>
      <c r="O52" s="70"/>
      <c r="P52" s="70"/>
      <c r="Q52" s="393"/>
      <c r="R52" s="393"/>
      <c r="S52" s="393"/>
      <c r="T52" s="388"/>
      <c r="U52" s="70"/>
      <c r="V52" s="315"/>
      <c r="W52" s="70"/>
      <c r="X52" s="70"/>
    </row>
    <row r="53" spans="1:24" ht="16.5" customHeight="1" x14ac:dyDescent="0.35">
      <c r="L53" s="380"/>
      <c r="O53" s="70"/>
      <c r="P53" s="70"/>
      <c r="Q53" s="70"/>
      <c r="R53" s="93"/>
      <c r="S53" s="70"/>
      <c r="T53" s="70"/>
      <c r="U53" s="70"/>
      <c r="V53" s="70"/>
      <c r="W53" s="70"/>
      <c r="X53" s="70"/>
    </row>
    <row r="54" spans="1:24" ht="15" customHeight="1" x14ac:dyDescent="0.35">
      <c r="A54" s="12" t="s">
        <v>261</v>
      </c>
      <c r="B54" s="3" t="s">
        <v>296</v>
      </c>
      <c r="C54" s="313">
        <f>'[1]параметры для расчета'!$C$54</f>
        <v>1</v>
      </c>
      <c r="D54" s="2" t="s">
        <v>23</v>
      </c>
      <c r="J54" s="327"/>
      <c r="K54" s="93"/>
      <c r="L54" s="380"/>
      <c r="O54" s="394"/>
      <c r="P54" s="70"/>
      <c r="Q54" s="331"/>
      <c r="R54" s="331"/>
      <c r="S54" s="331"/>
      <c r="T54" s="388"/>
      <c r="U54" s="70"/>
      <c r="V54" s="70"/>
      <c r="W54" s="70"/>
      <c r="X54" s="70"/>
    </row>
    <row r="55" spans="1:24" x14ac:dyDescent="0.35">
      <c r="B55" s="3" t="s">
        <v>297</v>
      </c>
      <c r="C55" s="313">
        <f>'[1]параметры для расчета'!$C$55</f>
        <v>1</v>
      </c>
      <c r="D55" s="2" t="s">
        <v>23</v>
      </c>
      <c r="J55" s="327"/>
      <c r="K55" s="93"/>
      <c r="O55" s="70"/>
      <c r="P55" s="70"/>
      <c r="Q55" s="395"/>
      <c r="R55" s="395"/>
      <c r="S55" s="77"/>
      <c r="T55" s="396"/>
      <c r="U55" s="70"/>
      <c r="V55" s="70"/>
      <c r="W55" s="70"/>
      <c r="X55" s="70"/>
    </row>
    <row r="56" spans="1:24" x14ac:dyDescent="0.35">
      <c r="A56" s="12" t="s">
        <v>262</v>
      </c>
      <c r="B56" s="3" t="s">
        <v>296</v>
      </c>
      <c r="C56" s="378">
        <f>'[1]параметры для расчета'!$C$56</f>
        <v>0</v>
      </c>
      <c r="D56" s="323" t="s">
        <v>240</v>
      </c>
      <c r="J56" s="327"/>
      <c r="K56" s="93"/>
      <c r="O56" s="70"/>
      <c r="P56" s="70"/>
      <c r="Q56" s="330"/>
      <c r="R56" s="330"/>
      <c r="S56" s="330"/>
      <c r="T56" s="388"/>
      <c r="U56" s="70"/>
      <c r="V56" s="70"/>
      <c r="W56" s="70"/>
      <c r="X56" s="70"/>
    </row>
    <row r="57" spans="1:24" x14ac:dyDescent="0.35">
      <c r="B57" s="3" t="s">
        <v>297</v>
      </c>
      <c r="C57" s="378">
        <f>'[1]параметры для расчета'!$C$57</f>
        <v>0</v>
      </c>
      <c r="D57" s="323" t="s">
        <v>240</v>
      </c>
      <c r="K57" s="46"/>
      <c r="O57" s="70"/>
      <c r="P57" s="70"/>
      <c r="Q57" s="397"/>
      <c r="R57" s="397"/>
      <c r="S57" s="77"/>
      <c r="T57" s="396"/>
      <c r="U57" s="70"/>
      <c r="V57" s="70"/>
      <c r="W57" s="70"/>
      <c r="X57" s="70"/>
    </row>
    <row r="58" spans="1:24" x14ac:dyDescent="0.35">
      <c r="A58" s="3" t="s">
        <v>263</v>
      </c>
      <c r="B58" s="3" t="s">
        <v>296</v>
      </c>
      <c r="C58" s="16">
        <f>'[1]параметры для расчета'!$C$58</f>
        <v>1.3657989661467536</v>
      </c>
      <c r="D58" s="112" t="s">
        <v>48</v>
      </c>
      <c r="E58" s="146" t="s">
        <v>8</v>
      </c>
      <c r="F58" s="326">
        <f>3.14*(C58/2)^3</f>
        <v>1</v>
      </c>
      <c r="J58" s="98"/>
      <c r="O58" s="70"/>
      <c r="P58" s="70"/>
      <c r="Q58" s="330"/>
      <c r="R58" s="330"/>
      <c r="S58" s="330"/>
      <c r="T58" s="388"/>
      <c r="U58" s="70"/>
      <c r="V58" s="70"/>
      <c r="W58" s="70"/>
      <c r="X58" s="70"/>
    </row>
    <row r="59" spans="1:24" x14ac:dyDescent="0.35">
      <c r="B59" s="3" t="s">
        <v>297</v>
      </c>
      <c r="C59" s="16">
        <f>'[1]параметры для расчета'!$C$59</f>
        <v>1.3657989661467536</v>
      </c>
      <c r="D59" s="112" t="s">
        <v>48</v>
      </c>
      <c r="E59" s="170" t="s">
        <v>8</v>
      </c>
      <c r="F59" s="326">
        <f>3.14*(C59/2)^3</f>
        <v>1</v>
      </c>
      <c r="J59" s="98"/>
      <c r="O59" s="70"/>
      <c r="P59" s="70"/>
      <c r="Q59" s="397"/>
      <c r="R59" s="397"/>
      <c r="S59" s="77"/>
      <c r="T59" s="70"/>
      <c r="U59" s="70"/>
      <c r="V59" s="70"/>
      <c r="W59" s="70"/>
      <c r="X59" s="70"/>
    </row>
    <row r="60" spans="1:24" x14ac:dyDescent="0.35">
      <c r="J60" s="98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 spans="1:24" ht="15.75" customHeight="1" x14ac:dyDescent="0.35">
      <c r="B61" s="6" t="s">
        <v>247</v>
      </c>
      <c r="C61" s="314">
        <f>'[1]параметры для расчета'!$C$61</f>
        <v>100</v>
      </c>
      <c r="D61" s="2" t="s">
        <v>13</v>
      </c>
      <c r="F61" s="17" t="s">
        <v>317</v>
      </c>
      <c r="I61" s="97"/>
      <c r="O61" s="21"/>
      <c r="P61" s="398"/>
      <c r="Q61" s="398"/>
      <c r="R61" s="70"/>
      <c r="S61" s="70"/>
      <c r="T61" s="21"/>
      <c r="U61" s="70"/>
      <c r="V61" s="70"/>
      <c r="W61" s="70"/>
      <c r="X61" s="70"/>
    </row>
    <row r="62" spans="1:24" ht="15" customHeight="1" x14ac:dyDescent="0.35">
      <c r="B62" s="3" t="s">
        <v>239</v>
      </c>
      <c r="C62" s="414">
        <f>'[1]параметры для расчета'!$C$62</f>
        <v>8.5999999999999993E-2</v>
      </c>
      <c r="D62" s="168" t="s">
        <v>33</v>
      </c>
      <c r="L62" s="106"/>
      <c r="O62" s="355"/>
      <c r="P62" s="369"/>
      <c r="Q62" s="370"/>
      <c r="R62" s="370"/>
      <c r="S62" s="370"/>
      <c r="T62" s="332"/>
    </row>
    <row r="63" spans="1:24" x14ac:dyDescent="0.35">
      <c r="A63" s="6" t="s">
        <v>238</v>
      </c>
      <c r="B63" s="3" t="s">
        <v>36</v>
      </c>
      <c r="C63" s="414">
        <f>'[1]параметры для расчета'!$C$63</f>
        <v>0.16200000000000001</v>
      </c>
      <c r="D63" s="168" t="s">
        <v>33</v>
      </c>
      <c r="O63" s="340"/>
      <c r="P63" s="371"/>
      <c r="Q63" s="372"/>
      <c r="R63" s="372"/>
      <c r="S63" s="372"/>
      <c r="T63" s="46"/>
    </row>
    <row r="64" spans="1:24" x14ac:dyDescent="0.35">
      <c r="B64" s="3" t="s">
        <v>37</v>
      </c>
      <c r="C64" s="414">
        <f>'[1]параметры для расчета'!$C$64</f>
        <v>0.24</v>
      </c>
      <c r="D64" s="168" t="s">
        <v>33</v>
      </c>
      <c r="O64" s="340"/>
      <c r="P64" s="371"/>
      <c r="Q64" s="373"/>
      <c r="R64" s="372"/>
      <c r="S64" s="370"/>
      <c r="T64" s="332"/>
    </row>
    <row r="65" spans="1:44" x14ac:dyDescent="0.35">
      <c r="O65" s="355"/>
      <c r="P65" s="46"/>
      <c r="Q65" s="374"/>
      <c r="R65" s="46"/>
      <c r="S65" s="337"/>
      <c r="T65" s="375"/>
    </row>
    <row r="66" spans="1:44" x14ac:dyDescent="0.35">
      <c r="B66" s="8" t="s">
        <v>291</v>
      </c>
      <c r="C66" s="16">
        <f>'[1]параметры для расчета'!$C$66</f>
        <v>90</v>
      </c>
      <c r="D66" s="57" t="s">
        <v>13</v>
      </c>
      <c r="L66" s="52"/>
      <c r="O66" s="340"/>
      <c r="P66" s="46"/>
      <c r="Q66" s="374"/>
      <c r="R66" s="46"/>
      <c r="S66" s="337"/>
      <c r="T66" s="46"/>
    </row>
    <row r="67" spans="1:44" x14ac:dyDescent="0.35">
      <c r="B67" s="8" t="s">
        <v>234</v>
      </c>
      <c r="C67" s="16">
        <f>'[1]параметры для расчета'!$C$67</f>
        <v>90</v>
      </c>
      <c r="D67" s="57" t="s">
        <v>13</v>
      </c>
      <c r="O67" s="340"/>
      <c r="P67" s="46"/>
      <c r="Q67" s="374"/>
      <c r="R67" s="46"/>
      <c r="S67" s="376"/>
      <c r="T67" s="332"/>
    </row>
    <row r="68" spans="1:44" x14ac:dyDescent="0.35">
      <c r="B68" s="8" t="s">
        <v>235</v>
      </c>
      <c r="C68" s="16">
        <f>'[1]параметры для расчета'!$C$68</f>
        <v>50</v>
      </c>
      <c r="D68" s="57" t="s">
        <v>13</v>
      </c>
      <c r="O68" s="340"/>
      <c r="P68" s="377"/>
      <c r="Q68" s="368"/>
      <c r="R68" s="372"/>
      <c r="S68" s="372"/>
      <c r="T68" s="46"/>
    </row>
    <row r="69" spans="1:44" x14ac:dyDescent="0.35">
      <c r="L69" s="168"/>
      <c r="O69" s="355"/>
      <c r="P69" s="374"/>
      <c r="Q69" s="374"/>
      <c r="R69" s="46"/>
      <c r="S69" s="374"/>
      <c r="T69" s="332"/>
    </row>
    <row r="70" spans="1:44" x14ac:dyDescent="0.35">
      <c r="B70" s="6" t="s">
        <v>244</v>
      </c>
      <c r="C70" s="293">
        <f>'[1]параметры для расчета'!$C$71</f>
        <v>20</v>
      </c>
      <c r="D70" s="83" t="s">
        <v>13</v>
      </c>
      <c r="J70" s="120" t="s">
        <v>179</v>
      </c>
      <c r="O70" s="46"/>
      <c r="P70" s="374"/>
      <c r="Q70" s="374"/>
      <c r="R70" s="46"/>
      <c r="S70" s="374"/>
      <c r="T70" s="46"/>
      <c r="U70" s="10"/>
      <c r="AL70" s="3"/>
    </row>
    <row r="71" spans="1:44" x14ac:dyDescent="0.35">
      <c r="B71" s="250" t="s">
        <v>290</v>
      </c>
      <c r="C71" s="293">
        <f>'[1]параметры для расчета'!$C$72</f>
        <v>2</v>
      </c>
      <c r="D71" s="83" t="s">
        <v>13</v>
      </c>
      <c r="O71" s="46"/>
      <c r="P71" s="374"/>
      <c r="Q71" s="374"/>
      <c r="R71" s="46"/>
      <c r="S71" s="374"/>
      <c r="T71" s="332"/>
      <c r="U71" s="10"/>
    </row>
    <row r="72" spans="1:44" x14ac:dyDescent="0.35">
      <c r="J72" s="17" t="s">
        <v>180</v>
      </c>
      <c r="U72" s="10"/>
    </row>
    <row r="73" spans="1:44" x14ac:dyDescent="0.35">
      <c r="A73" s="10"/>
      <c r="B73" s="43" t="s">
        <v>25</v>
      </c>
      <c r="C73" s="278">
        <f>'[1]параметры для расчета'!$C$74</f>
        <v>1</v>
      </c>
      <c r="D73" s="57" t="s">
        <v>22</v>
      </c>
      <c r="E73" s="146" t="s">
        <v>8</v>
      </c>
      <c r="F73" s="294">
        <f>60*60*C73</f>
        <v>3600</v>
      </c>
      <c r="G73" s="1" t="s">
        <v>21</v>
      </c>
      <c r="U73" s="10"/>
    </row>
    <row r="74" spans="1:44" x14ac:dyDescent="0.35">
      <c r="A74" s="10"/>
      <c r="B74" s="43" t="s">
        <v>26</v>
      </c>
      <c r="C74" s="16">
        <f>'[1]параметры для расчета'!$C$75</f>
        <v>8</v>
      </c>
      <c r="D74" s="169" t="s">
        <v>22</v>
      </c>
      <c r="E74" s="170" t="s">
        <v>8</v>
      </c>
      <c r="F74" s="294">
        <f>60*60*C74</f>
        <v>28800</v>
      </c>
      <c r="G74" s="171" t="s">
        <v>21</v>
      </c>
      <c r="U74" s="10"/>
    </row>
    <row r="75" spans="1:44" x14ac:dyDescent="0.35">
      <c r="B75" s="12" t="s">
        <v>24</v>
      </c>
      <c r="C75" s="16">
        <f>'[1]параметры для расчета'!$C$76</f>
        <v>8</v>
      </c>
      <c r="D75" s="169" t="s">
        <v>22</v>
      </c>
      <c r="E75" s="170" t="s">
        <v>8</v>
      </c>
      <c r="F75" s="294">
        <f>60*60*C75</f>
        <v>28800</v>
      </c>
      <c r="G75" s="171" t="s">
        <v>21</v>
      </c>
      <c r="U75" s="10"/>
      <c r="AR75" s="320"/>
    </row>
    <row r="76" spans="1:44" x14ac:dyDescent="0.35">
      <c r="G76" s="10"/>
      <c r="H76" s="115"/>
      <c r="U76" s="10"/>
    </row>
    <row r="77" spans="1:44" ht="15.75" customHeight="1" x14ac:dyDescent="0.35">
      <c r="B77" s="52" t="s">
        <v>64</v>
      </c>
      <c r="C77" s="316">
        <f>'[1]параметры для расчета'!$C$78</f>
        <v>0.01</v>
      </c>
      <c r="D77" s="115" t="s">
        <v>4</v>
      </c>
      <c r="G77" s="10"/>
      <c r="J77" s="109" t="s">
        <v>60</v>
      </c>
      <c r="U77" s="10"/>
    </row>
    <row r="78" spans="1:44" x14ac:dyDescent="0.35">
      <c r="B78" s="52" t="s">
        <v>27</v>
      </c>
      <c r="C78" s="317">
        <f>'[1]параметры для расчета'!$C$79</f>
        <v>1.8480000000000001</v>
      </c>
      <c r="D78" s="48" t="s">
        <v>33</v>
      </c>
      <c r="J78" s="109" t="s">
        <v>60</v>
      </c>
      <c r="U78" s="10"/>
    </row>
    <row r="79" spans="1:44" x14ac:dyDescent="0.35">
      <c r="S79" s="342"/>
      <c r="T79" s="342"/>
      <c r="U79" s="10"/>
    </row>
    <row r="80" spans="1:44" x14ac:dyDescent="0.35">
      <c r="A80" s="10"/>
      <c r="S80" s="329"/>
      <c r="T80" s="329"/>
    </row>
    <row r="81" spans="10:20" x14ac:dyDescent="0.35">
      <c r="S81" s="329"/>
      <c r="T81" s="329"/>
    </row>
    <row r="83" spans="10:20" x14ac:dyDescent="0.35">
      <c r="S83" s="328"/>
      <c r="T83" s="328"/>
    </row>
    <row r="84" spans="10:20" x14ac:dyDescent="0.35">
      <c r="J84" s="98"/>
      <c r="S84" s="329"/>
      <c r="T84" s="329"/>
    </row>
    <row r="85" spans="10:20" x14ac:dyDescent="0.35">
      <c r="S85" s="329"/>
      <c r="T85" s="329"/>
    </row>
    <row r="87" spans="10:20" x14ac:dyDescent="0.35">
      <c r="S87" s="328"/>
      <c r="T87" s="328"/>
    </row>
    <row r="88" spans="10:20" x14ac:dyDescent="0.35">
      <c r="J88" s="46"/>
      <c r="K88" s="324"/>
      <c r="S88" s="329"/>
      <c r="T88" s="329"/>
    </row>
    <row r="89" spans="10:20" x14ac:dyDescent="0.35">
      <c r="K89" s="107"/>
      <c r="S89" s="329"/>
      <c r="T89" s="329"/>
    </row>
    <row r="90" spans="10:20" x14ac:dyDescent="0.35">
      <c r="K90" s="107"/>
      <c r="M90" s="33"/>
      <c r="N90" s="33"/>
      <c r="O90" s="33"/>
      <c r="Q90" s="33"/>
      <c r="R90" s="33"/>
    </row>
    <row r="106" spans="20:20" x14ac:dyDescent="0.35">
      <c r="T106" s="33"/>
    </row>
    <row r="107" spans="20:20" x14ac:dyDescent="0.35">
      <c r="T107" s="33"/>
    </row>
    <row r="110" spans="20:20" x14ac:dyDescent="0.35">
      <c r="T110" s="322"/>
    </row>
    <row r="111" spans="20:20" x14ac:dyDescent="0.35">
      <c r="T111" s="33"/>
    </row>
    <row r="112" spans="20:20" x14ac:dyDescent="0.35">
      <c r="T112" s="33"/>
    </row>
    <row r="113" spans="20:20" x14ac:dyDescent="0.35">
      <c r="T113" s="321"/>
    </row>
    <row r="115" spans="20:20" x14ac:dyDescent="0.35">
      <c r="T115" s="80"/>
    </row>
    <row r="116" spans="20:20" x14ac:dyDescent="0.35">
      <c r="T116" s="1"/>
    </row>
    <row r="117" spans="20:20" x14ac:dyDescent="0.35">
      <c r="T117" s="1"/>
    </row>
    <row r="118" spans="20:20" x14ac:dyDescent="0.35">
      <c r="T118" s="1"/>
    </row>
    <row r="121" spans="20:20" x14ac:dyDescent="0.35">
      <c r="T121" s="98"/>
    </row>
    <row r="122" spans="20:20" x14ac:dyDescent="0.35">
      <c r="T122" s="147"/>
    </row>
    <row r="123" spans="20:20" x14ac:dyDescent="0.35">
      <c r="T123" s="98"/>
    </row>
    <row r="124" spans="20:20" x14ac:dyDescent="0.35">
      <c r="T124" s="17"/>
    </row>
  </sheetData>
  <pageMargins left="0.25" right="0.25" top="0.75" bottom="0.75" header="0.3" footer="0.3"/>
  <pageSetup paperSize="9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2"/>
  <sheetViews>
    <sheetView tabSelected="1" zoomScale="85" zoomScaleNormal="85" workbookViewId="0">
      <selection activeCell="F12" sqref="F12"/>
    </sheetView>
  </sheetViews>
  <sheetFormatPr defaultColWidth="9.1796875" defaultRowHeight="15.5" x14ac:dyDescent="0.35"/>
  <cols>
    <col min="1" max="1" width="11.54296875" style="10" customWidth="1"/>
    <col min="2" max="2" width="11.26953125" style="10" customWidth="1"/>
    <col min="3" max="4" width="11" style="10" customWidth="1"/>
    <col min="5" max="5" width="12" style="10" customWidth="1"/>
    <col min="6" max="6" width="14.453125" style="10" customWidth="1"/>
    <col min="7" max="7" width="10.26953125" style="10" bestFit="1" customWidth="1"/>
    <col min="8" max="8" width="10.54296875" style="10" customWidth="1"/>
    <col min="9" max="9" width="11.54296875" style="10" customWidth="1"/>
    <col min="10" max="10" width="11.1796875" style="10" customWidth="1"/>
    <col min="11" max="11" width="10.81640625" style="10" customWidth="1"/>
    <col min="12" max="12" width="10.26953125" style="10" customWidth="1"/>
    <col min="13" max="13" width="10.54296875" style="10" customWidth="1"/>
    <col min="14" max="14" width="10.7265625" style="10" bestFit="1" customWidth="1"/>
    <col min="15" max="15" width="10.453125" style="10" customWidth="1"/>
    <col min="16" max="16" width="12.26953125" style="10" customWidth="1"/>
    <col min="17" max="17" width="10.26953125" style="10" bestFit="1" customWidth="1"/>
    <col min="18" max="18" width="12.54296875" style="10" customWidth="1"/>
    <col min="19" max="19" width="11" style="10" customWidth="1"/>
    <col min="20" max="20" width="10.81640625" style="10" customWidth="1"/>
    <col min="21" max="21" width="11.81640625" style="10" customWidth="1"/>
    <col min="22" max="22" width="9.1796875" style="10"/>
    <col min="23" max="23" width="11" style="10" customWidth="1"/>
    <col min="24" max="24" width="12" style="10" customWidth="1"/>
    <col min="25" max="25" width="12.7265625" style="10" customWidth="1"/>
    <col min="26" max="26" width="12.1796875" style="10" customWidth="1"/>
    <col min="27" max="27" width="13" style="10" customWidth="1"/>
    <col min="28" max="28" width="13.7265625" style="10" customWidth="1"/>
    <col min="29" max="29" width="12.1796875" style="10" customWidth="1"/>
    <col min="30" max="30" width="12.453125" style="10" customWidth="1"/>
    <col min="31" max="31" width="10.7265625" style="10" customWidth="1"/>
    <col min="32" max="32" width="10.453125" style="10" customWidth="1"/>
    <col min="33" max="33" width="9" style="10" customWidth="1"/>
    <col min="34" max="34" width="11.54296875" style="10" customWidth="1"/>
    <col min="35" max="35" width="9.1796875" style="10"/>
    <col min="36" max="36" width="12" style="10" customWidth="1"/>
    <col min="37" max="42" width="9.1796875" style="10"/>
    <col min="43" max="43" width="11.1796875" style="10" customWidth="1"/>
    <col min="44" max="45" width="11.453125" style="10" customWidth="1"/>
    <col min="46" max="46" width="11.54296875" style="10" customWidth="1"/>
    <col min="47" max="47" width="11.453125" style="10" customWidth="1"/>
    <col min="48" max="48" width="11.81640625" style="10" customWidth="1"/>
    <col min="49" max="49" width="12" style="10" customWidth="1"/>
    <col min="50" max="51" width="11.7265625" style="10" customWidth="1"/>
    <col min="52" max="52" width="13" style="10" customWidth="1"/>
    <col min="53" max="53" width="11.7265625" style="10" customWidth="1"/>
    <col min="54" max="54" width="12.1796875" style="10" customWidth="1"/>
    <col min="55" max="56" width="9.1796875" style="10"/>
    <col min="57" max="57" width="12.1796875" style="10" customWidth="1"/>
    <col min="58" max="58" width="12.453125" style="10" customWidth="1"/>
    <col min="59" max="59" width="12.1796875" style="10" customWidth="1"/>
    <col min="60" max="64" width="9.1796875" style="10"/>
    <col min="65" max="65" width="10.7265625" style="10" customWidth="1"/>
    <col min="66" max="16384" width="9.1796875" style="10"/>
  </cols>
  <sheetData>
    <row r="1" spans="1:31" x14ac:dyDescent="0.35">
      <c r="F1" s="49" t="s">
        <v>201</v>
      </c>
      <c r="W1" s="22"/>
      <c r="X1" s="22"/>
      <c r="Y1" s="22"/>
      <c r="Z1" s="22"/>
      <c r="AA1" s="7" t="s">
        <v>38</v>
      </c>
      <c r="AB1" s="192" t="s">
        <v>148</v>
      </c>
      <c r="AC1" s="150"/>
      <c r="AD1" s="10" t="s">
        <v>177</v>
      </c>
      <c r="AE1" s="472" t="s">
        <v>147</v>
      </c>
    </row>
    <row r="2" spans="1:31" x14ac:dyDescent="0.35">
      <c r="C2" s="343" t="s">
        <v>168</v>
      </c>
      <c r="W2" s="28" t="s">
        <v>80</v>
      </c>
      <c r="X2" s="28" t="s">
        <v>303</v>
      </c>
      <c r="Y2" s="28" t="s">
        <v>149</v>
      </c>
      <c r="Z2" s="193" t="s">
        <v>133</v>
      </c>
      <c r="AA2" s="7" t="s">
        <v>81</v>
      </c>
      <c r="AB2" s="160" t="s">
        <v>79</v>
      </c>
      <c r="AC2" s="56" t="s">
        <v>82</v>
      </c>
      <c r="AD2" s="151" t="s">
        <v>83</v>
      </c>
      <c r="AE2" s="472"/>
    </row>
    <row r="3" spans="1:31" x14ac:dyDescent="0.35">
      <c r="C3" s="343" t="s">
        <v>185</v>
      </c>
      <c r="D3" s="58"/>
      <c r="E3" s="343"/>
      <c r="F3" s="158">
        <f>'[2]баланс дейтерий'!B56*'параметры для расчета'!F31</f>
        <v>4.6376811594202896E+22</v>
      </c>
      <c r="G3" s="168" t="s">
        <v>51</v>
      </c>
      <c r="I3" s="10" t="s">
        <v>167</v>
      </c>
      <c r="J3" s="50"/>
      <c r="L3" s="121"/>
      <c r="M3" s="14"/>
      <c r="N3" s="14"/>
      <c r="O3" s="14"/>
      <c r="P3" s="9"/>
      <c r="Q3" s="134" t="s">
        <v>159</v>
      </c>
      <c r="W3" s="22"/>
      <c r="X3" s="22"/>
      <c r="Y3" s="22"/>
      <c r="Z3" s="193" t="s">
        <v>23</v>
      </c>
      <c r="AA3" s="7" t="s">
        <v>84</v>
      </c>
      <c r="AB3" s="160" t="s">
        <v>85</v>
      </c>
      <c r="AC3" s="56" t="s">
        <v>23</v>
      </c>
      <c r="AD3" s="150" t="s">
        <v>23</v>
      </c>
      <c r="AE3" s="472"/>
    </row>
    <row r="4" spans="1:31" x14ac:dyDescent="0.35">
      <c r="E4" s="343"/>
      <c r="W4" s="149">
        <v>1</v>
      </c>
      <c r="X4" s="238">
        <f>W4/(60*60*365)</f>
        <v>7.6103500761035006E-7</v>
      </c>
      <c r="Y4" s="162">
        <f>(($I$23/($F$31*(1-$F$30%)))*($F$10+$F$11)*(1-EXP(-$F$31*(1-$F$30%)*W4/(2*$I$23)))+$I$23/($F$36*300)*$F$24*EXP(-$F$38*$F$40*(1-$F$30%)*W4/(2*$I$23)))/$I$22</f>
        <v>1.67025295345069E-6</v>
      </c>
      <c r="Z4" s="156">
        <f>($I$23/($F$31*(1-$F$30%)))*($F$10+$F$11)*(1-EXP(-$F$31*(1-$F$30%)*W4/(2*$I$23)))+$I$23/($F$36*300)*$F$24*EXP(-$F$38*$F$40*(1-$F$30%)*W4/(2*$I$23))</f>
        <v>7.1109923369109242E+19</v>
      </c>
      <c r="AA4" s="158">
        <f>AD4-AC4</f>
        <v>9.5264030375938582E+20</v>
      </c>
      <c r="AB4" s="158">
        <f>($AC$21-AC4)</f>
        <v>1.0962441186600588E+21</v>
      </c>
      <c r="AC4" s="260">
        <f>($F$10+$F$11+$F$39*$F$40/($F$36*300))*((1+$F$30%)/(2*($F$30%-1))*EXP(-$F$38*$F$40*(1-$F$30%)/(2*$I$23)*W4)+1)-$F$39*$F$40/($F$36*300)+$F$24*$F$31*$F$30/2*EXP(-$F$38*$F$40*(1-$F$30%)*W4/(2*$I$23))*1/($F$36*300)</f>
        <v>-9.5402189643783655E+20</v>
      </c>
      <c r="AD4" s="154">
        <f t="shared" ref="AD4:AD20" si="0">$F$40*($F$38*AE4-$F$39)/(1/2*1.38E-23*300)</f>
        <v>-1.3815926784507254E+18</v>
      </c>
      <c r="AE4" s="153">
        <f t="shared" ref="AE4:AE20" si="1">($F$36*300*($F$10+$F$11)/($F$38*$F$40*(1-$F$30%))+$F$39/$F$38)*(1-EXP(-$F$38*$F$40*(1-$F$30%)*W4/(2*$I$23)))+$F$24*EXP(-$F$38*$F$40*(1-$F$30%)*W4/(2*$I$23))</f>
        <v>3.4595949424824141E-8</v>
      </c>
    </row>
    <row r="5" spans="1:31" x14ac:dyDescent="0.35">
      <c r="B5" s="38"/>
      <c r="C5" s="91">
        <f>N37/SQRT(2*PI()*F36*300*0.004/6.022E+23)</f>
        <v>1.4960435150556466E+20</v>
      </c>
      <c r="D5" s="10" t="s">
        <v>237</v>
      </c>
      <c r="E5" s="56"/>
      <c r="F5" s="232">
        <f>-'[2]баланс дейтерий'!B38</f>
        <v>-4.1666666666666669E+20</v>
      </c>
      <c r="G5" s="168" t="s">
        <v>51</v>
      </c>
      <c r="H5" s="40"/>
      <c r="I5" s="47" t="s">
        <v>123</v>
      </c>
      <c r="J5" s="47"/>
      <c r="K5" s="47"/>
      <c r="L5" s="47"/>
      <c r="M5" s="47"/>
      <c r="N5" s="47"/>
      <c r="O5" s="47"/>
      <c r="P5" s="231"/>
      <c r="Q5" s="14"/>
      <c r="W5" s="149">
        <v>1000</v>
      </c>
      <c r="X5" s="238">
        <f t="shared" ref="X5:X20" si="2">W5/(60*60*365)</f>
        <v>7.6103500761035003E-4</v>
      </c>
      <c r="Y5" s="162">
        <f t="shared" ref="Y5:Y20" si="3">(($I$23/($F$31*(1-$F$30%)))*($F$10+$F$11)*(1-EXP(-$F$31*(1-$F$30%)*W5/(2*$I$23)))+$I$23/($F$36*300)*$F$24*EXP(-$F$38*$F$40*(1-$F$30%)*W5/(2*$I$23)))/$I$22</f>
        <v>1.6426905473422456E-3</v>
      </c>
      <c r="Z5" s="156">
        <f t="shared" ref="Z5:Z20" si="4">($I$23/($F$31*(1-$F$30%)))*($F$10+$F$11)*(1-EXP(-$F$31*(1-$F$30%)*W5/(2*$I$23)))+$I$23/($F$36*300)*$F$24*EXP(-$F$38*$F$40*(1-$F$30%)*W5/(2*$I$23))</f>
        <v>6.9936472017210391E+22</v>
      </c>
      <c r="AA5" s="158">
        <f t="shared" ref="AA5:AA20" si="5">AD5-AC5</f>
        <v>9.9296907732775181E+20</v>
      </c>
      <c r="AB5" s="158">
        <f t="shared" ref="AB5:AB20" si="6">($AC$21-AC5)</f>
        <v>1.0602637398068675E+21</v>
      </c>
      <c r="AC5" s="260">
        <f t="shared" ref="AC5:AC20" si="7">($F$10+$F$11+$F$39*$F$40/($F$36*300))*((1+$F$30%)/(2*($F$30%-1))*EXP(-$F$38*$F$40*(1-$F$30%)/(2*$I$23)*W5)+1)-$F$39*$F$40/($F$36*300)+$F$24*$F$31*$F$30/2*EXP(-$F$38*$F$40*(1-$F$30%)*W5/(2*$I$23))*1/($F$36*300)</f>
        <v>-9.1804151758464523E+20</v>
      </c>
      <c r="AD5" s="154">
        <f t="shared" si="0"/>
        <v>7.4927559743106515E+19</v>
      </c>
      <c r="AE5" s="153">
        <f t="shared" si="1"/>
        <v>3.4025049307099934E-5</v>
      </c>
    </row>
    <row r="6" spans="1:31" x14ac:dyDescent="0.35">
      <c r="B6" s="38"/>
      <c r="C6" s="187">
        <f>C5*'параметры для расчета'!C35*'параметры для расчета'!C36</f>
        <v>4.7873392481780695E+19</v>
      </c>
      <c r="D6" s="10" t="s">
        <v>165</v>
      </c>
      <c r="E6" s="127"/>
      <c r="F6" s="338">
        <f>-C6*'параметры для расчета'!C41%*0</f>
        <v>0</v>
      </c>
      <c r="G6" s="168" t="s">
        <v>51</v>
      </c>
      <c r="H6" s="261" t="s">
        <v>15</v>
      </c>
      <c r="I6" s="10" t="s">
        <v>300</v>
      </c>
      <c r="O6" s="259">
        <f>'параметры для расчета'!C41%</f>
        <v>0.2</v>
      </c>
      <c r="P6" s="134" t="s">
        <v>44</v>
      </c>
      <c r="Q6" s="249"/>
      <c r="R6" s="134" t="s">
        <v>74</v>
      </c>
      <c r="W6" s="149">
        <v>100000</v>
      </c>
      <c r="X6" s="105">
        <f t="shared" si="2"/>
        <v>7.6103500761035003E-2</v>
      </c>
      <c r="Y6" s="162">
        <f t="shared" si="3"/>
        <v>4.8229147086799061E-2</v>
      </c>
      <c r="Z6" s="156">
        <f t="shared" si="4"/>
        <v>2.053324286249214E+24</v>
      </c>
      <c r="AA6" s="158">
        <f t="shared" si="5"/>
        <v>2.1378511141657161E+21</v>
      </c>
      <c r="AB6" s="158">
        <f t="shared" si="6"/>
        <v>3.8827038841696764E+19</v>
      </c>
      <c r="AC6" s="260">
        <f t="shared" si="7"/>
        <v>1.0339518338052548E+20</v>
      </c>
      <c r="AD6" s="154">
        <f t="shared" si="0"/>
        <v>2.2412462975462416E+21</v>
      </c>
      <c r="AE6" s="153">
        <f t="shared" si="1"/>
        <v>9.9897032360886915E-4</v>
      </c>
    </row>
    <row r="7" spans="1:31" x14ac:dyDescent="0.35">
      <c r="B7" s="180"/>
      <c r="C7" s="343"/>
      <c r="E7" s="56"/>
      <c r="F7" s="232">
        <f>'[2]баланс дейтерий'!B58*'параметры для расчета'!F31</f>
        <v>1.4222222222222225E+20</v>
      </c>
      <c r="G7" s="168" t="s">
        <v>51</v>
      </c>
      <c r="H7" s="261"/>
      <c r="I7" s="10" t="s">
        <v>129</v>
      </c>
      <c r="P7" s="134"/>
      <c r="Q7" s="22"/>
      <c r="R7" s="134" t="s">
        <v>75</v>
      </c>
      <c r="W7" s="149">
        <v>1000000</v>
      </c>
      <c r="X7" s="105">
        <f t="shared" si="2"/>
        <v>0.76103500761035003</v>
      </c>
      <c r="Y7" s="298">
        <f t="shared" si="3"/>
        <v>4.9999999999999829E-2</v>
      </c>
      <c r="Z7" s="156">
        <f t="shared" si="4"/>
        <v>2.1287171868847212E+24</v>
      </c>
      <c r="AA7" s="158">
        <f t="shared" si="5"/>
        <v>2.1813705797101407E+21</v>
      </c>
      <c r="AB7" s="158">
        <f t="shared" si="6"/>
        <v>3407872</v>
      </c>
      <c r="AC7" s="260">
        <f t="shared" si="7"/>
        <v>1.4222222222221884E+20</v>
      </c>
      <c r="AD7" s="154">
        <f t="shared" si="0"/>
        <v>2.3235928019323595E+21</v>
      </c>
      <c r="AE7" s="153">
        <f t="shared" si="1"/>
        <v>1.0356499999999965E-3</v>
      </c>
    </row>
    <row r="8" spans="1:31" x14ac:dyDescent="0.35">
      <c r="A8" s="17" t="s">
        <v>29</v>
      </c>
      <c r="B8" s="117">
        <f>F8-E8</f>
        <v>2.7444444444444446E+20</v>
      </c>
      <c r="C8" s="343"/>
      <c r="D8" s="180" t="s">
        <v>158</v>
      </c>
      <c r="E8" s="38">
        <f>-'[2]баланс дейтерий'!B283</f>
        <v>0</v>
      </c>
      <c r="F8" s="339">
        <f>-F5-F6-F7</f>
        <v>2.7444444444444446E+20</v>
      </c>
      <c r="G8" s="168" t="s">
        <v>51</v>
      </c>
      <c r="I8" s="10" t="s">
        <v>124</v>
      </c>
      <c r="O8" s="9"/>
      <c r="Q8" s="22"/>
      <c r="W8" s="405">
        <v>5000000</v>
      </c>
      <c r="X8" s="406">
        <f t="shared" si="2"/>
        <v>3.8051750380517504</v>
      </c>
      <c r="Y8" s="298">
        <f t="shared" si="3"/>
        <v>4.9999999999999989E-2</v>
      </c>
      <c r="Z8" s="156">
        <f t="shared" si="4"/>
        <v>2.1287171868847279E+24</v>
      </c>
      <c r="AA8" s="158">
        <f t="shared" si="5"/>
        <v>2.1813705797101444E+21</v>
      </c>
      <c r="AB8" s="158">
        <f t="shared" si="6"/>
        <v>0</v>
      </c>
      <c r="AC8" s="260">
        <f t="shared" si="7"/>
        <v>1.4222222222222225E+20</v>
      </c>
      <c r="AD8" s="154">
        <f t="shared" si="0"/>
        <v>2.3235928019323666E+21</v>
      </c>
      <c r="AE8" s="153">
        <f t="shared" si="1"/>
        <v>1.0356499999999997E-3</v>
      </c>
    </row>
    <row r="9" spans="1:31" x14ac:dyDescent="0.35">
      <c r="B9" s="38"/>
      <c r="E9" s="19"/>
      <c r="F9" s="18"/>
      <c r="Q9" s="22"/>
      <c r="W9" s="405">
        <v>10000000</v>
      </c>
      <c r="X9" s="406">
        <f t="shared" si="2"/>
        <v>7.6103500761035008</v>
      </c>
      <c r="Y9" s="298">
        <f>(($I$23/($F$31*(1-$F$30%)))*($F$10+$F$11)*(1-EXP(-$F$31*(1-$F$30%)*W9/(2*$I$23)))+$I$23/($F$36*300)*$F$24*EXP(-$F$38*$F$40*(1-$F$30%)*W9/(2*$I$23)))/$I$22</f>
        <v>4.9999999999999989E-2</v>
      </c>
      <c r="Z9" s="156">
        <f>($I$23/($F$31*(1-$F$30%)))*($F$10+$F$11)*(1-EXP(-$F$31*(1-$F$30%)*W9/(2*$I$23)))+$I$23/($F$36*300)*$F$24*EXP(-$F$38*$F$40*(1-$F$30%)*W9/(2*$I$23))</f>
        <v>2.1287171868847279E+24</v>
      </c>
      <c r="AA9" s="158">
        <f t="shared" si="5"/>
        <v>2.1813705797101444E+21</v>
      </c>
      <c r="AB9" s="158">
        <f t="shared" si="6"/>
        <v>0</v>
      </c>
      <c r="AC9" s="260">
        <f>($F$10+$F$11+$F$39*$F$40/($F$36*300))*((1+$F$30%)/(2*($F$30%-1))*EXP(-$F$38*$F$40*(1-$F$30%)/(2*$I$23)*W9)+1)-$F$39*$F$40/($F$36*300)+$F$24*$F$31*$F$30/2*EXP(-$F$38*$F$40*(1-$F$30%)*W9/(2*$I$23))*1/($F$36*300)</f>
        <v>1.4222222222222225E+20</v>
      </c>
      <c r="AD9" s="154">
        <f t="shared" si="0"/>
        <v>2.3235928019323666E+21</v>
      </c>
      <c r="AE9" s="153">
        <f>($F$36*300*($F$10+$F$11)/($F$38*$F$40*(1-$F$30%))+$F$39/$F$38)*(1-EXP(-$F$38*$F$40*(1-$F$30%)*W9/(2*$I$23)))+$F$24*EXP(-$F$38*$F$40*(1-$F$30%)*W9/(2*$I$23))</f>
        <v>1.0356499999999997E-3</v>
      </c>
    </row>
    <row r="10" spans="1:31" x14ac:dyDescent="0.35">
      <c r="B10" s="38"/>
      <c r="C10" s="91">
        <f>N36/SQRT(2*PI()*F36*300*0.006/6.022E+23)</f>
        <v>6.4290232366422784E+18</v>
      </c>
      <c r="D10" s="10" t="s">
        <v>237</v>
      </c>
      <c r="E10" s="448"/>
      <c r="F10" s="137">
        <f>-C11*'параметры для расчета'!C41%*0</f>
        <v>0</v>
      </c>
      <c r="G10" s="168" t="s">
        <v>51</v>
      </c>
      <c r="I10" s="10" t="s">
        <v>301</v>
      </c>
      <c r="O10" s="259">
        <f>'параметры для расчета'!C41%</f>
        <v>0.2</v>
      </c>
      <c r="P10" s="134" t="s">
        <v>44</v>
      </c>
      <c r="Q10" s="249"/>
      <c r="W10" s="405">
        <v>50000000</v>
      </c>
      <c r="X10" s="406">
        <f t="shared" si="2"/>
        <v>38.051750380517504</v>
      </c>
      <c r="Y10" s="152">
        <f t="shared" si="3"/>
        <v>4.9999999999999989E-2</v>
      </c>
      <c r="Z10" s="156">
        <f t="shared" si="4"/>
        <v>2.1287171868847279E+24</v>
      </c>
      <c r="AA10" s="158">
        <f t="shared" si="5"/>
        <v>2.1813705797101444E+21</v>
      </c>
      <c r="AB10" s="158">
        <f t="shared" si="6"/>
        <v>0</v>
      </c>
      <c r="AC10" s="260">
        <f t="shared" si="7"/>
        <v>1.4222222222222225E+20</v>
      </c>
      <c r="AD10" s="154">
        <f t="shared" si="0"/>
        <v>2.3235928019323666E+21</v>
      </c>
      <c r="AE10" s="153">
        <f t="shared" si="1"/>
        <v>1.0356499999999997E-3</v>
      </c>
    </row>
    <row r="11" spans="1:31" x14ac:dyDescent="0.35">
      <c r="B11" s="38"/>
      <c r="C11" s="187">
        <f>C10*'параметры для расчета'!C35*'параметры для расчета'!C36</f>
        <v>2.0572874357255291E+18</v>
      </c>
      <c r="D11" s="10" t="s">
        <v>165</v>
      </c>
      <c r="E11" s="180">
        <f>F11+F12</f>
        <v>0</v>
      </c>
      <c r="F11" s="194">
        <f>'[2]баланс тритий'!B58*'параметры для расчета'!F31</f>
        <v>1.4222222222222225E+20</v>
      </c>
      <c r="G11" s="168" t="s">
        <v>51</v>
      </c>
      <c r="H11" s="261" t="s">
        <v>16</v>
      </c>
      <c r="I11" s="10" t="s">
        <v>128</v>
      </c>
      <c r="P11" s="9"/>
      <c r="Q11" s="134" t="s">
        <v>159</v>
      </c>
      <c r="W11" s="405">
        <v>70000000</v>
      </c>
      <c r="X11" s="406">
        <f t="shared" si="2"/>
        <v>53.272450532724505</v>
      </c>
      <c r="Y11" s="152">
        <f t="shared" si="3"/>
        <v>4.9999999999999989E-2</v>
      </c>
      <c r="Z11" s="156">
        <f t="shared" si="4"/>
        <v>2.1287171868847279E+24</v>
      </c>
      <c r="AA11" s="158">
        <f t="shared" si="5"/>
        <v>2.1813705797101444E+21</v>
      </c>
      <c r="AB11" s="158">
        <f t="shared" si="6"/>
        <v>0</v>
      </c>
      <c r="AC11" s="260">
        <f t="shared" si="7"/>
        <v>1.4222222222222225E+20</v>
      </c>
      <c r="AD11" s="154">
        <f t="shared" si="0"/>
        <v>2.3235928019323666E+21</v>
      </c>
      <c r="AE11" s="153">
        <f t="shared" si="1"/>
        <v>1.0356499999999997E-3</v>
      </c>
    </row>
    <row r="12" spans="1:31" x14ac:dyDescent="0.35">
      <c r="A12" s="11"/>
      <c r="B12" s="179"/>
      <c r="C12" s="343"/>
      <c r="E12" s="215">
        <f>E11+F10</f>
        <v>0</v>
      </c>
      <c r="F12" s="403">
        <f>-AC20</f>
        <v>-1.4222222222222225E+20</v>
      </c>
      <c r="G12" s="168" t="s">
        <v>51</v>
      </c>
      <c r="H12" s="261"/>
      <c r="I12" s="10" t="s">
        <v>125</v>
      </c>
      <c r="Q12" s="134" t="s">
        <v>160</v>
      </c>
      <c r="W12" s="407">
        <v>90000000</v>
      </c>
      <c r="X12" s="408">
        <f t="shared" si="2"/>
        <v>68.493150684931507</v>
      </c>
      <c r="Y12" s="300">
        <f t="shared" si="3"/>
        <v>4.9999999999999989E-2</v>
      </c>
      <c r="Z12" s="161">
        <f t="shared" si="4"/>
        <v>2.1287171868847279E+24</v>
      </c>
      <c r="AA12" s="159">
        <f t="shared" si="5"/>
        <v>2.1813705797101444E+21</v>
      </c>
      <c r="AB12" s="159">
        <f t="shared" si="6"/>
        <v>0</v>
      </c>
      <c r="AC12" s="260">
        <f t="shared" si="7"/>
        <v>1.4222222222222225E+20</v>
      </c>
      <c r="AD12" s="155">
        <f t="shared" si="0"/>
        <v>2.3235928019323666E+21</v>
      </c>
      <c r="AE12" s="159">
        <f t="shared" si="1"/>
        <v>1.0356499999999997E-3</v>
      </c>
    </row>
    <row r="13" spans="1:31" x14ac:dyDescent="0.35">
      <c r="A13" s="11"/>
      <c r="B13" s="134"/>
      <c r="F13" s="59"/>
      <c r="P13" s="9"/>
      <c r="R13" s="14"/>
      <c r="U13" s="404">
        <v>100000000</v>
      </c>
      <c r="W13" s="405">
        <v>95000000</v>
      </c>
      <c r="X13" s="406">
        <f t="shared" si="2"/>
        <v>72.29832572298325</v>
      </c>
      <c r="Y13" s="152">
        <f t="shared" si="3"/>
        <v>4.9999999999999989E-2</v>
      </c>
      <c r="Z13" s="156">
        <f t="shared" si="4"/>
        <v>2.1287171868847279E+24</v>
      </c>
      <c r="AA13" s="158">
        <f t="shared" si="5"/>
        <v>2.1813705797101444E+21</v>
      </c>
      <c r="AB13" s="158">
        <f t="shared" si="6"/>
        <v>0</v>
      </c>
      <c r="AC13" s="333">
        <f t="shared" si="7"/>
        <v>1.4222222222222225E+20</v>
      </c>
      <c r="AD13" s="154">
        <f t="shared" si="0"/>
        <v>2.3235928019323666E+21</v>
      </c>
      <c r="AE13" s="153">
        <f t="shared" si="1"/>
        <v>1.0356499999999997E-3</v>
      </c>
    </row>
    <row r="14" spans="1:31" x14ac:dyDescent="0.35">
      <c r="A14" s="11"/>
      <c r="B14" s="217"/>
      <c r="C14" s="91"/>
      <c r="E14" s="116"/>
      <c r="F14" s="137">
        <v>-7.8E+16</v>
      </c>
      <c r="G14" s="168" t="s">
        <v>51</v>
      </c>
      <c r="H14" s="18"/>
      <c r="I14" s="10" t="s">
        <v>164</v>
      </c>
      <c r="O14" s="259">
        <f>'параметры для расчета'!C41%</f>
        <v>0.2</v>
      </c>
      <c r="P14" s="134" t="s">
        <v>44</v>
      </c>
      <c r="Q14" s="71" t="s">
        <v>161</v>
      </c>
      <c r="R14" s="14"/>
      <c r="U14" s="404">
        <v>200000000</v>
      </c>
      <c r="W14" s="405">
        <v>110000000</v>
      </c>
      <c r="X14" s="406">
        <f t="shared" si="2"/>
        <v>83.713850837138509</v>
      </c>
      <c r="Y14" s="152">
        <f t="shared" si="3"/>
        <v>4.9999999999999989E-2</v>
      </c>
      <c r="Z14" s="156">
        <f t="shared" si="4"/>
        <v>2.1287171868847279E+24</v>
      </c>
      <c r="AA14" s="158">
        <f t="shared" si="5"/>
        <v>2.1813705797101444E+21</v>
      </c>
      <c r="AB14" s="158">
        <f t="shared" si="6"/>
        <v>0</v>
      </c>
      <c r="AC14" s="333">
        <f t="shared" si="7"/>
        <v>1.4222222222222225E+20</v>
      </c>
      <c r="AD14" s="154">
        <f t="shared" si="0"/>
        <v>2.3235928019323666E+21</v>
      </c>
      <c r="AE14" s="153">
        <f t="shared" si="1"/>
        <v>1.0356499999999997E-3</v>
      </c>
    </row>
    <row r="15" spans="1:31" x14ac:dyDescent="0.35">
      <c r="A15" s="11"/>
      <c r="B15" s="217"/>
      <c r="C15" s="187"/>
      <c r="E15" s="116"/>
      <c r="F15" s="156">
        <f>'[2]баланс протий'!B128*'параметры для расчета'!F31</f>
        <v>1.4222222222222226E+18</v>
      </c>
      <c r="G15" s="168" t="s">
        <v>51</v>
      </c>
      <c r="H15" s="261" t="s">
        <v>14</v>
      </c>
      <c r="I15" s="10" t="s">
        <v>127</v>
      </c>
      <c r="P15" s="9"/>
      <c r="Q15" s="134" t="s">
        <v>159</v>
      </c>
      <c r="U15" s="404">
        <v>300000000</v>
      </c>
      <c r="W15" s="405">
        <v>130000000</v>
      </c>
      <c r="X15" s="406">
        <f t="shared" si="2"/>
        <v>98.93455098934551</v>
      </c>
      <c r="Y15" s="152">
        <f>(($I$23/($F$31*(1-$F$30%)))*($F$10+$F$11)*(1-EXP(-$F$31*(1-$F$30%)*W15/(2*$I$23)))+$I$23/($F$36*300)*$F$24*EXP(-$F$38*$F$40*(1-$F$30%)*W15/(2*$I$23)))/$I$22</f>
        <v>4.9999999999999989E-2</v>
      </c>
      <c r="Z15" s="156">
        <f>($I$23/($F$31*(1-$F$30%)))*($F$10+$F$11)*(1-EXP(-$F$31*(1-$F$30%)*W15/(2*$I$23)))+$I$23/($F$36*300)*$F$24*EXP(-$F$38*$F$40*(1-$F$30%)*W15/(2*$I$23))</f>
        <v>2.1287171868847279E+24</v>
      </c>
      <c r="AA15" s="158">
        <f t="shared" si="5"/>
        <v>2.1813705797101444E+21</v>
      </c>
      <c r="AB15" s="158">
        <f t="shared" si="6"/>
        <v>0</v>
      </c>
      <c r="AC15" s="333">
        <f>($F$10+$F$11+$F$39*$F$40/($F$36*300))*((1+$F$30%)/(2*($F$30%-1))*EXP(-$F$38*$F$40*(1-$F$30%)/(2*$I$23)*W15)+1)-$F$39*$F$40/($F$36*300)+$F$24*$F$31*$F$30/2*EXP(-$F$38*$F$40*(1-$F$30%)*W15/(2*$I$23))*1/($F$36*300)</f>
        <v>1.4222222222222225E+20</v>
      </c>
      <c r="AD15" s="154">
        <f t="shared" si="0"/>
        <v>2.3235928019323666E+21</v>
      </c>
      <c r="AE15" s="153">
        <f>($F$36*300*($F$10+$F$11)/($F$38*$F$40*(1-$F$30%))+$F$39/$F$38)*(1-EXP(-$F$38*$F$40*(1-$F$30%)*W15/(2*$I$23)))+$F$24*EXP(-$F$38*$F$40*(1-$F$30%)*W15/(2*$I$23))</f>
        <v>1.0356499999999997E-3</v>
      </c>
    </row>
    <row r="16" spans="1:31" x14ac:dyDescent="0.35">
      <c r="A16" s="11"/>
      <c r="B16" s="217"/>
      <c r="C16" s="117"/>
      <c r="D16" s="18"/>
      <c r="E16" s="117"/>
      <c r="F16" s="156">
        <f>AC48</f>
        <v>0</v>
      </c>
      <c r="G16" s="168" t="s">
        <v>51</v>
      </c>
      <c r="I16" s="10" t="s">
        <v>126</v>
      </c>
      <c r="P16" s="9"/>
      <c r="Q16" s="134" t="s">
        <v>160</v>
      </c>
      <c r="U16" s="404">
        <v>400000000</v>
      </c>
      <c r="W16" s="405">
        <v>150000000</v>
      </c>
      <c r="X16" s="406">
        <f t="shared" si="2"/>
        <v>114.15525114155251</v>
      </c>
      <c r="Y16" s="152">
        <f t="shared" si="3"/>
        <v>4.9999999999999989E-2</v>
      </c>
      <c r="Z16" s="156">
        <f t="shared" si="4"/>
        <v>2.1287171868847279E+24</v>
      </c>
      <c r="AA16" s="158">
        <f t="shared" si="5"/>
        <v>2.1813705797101444E+21</v>
      </c>
      <c r="AB16" s="158">
        <f t="shared" si="6"/>
        <v>0</v>
      </c>
      <c r="AC16" s="333">
        <f t="shared" si="7"/>
        <v>1.4222222222222225E+20</v>
      </c>
      <c r="AD16" s="154">
        <f t="shared" si="0"/>
        <v>2.3235928019323666E+21</v>
      </c>
      <c r="AE16" s="153">
        <f t="shared" si="1"/>
        <v>1.0356499999999997E-3</v>
      </c>
    </row>
    <row r="17" spans="1:46" x14ac:dyDescent="0.35">
      <c r="A17" s="11"/>
      <c r="E17" s="117"/>
      <c r="U17" s="404">
        <v>500000000</v>
      </c>
      <c r="W17" s="405">
        <v>170000000</v>
      </c>
      <c r="X17" s="409">
        <f t="shared" si="2"/>
        <v>129.3759512937595</v>
      </c>
      <c r="Y17" s="410">
        <f t="shared" si="3"/>
        <v>4.9999999999999989E-2</v>
      </c>
      <c r="Z17" s="156">
        <f t="shared" si="4"/>
        <v>2.1287171868847279E+24</v>
      </c>
      <c r="AA17" s="158">
        <f t="shared" si="5"/>
        <v>2.1813705797101444E+21</v>
      </c>
      <c r="AB17" s="158">
        <f t="shared" si="6"/>
        <v>0</v>
      </c>
      <c r="AC17" s="333">
        <f t="shared" si="7"/>
        <v>1.4222222222222225E+20</v>
      </c>
      <c r="AD17" s="154">
        <f t="shared" si="0"/>
        <v>2.3235928019323666E+21</v>
      </c>
      <c r="AE17" s="158">
        <f t="shared" si="1"/>
        <v>1.0356499999999997E-3</v>
      </c>
    </row>
    <row r="18" spans="1:46" x14ac:dyDescent="0.35">
      <c r="E18" s="86" t="s">
        <v>137</v>
      </c>
      <c r="F18" s="209">
        <v>5</v>
      </c>
      <c r="G18" s="10" t="s">
        <v>13</v>
      </c>
      <c r="H18" s="87" t="s">
        <v>76</v>
      </c>
      <c r="U18" s="404">
        <v>600000000</v>
      </c>
      <c r="W18" s="405">
        <v>190000000</v>
      </c>
      <c r="X18" s="406">
        <f t="shared" si="2"/>
        <v>144.5966514459665</v>
      </c>
      <c r="Y18" s="152">
        <f t="shared" si="3"/>
        <v>4.9999999999999989E-2</v>
      </c>
      <c r="Z18" s="156">
        <f t="shared" si="4"/>
        <v>2.1287171868847279E+24</v>
      </c>
      <c r="AA18" s="158">
        <f t="shared" si="5"/>
        <v>2.1813705797101444E+21</v>
      </c>
      <c r="AB18" s="158">
        <f t="shared" si="6"/>
        <v>0</v>
      </c>
      <c r="AC18" s="333">
        <f t="shared" si="7"/>
        <v>1.4222222222222225E+20</v>
      </c>
      <c r="AD18" s="154">
        <f t="shared" si="0"/>
        <v>2.3235928019323666E+21</v>
      </c>
      <c r="AE18" s="153">
        <f t="shared" si="1"/>
        <v>1.0356499999999997E-3</v>
      </c>
    </row>
    <row r="19" spans="1:46" x14ac:dyDescent="0.35">
      <c r="I19" s="144"/>
      <c r="J19" s="17"/>
      <c r="K19" s="144"/>
      <c r="L19" s="144"/>
      <c r="N19" s="144"/>
      <c r="O19" s="144"/>
      <c r="P19" s="144"/>
      <c r="Q19" s="251"/>
      <c r="S19" s="144"/>
      <c r="U19" s="404">
        <v>700000000</v>
      </c>
      <c r="W19" s="405">
        <v>300000000</v>
      </c>
      <c r="X19" s="406">
        <f t="shared" si="2"/>
        <v>228.31050228310502</v>
      </c>
      <c r="Y19" s="152">
        <f t="shared" si="3"/>
        <v>4.9999999999999989E-2</v>
      </c>
      <c r="Z19" s="156">
        <f t="shared" si="4"/>
        <v>2.1287171868847279E+24</v>
      </c>
      <c r="AA19" s="158">
        <f t="shared" si="5"/>
        <v>2.1813705797101444E+21</v>
      </c>
      <c r="AB19" s="158">
        <f t="shared" si="6"/>
        <v>0</v>
      </c>
      <c r="AC19" s="157">
        <f t="shared" si="7"/>
        <v>1.4222222222222225E+20</v>
      </c>
      <c r="AD19" s="154">
        <f t="shared" si="0"/>
        <v>2.3235928019323666E+21</v>
      </c>
      <c r="AE19" s="153">
        <f t="shared" si="1"/>
        <v>1.0356499999999997E-3</v>
      </c>
    </row>
    <row r="20" spans="1:46" x14ac:dyDescent="0.35">
      <c r="D20" s="14"/>
      <c r="E20" s="135" t="s">
        <v>87</v>
      </c>
      <c r="F20" s="175">
        <f>'[3]поэлементый расчет систем'!Q91</f>
        <v>136.60692781390321</v>
      </c>
      <c r="G20" s="15" t="s">
        <v>2</v>
      </c>
      <c r="H20" s="146" t="s">
        <v>20</v>
      </c>
      <c r="I20" s="90">
        <f>F20*(6.02*10^23)/2</f>
        <v>4.1118685271984859E+25</v>
      </c>
      <c r="J20" s="10" t="s">
        <v>23</v>
      </c>
      <c r="N20" s="102"/>
      <c r="O20" s="256"/>
      <c r="P20" s="254"/>
      <c r="Q20" s="255"/>
      <c r="R20" s="207"/>
      <c r="S20" s="253"/>
      <c r="U20" s="404">
        <v>800000000</v>
      </c>
      <c r="V20" s="176"/>
      <c r="W20" s="405">
        <v>500000000</v>
      </c>
      <c r="X20" s="406">
        <f t="shared" si="2"/>
        <v>380.51750380517501</v>
      </c>
      <c r="Y20" s="152">
        <f t="shared" si="3"/>
        <v>4.9999999999999989E-2</v>
      </c>
      <c r="Z20" s="156">
        <f t="shared" si="4"/>
        <v>2.1287171868847279E+24</v>
      </c>
      <c r="AA20" s="158">
        <f t="shared" si="5"/>
        <v>2.1813705797101444E+21</v>
      </c>
      <c r="AB20" s="158">
        <f t="shared" si="6"/>
        <v>0</v>
      </c>
      <c r="AC20" s="157">
        <f t="shared" si="7"/>
        <v>1.4222222222222225E+20</v>
      </c>
      <c r="AD20" s="154">
        <f t="shared" si="0"/>
        <v>2.3235928019323666E+21</v>
      </c>
      <c r="AE20" s="153">
        <f t="shared" si="1"/>
        <v>1.0356499999999997E-3</v>
      </c>
    </row>
    <row r="21" spans="1:46" x14ac:dyDescent="0.35">
      <c r="D21" s="14"/>
      <c r="E21" s="104" t="s">
        <v>86</v>
      </c>
      <c r="F21" s="175">
        <f>'[3]поэлементый расчет систем'!L91</f>
        <v>7.2541119553640074</v>
      </c>
      <c r="G21" s="15" t="s">
        <v>2</v>
      </c>
      <c r="H21" s="146" t="s">
        <v>20</v>
      </c>
      <c r="I21" s="91">
        <f>F21*(6.02*10^23)/3</f>
        <v>1.4556584657097107E+24</v>
      </c>
      <c r="J21" s="10" t="s">
        <v>23</v>
      </c>
      <c r="K21" s="10" t="s">
        <v>45</v>
      </c>
      <c r="L21" s="224">
        <f>I21/(I20+I21)</f>
        <v>3.4190978366647057E-2</v>
      </c>
      <c r="N21" s="102"/>
      <c r="O21" s="257"/>
      <c r="P21" s="124"/>
      <c r="Q21" s="252"/>
      <c r="R21" s="207"/>
      <c r="S21" s="248"/>
      <c r="V21" s="176"/>
      <c r="W21" s="110"/>
      <c r="X21" s="343"/>
      <c r="Y21" s="106" t="s">
        <v>155</v>
      </c>
      <c r="Z21" s="240">
        <f>I22*F18%</f>
        <v>2.1287171868847284E+24</v>
      </c>
      <c r="AA21" s="7"/>
      <c r="AB21" s="52" t="s">
        <v>103</v>
      </c>
      <c r="AC21" s="164">
        <f>F10+F11</f>
        <v>1.4222222222222225E+20</v>
      </c>
      <c r="AD21" s="12"/>
      <c r="AE21" s="85"/>
    </row>
    <row r="22" spans="1:46" x14ac:dyDescent="0.35">
      <c r="E22" s="45"/>
      <c r="F22" s="78"/>
      <c r="H22" s="343" t="s">
        <v>94</v>
      </c>
      <c r="I22" s="72">
        <f>I20+I21</f>
        <v>4.2574343737694568E+25</v>
      </c>
      <c r="J22" s="10" t="s">
        <v>23</v>
      </c>
      <c r="U22" s="205"/>
      <c r="V22" s="176"/>
      <c r="W22" s="176"/>
      <c r="AE22" s="218"/>
    </row>
    <row r="23" spans="1:46" x14ac:dyDescent="0.35">
      <c r="E23" s="12" t="s">
        <v>93</v>
      </c>
      <c r="F23" s="245">
        <f>I23</f>
        <v>8514868.747538913</v>
      </c>
      <c r="G23" s="168" t="s">
        <v>0</v>
      </c>
      <c r="I23" s="187">
        <f>I22/F28</f>
        <v>8514868.747538913</v>
      </c>
      <c r="J23" s="214" t="s">
        <v>95</v>
      </c>
      <c r="L23" s="24"/>
      <c r="M23" s="11" t="s">
        <v>236</v>
      </c>
      <c r="V23" s="176"/>
      <c r="W23" s="301" t="s">
        <v>187</v>
      </c>
      <c r="X23" s="235"/>
    </row>
    <row r="24" spans="1:46" x14ac:dyDescent="0.35">
      <c r="E24" s="8" t="s">
        <v>130</v>
      </c>
      <c r="F24" s="246">
        <v>0</v>
      </c>
      <c r="G24" s="10" t="s">
        <v>6</v>
      </c>
      <c r="H24" s="40"/>
      <c r="V24" s="176"/>
      <c r="W24" s="236"/>
      <c r="X24" s="235"/>
    </row>
    <row r="25" spans="1:46" x14ac:dyDescent="0.35">
      <c r="C25" s="174"/>
      <c r="E25" s="9" t="s">
        <v>92</v>
      </c>
      <c r="F25" s="68">
        <f>'[4]динамика протия в ТЦ'!F11</f>
        <v>0</v>
      </c>
      <c r="G25" s="10" t="s">
        <v>6</v>
      </c>
      <c r="U25" s="176"/>
      <c r="V25" s="176"/>
      <c r="W25" s="236"/>
      <c r="X25" s="235"/>
    </row>
    <row r="26" spans="1:46" x14ac:dyDescent="0.35">
      <c r="U26" s="176"/>
      <c r="V26" s="176"/>
      <c r="W26" s="236"/>
      <c r="X26" s="235"/>
    </row>
    <row r="27" spans="1:46" x14ac:dyDescent="0.35">
      <c r="D27" s="174"/>
      <c r="E27" s="52"/>
      <c r="F27" s="129">
        <v>1E+19</v>
      </c>
      <c r="G27" s="17"/>
      <c r="H27" s="17"/>
      <c r="O27" s="10">
        <f>'параметры для расчета'!F31</f>
        <v>4</v>
      </c>
      <c r="U27" s="176"/>
      <c r="V27" s="176"/>
      <c r="W27" s="301"/>
      <c r="X27" s="419"/>
      <c r="Y27" s="18"/>
      <c r="Z27" s="18"/>
      <c r="AA27" s="18"/>
      <c r="AB27" s="18"/>
      <c r="AC27" s="18"/>
      <c r="AD27" s="18"/>
      <c r="AE27" s="18"/>
    </row>
    <row r="28" spans="1:46" x14ac:dyDescent="0.35">
      <c r="E28" s="12" t="s">
        <v>208</v>
      </c>
      <c r="F28" s="177">
        <f>5000000000000000000</f>
        <v>5E+18</v>
      </c>
      <c r="G28" s="168" t="s">
        <v>169</v>
      </c>
      <c r="H28" s="11" t="s">
        <v>217</v>
      </c>
      <c r="Q28" s="52"/>
      <c r="U28" s="176"/>
      <c r="V28" s="176"/>
      <c r="W28" s="237"/>
      <c r="X28" s="419"/>
      <c r="Y28" s="18"/>
      <c r="Z28" s="18"/>
      <c r="AA28" s="18"/>
      <c r="AB28" s="18"/>
      <c r="AC28" s="18"/>
      <c r="AD28" s="18"/>
      <c r="AE28" s="18"/>
    </row>
    <row r="29" spans="1:46" ht="15.65" customHeight="1" x14ac:dyDescent="0.35">
      <c r="F29" s="14"/>
      <c r="Q29" s="52"/>
      <c r="W29" s="54"/>
      <c r="X29" s="54"/>
      <c r="Y29" s="54"/>
      <c r="Z29" s="54"/>
      <c r="AA29" s="19"/>
      <c r="AB29" s="423"/>
      <c r="AC29" s="420"/>
      <c r="AD29" s="18"/>
      <c r="AE29" s="475"/>
      <c r="AS29" s="35"/>
      <c r="AT29" s="35"/>
    </row>
    <row r="30" spans="1:46" x14ac:dyDescent="0.35">
      <c r="E30" s="8" t="s">
        <v>53</v>
      </c>
      <c r="F30" s="201">
        <f>F61*100</f>
        <v>87.758421173972806</v>
      </c>
      <c r="G30" s="168" t="s">
        <v>13</v>
      </c>
      <c r="H30" s="125"/>
      <c r="I30" s="176" t="s">
        <v>131</v>
      </c>
      <c r="N30" s="183"/>
      <c r="O30" s="184"/>
      <c r="W30" s="424"/>
      <c r="X30" s="424"/>
      <c r="Y30" s="424"/>
      <c r="Z30" s="425"/>
      <c r="AA30" s="19"/>
      <c r="AB30" s="128"/>
      <c r="AC30" s="421"/>
      <c r="AD30" s="422"/>
      <c r="AE30" s="475"/>
      <c r="AS30" s="35"/>
      <c r="AT30" s="35"/>
    </row>
    <row r="31" spans="1:46" x14ac:dyDescent="0.35">
      <c r="E31" s="8" t="s">
        <v>52</v>
      </c>
      <c r="F31" s="201">
        <f>I33</f>
        <v>4647.1856038647347</v>
      </c>
      <c r="G31" s="168" t="s">
        <v>99</v>
      </c>
      <c r="H31" s="126"/>
      <c r="I31" s="176" t="s">
        <v>132</v>
      </c>
      <c r="N31" s="183"/>
      <c r="O31" s="184"/>
      <c r="R31" s="343"/>
      <c r="U31" s="196"/>
      <c r="V31" s="139"/>
      <c r="W31" s="54"/>
      <c r="X31" s="54"/>
      <c r="Y31" s="54"/>
      <c r="Z31" s="425"/>
      <c r="AA31" s="19"/>
      <c r="AB31" s="128"/>
      <c r="AC31" s="421"/>
      <c r="AD31" s="420"/>
      <c r="AE31" s="475"/>
      <c r="AS31" s="35"/>
      <c r="AT31" s="35"/>
    </row>
    <row r="32" spans="1:46" ht="15.75" customHeight="1" x14ac:dyDescent="0.35">
      <c r="B32" s="119"/>
      <c r="F32" s="14"/>
      <c r="H32" s="186"/>
      <c r="J32" s="17"/>
      <c r="K32" s="167"/>
      <c r="M32" s="48"/>
      <c r="V32" s="140"/>
      <c r="W32" s="236"/>
      <c r="X32" s="426"/>
      <c r="Y32" s="427"/>
      <c r="Z32" s="428"/>
      <c r="AA32" s="111"/>
      <c r="AB32" s="111"/>
      <c r="AC32" s="111"/>
      <c r="AD32" s="111"/>
      <c r="AE32" s="111"/>
      <c r="AS32" s="100"/>
      <c r="AT32" s="100"/>
    </row>
    <row r="33" spans="1:46" x14ac:dyDescent="0.35">
      <c r="A33" s="11"/>
      <c r="B33" s="73"/>
      <c r="D33" s="67"/>
      <c r="E33" s="12" t="s">
        <v>175</v>
      </c>
      <c r="F33" s="201">
        <f>B115+G115+M115+T109*(1/2*1.38E-23*300)-T102*(1/2*1.38E-23*300)</f>
        <v>96.196742</v>
      </c>
      <c r="G33" s="10" t="s">
        <v>105</v>
      </c>
      <c r="H33" s="28" t="s">
        <v>176</v>
      </c>
      <c r="I33" s="75">
        <f>F33/I36</f>
        <v>4647.1856038647347</v>
      </c>
      <c r="J33" s="1" t="s">
        <v>99</v>
      </c>
      <c r="Q33" s="244" t="s">
        <v>304</v>
      </c>
      <c r="R33" s="94">
        <f>F33*(100-F30)%</f>
        <v>11.776000000000009</v>
      </c>
      <c r="S33" s="10" t="s">
        <v>105</v>
      </c>
      <c r="V33" s="469" t="s">
        <v>322</v>
      </c>
      <c r="W33" s="469" t="s">
        <v>321</v>
      </c>
      <c r="X33" s="426"/>
      <c r="Y33" s="427"/>
      <c r="Z33" s="428"/>
      <c r="AA33" s="111"/>
      <c r="AB33" s="111"/>
      <c r="AC33" s="111"/>
      <c r="AD33" s="111"/>
      <c r="AE33" s="111"/>
      <c r="AS33" s="100"/>
      <c r="AT33" s="100"/>
    </row>
    <row r="34" spans="1:46" x14ac:dyDescent="0.35">
      <c r="F34" s="14"/>
      <c r="I34" s="140">
        <f>($F$38-$F$39/$R$36)*$F$40</f>
        <v>4644.2670815048195</v>
      </c>
      <c r="J34" s="17"/>
      <c r="O34" s="29" t="s">
        <v>305</v>
      </c>
      <c r="P34" s="415">
        <f>-F12</f>
        <v>1.4222222222222225E+20</v>
      </c>
      <c r="Q34" s="416" t="s">
        <v>12</v>
      </c>
      <c r="R34" s="417">
        <f>P34*(1/2*1.38E-23*300)</f>
        <v>0.29440000000000005</v>
      </c>
      <c r="S34" s="416" t="s">
        <v>9</v>
      </c>
      <c r="T34" s="418">
        <f>P34*3/(6.02*10^23)</f>
        <v>7.0874861572536017E-4</v>
      </c>
      <c r="U34" s="48" t="s">
        <v>7</v>
      </c>
      <c r="V34" s="468">
        <f>V33*W34/W33</f>
        <v>5.8880000000000008</v>
      </c>
      <c r="W34" s="468">
        <f>R34</f>
        <v>0.29440000000000005</v>
      </c>
      <c r="X34" s="426"/>
      <c r="Y34" s="427"/>
      <c r="Z34" s="428"/>
      <c r="AA34" s="111"/>
      <c r="AB34" s="111"/>
      <c r="AC34" s="111"/>
      <c r="AD34" s="111"/>
      <c r="AE34" s="111"/>
      <c r="AS34" s="100"/>
      <c r="AT34" s="100"/>
    </row>
    <row r="35" spans="1:46" x14ac:dyDescent="0.35">
      <c r="H35" s="11" t="s">
        <v>216</v>
      </c>
      <c r="T35" s="218"/>
      <c r="U35" s="1"/>
      <c r="W35" s="236"/>
      <c r="X35" s="426"/>
      <c r="Y35" s="427"/>
      <c r="Z35" s="428"/>
      <c r="AA35" s="111"/>
      <c r="AB35" s="111"/>
      <c r="AC35" s="111"/>
      <c r="AD35" s="111"/>
      <c r="AE35" s="111"/>
      <c r="AS35" s="100"/>
      <c r="AT35" s="100"/>
    </row>
    <row r="36" spans="1:46" x14ac:dyDescent="0.35">
      <c r="E36" s="12" t="s">
        <v>54</v>
      </c>
      <c r="F36" s="177">
        <v>1.3800000000000001E-23</v>
      </c>
      <c r="G36" s="168" t="s">
        <v>55</v>
      </c>
      <c r="H36" s="28" t="s">
        <v>65</v>
      </c>
      <c r="I36" s="286">
        <f>F28*F36*300</f>
        <v>2.07E-2</v>
      </c>
      <c r="J36" s="168" t="s">
        <v>162</v>
      </c>
      <c r="K36" s="234">
        <f>I36/101325</f>
        <v>2.0429311621021466E-7</v>
      </c>
      <c r="L36" s="10" t="s">
        <v>39</v>
      </c>
      <c r="N36" s="302">
        <f>O92*F18%</f>
        <v>1.0349999999999999E-4</v>
      </c>
      <c r="Q36" s="196" t="s">
        <v>154</v>
      </c>
      <c r="R36" s="299">
        <f>I36*F18%</f>
        <v>1.0350000000000001E-3</v>
      </c>
      <c r="S36" s="1" t="s">
        <v>67</v>
      </c>
      <c r="T36" s="218"/>
      <c r="U36" s="1"/>
      <c r="W36" s="236"/>
      <c r="X36" s="426"/>
      <c r="Y36" s="427"/>
      <c r="Z36" s="428"/>
      <c r="AA36" s="111"/>
      <c r="AB36" s="111"/>
      <c r="AC36" s="111"/>
      <c r="AD36" s="111"/>
      <c r="AE36" s="111"/>
      <c r="AS36" s="100"/>
      <c r="AT36" s="100"/>
    </row>
    <row r="37" spans="1:46" ht="15.75" customHeight="1" x14ac:dyDescent="0.35">
      <c r="E37" s="12"/>
      <c r="H37" s="67" t="s">
        <v>298</v>
      </c>
      <c r="I37" s="401">
        <f>F27*F36*2000</f>
        <v>0.27599999999999997</v>
      </c>
      <c r="J37" s="10" t="s">
        <v>6</v>
      </c>
      <c r="K37" s="31"/>
      <c r="N37" s="302">
        <f>O92*(100-F18)%</f>
        <v>1.9664999999999995E-3</v>
      </c>
      <c r="Q37" s="196" t="s">
        <v>166</v>
      </c>
      <c r="R37" s="243">
        <f>I36*(100-F18-'параметры для расчета'!C22)%</f>
        <v>1.9561499999999999E-2</v>
      </c>
      <c r="S37" s="1" t="s">
        <v>67</v>
      </c>
      <c r="T37" s="437"/>
      <c r="U37" s="63"/>
      <c r="W37" s="236"/>
      <c r="X37" s="429"/>
      <c r="Y37" s="427"/>
      <c r="Z37" s="428"/>
      <c r="AA37" s="111"/>
      <c r="AB37" s="111"/>
      <c r="AC37" s="111"/>
      <c r="AD37" s="111"/>
      <c r="AE37" s="111"/>
      <c r="AS37" s="100"/>
      <c r="AT37" s="100"/>
    </row>
    <row r="38" spans="1:46" x14ac:dyDescent="0.35">
      <c r="C38" s="18"/>
      <c r="D38" s="18"/>
      <c r="E38" s="12" t="s">
        <v>56</v>
      </c>
      <c r="F38" s="145">
        <f>0.9*SQRT(8.31*80/(2*PI()*10^-3))</f>
        <v>292.75079333055368</v>
      </c>
      <c r="H38" s="12" t="s">
        <v>299</v>
      </c>
      <c r="I38" s="402">
        <f>200000000000000000*F36*300</f>
        <v>8.2800000000000007E-4</v>
      </c>
      <c r="J38" s="10" t="s">
        <v>6</v>
      </c>
      <c r="N38" s="9" t="s">
        <v>206</v>
      </c>
      <c r="R38" s="341">
        <f>R36+R37</f>
        <v>2.05965E-2</v>
      </c>
      <c r="S38" s="1" t="s">
        <v>67</v>
      </c>
      <c r="W38" s="236"/>
      <c r="X38" s="429"/>
      <c r="Y38" s="427"/>
      <c r="Z38" s="428"/>
      <c r="AA38" s="111"/>
      <c r="AB38" s="111"/>
      <c r="AC38" s="111"/>
      <c r="AD38" s="111"/>
      <c r="AE38" s="111"/>
      <c r="AS38" s="100"/>
      <c r="AT38" s="100"/>
    </row>
    <row r="39" spans="1:46" x14ac:dyDescent="0.35">
      <c r="E39" s="12" t="s">
        <v>57</v>
      </c>
      <c r="F39" s="90">
        <f>F38*6.5*10^-7</f>
        <v>1.9028801566485986E-4</v>
      </c>
      <c r="W39" s="236"/>
      <c r="X39" s="429"/>
      <c r="Y39" s="427"/>
      <c r="Z39" s="428"/>
      <c r="AA39" s="111"/>
      <c r="AB39" s="111"/>
      <c r="AC39" s="111"/>
      <c r="AD39" s="111"/>
      <c r="AE39" s="111"/>
      <c r="AS39" s="100"/>
      <c r="AT39" s="100"/>
    </row>
    <row r="40" spans="1:46" x14ac:dyDescent="0.35">
      <c r="E40" s="12" t="s">
        <v>58</v>
      </c>
      <c r="F40" s="101">
        <f>F31/F38</f>
        <v>15.874203280526924</v>
      </c>
      <c r="G40" s="10" t="s">
        <v>3</v>
      </c>
      <c r="R40" s="36"/>
      <c r="W40" s="236"/>
      <c r="X40" s="429"/>
      <c r="Y40" s="427"/>
      <c r="Z40" s="428"/>
      <c r="AA40" s="111"/>
      <c r="AB40" s="111"/>
      <c r="AC40" s="111"/>
      <c r="AD40" s="111"/>
      <c r="AE40" s="111"/>
      <c r="AS40" s="100"/>
      <c r="AT40" s="100"/>
    </row>
    <row r="41" spans="1:46" x14ac:dyDescent="0.35">
      <c r="D41" s="9"/>
      <c r="E41" s="199"/>
      <c r="F41" s="116"/>
      <c r="G41" s="17"/>
      <c r="H41" s="116"/>
      <c r="L41" s="197"/>
      <c r="S41" s="473" t="s">
        <v>100</v>
      </c>
      <c r="W41" s="236"/>
      <c r="X41" s="430"/>
      <c r="Y41" s="427"/>
      <c r="Z41" s="428"/>
      <c r="AA41" s="111"/>
      <c r="AB41" s="111"/>
      <c r="AC41" s="111"/>
      <c r="AD41" s="111"/>
      <c r="AE41" s="111"/>
      <c r="AS41" s="100"/>
      <c r="AT41" s="100"/>
    </row>
    <row r="42" spans="1:46" x14ac:dyDescent="0.35">
      <c r="C42" s="108"/>
      <c r="R42" s="386" t="s">
        <v>138</v>
      </c>
      <c r="S42" s="473"/>
      <c r="T42" s="241"/>
      <c r="W42" s="236"/>
      <c r="X42" s="430"/>
      <c r="Y42" s="427"/>
      <c r="Z42" s="428"/>
      <c r="AA42" s="111"/>
      <c r="AB42" s="111"/>
      <c r="AC42" s="111"/>
      <c r="AD42" s="111"/>
      <c r="AE42" s="111"/>
      <c r="AS42" s="100"/>
      <c r="AT42" s="100"/>
    </row>
    <row r="43" spans="1:46" x14ac:dyDescent="0.35">
      <c r="C43" s="108"/>
      <c r="D43" s="9" t="s">
        <v>102</v>
      </c>
      <c r="E43" s="181" t="s">
        <v>134</v>
      </c>
      <c r="F43" s="181" t="s">
        <v>104</v>
      </c>
      <c r="H43" s="127"/>
      <c r="R43" s="387"/>
      <c r="S43" s="474"/>
      <c r="T43" s="241"/>
      <c r="W43" s="431"/>
      <c r="X43" s="430"/>
      <c r="Y43" s="427"/>
      <c r="Z43" s="428"/>
      <c r="AA43" s="111"/>
      <c r="AB43" s="111"/>
      <c r="AC43" s="111"/>
      <c r="AD43" s="111"/>
      <c r="AE43" s="111"/>
      <c r="AS43" s="100"/>
      <c r="AT43" s="100"/>
    </row>
    <row r="44" spans="1:46" ht="15.65" customHeight="1" x14ac:dyDescent="0.35">
      <c r="C44" s="108"/>
      <c r="E44" s="200">
        <f t="shared" ref="E44:E58" si="8">((($I$23/($F$31*(1-F44%)))*($F$10+$F$11)*(1-EXP(-$F$31*(1-F44%)*$W$20/(2*$I$23))))+$I$23/($F$36*1000)*$F$24*EXP(-$F$38*$F$40*(1-F44%)*$W$20/(2*$I$23)))/($I$22)</f>
        <v>6.1207894130135927E-3</v>
      </c>
      <c r="F44" s="44">
        <v>0</v>
      </c>
      <c r="H44" s="239"/>
      <c r="R44" s="242">
        <f t="shared" ref="R44:R58" si="9">($F$10+$F$11)/($F$28*S44*(1-$F$30%))</f>
        <v>2323.5928019323669</v>
      </c>
      <c r="S44" s="44">
        <v>0.1</v>
      </c>
      <c r="T44" s="111"/>
      <c r="W44" s="432"/>
      <c r="X44" s="430"/>
      <c r="Y44" s="433"/>
      <c r="Z44" s="428"/>
      <c r="AA44" s="111"/>
      <c r="AB44" s="111"/>
      <c r="AC44" s="111"/>
      <c r="AD44" s="111"/>
      <c r="AE44" s="111"/>
      <c r="AS44" s="100"/>
      <c r="AT44" s="100"/>
    </row>
    <row r="45" spans="1:46" ht="15.65" customHeight="1" x14ac:dyDescent="0.35">
      <c r="C45" s="108"/>
      <c r="E45" s="200">
        <f t="shared" si="8"/>
        <v>6.1826155687005986E-3</v>
      </c>
      <c r="F45" s="44">
        <v>1</v>
      </c>
      <c r="H45" s="239"/>
      <c r="R45" s="242">
        <f t="shared" si="9"/>
        <v>232.35928019323666</v>
      </c>
      <c r="S45" s="296">
        <v>1</v>
      </c>
      <c r="T45" s="111"/>
      <c r="W45" s="432"/>
      <c r="X45" s="430"/>
      <c r="Y45" s="433"/>
      <c r="Z45" s="428"/>
      <c r="AA45" s="111"/>
      <c r="AB45" s="111"/>
      <c r="AC45" s="111"/>
      <c r="AD45" s="111"/>
      <c r="AE45" s="111"/>
      <c r="AS45" s="100"/>
      <c r="AT45" s="100"/>
    </row>
    <row r="46" spans="1:46" ht="15.65" customHeight="1" x14ac:dyDescent="0.35">
      <c r="C46" s="108"/>
      <c r="E46" s="200">
        <f t="shared" si="8"/>
        <v>6.4429362242248355E-3</v>
      </c>
      <c r="F46" s="44">
        <v>5</v>
      </c>
      <c r="H46" s="239"/>
      <c r="R46" s="242">
        <f t="shared" si="9"/>
        <v>23.235928019323669</v>
      </c>
      <c r="S46" s="296">
        <v>10</v>
      </c>
      <c r="T46" s="111"/>
      <c r="W46" s="432"/>
      <c r="X46" s="430"/>
      <c r="Y46" s="433"/>
      <c r="Z46" s="428"/>
      <c r="AA46" s="111"/>
      <c r="AB46" s="111"/>
      <c r="AC46" s="111"/>
      <c r="AD46" s="111"/>
      <c r="AE46" s="111"/>
      <c r="AS46" s="100"/>
      <c r="AT46" s="100"/>
    </row>
    <row r="47" spans="1:46" ht="15.65" customHeight="1" x14ac:dyDescent="0.35">
      <c r="C47" s="108"/>
      <c r="E47" s="200">
        <f t="shared" si="8"/>
        <v>6.8008771255706583E-3</v>
      </c>
      <c r="F47" s="44">
        <v>10</v>
      </c>
      <c r="H47" s="239"/>
      <c r="R47" s="190">
        <f t="shared" si="9"/>
        <v>2.3235928019323668</v>
      </c>
      <c r="S47" s="44">
        <v>100</v>
      </c>
      <c r="T47" s="198"/>
      <c r="W47" s="432"/>
      <c r="X47" s="430"/>
      <c r="Y47" s="433"/>
      <c r="Z47" s="428"/>
      <c r="AA47" s="111"/>
      <c r="AB47" s="111"/>
      <c r="AC47" s="111"/>
      <c r="AD47" s="111"/>
      <c r="AE47" s="111"/>
      <c r="AS47" s="100"/>
      <c r="AT47" s="100"/>
    </row>
    <row r="48" spans="1:46" ht="15.65" customHeight="1" x14ac:dyDescent="0.35">
      <c r="C48" s="108"/>
      <c r="E48" s="200">
        <f t="shared" si="8"/>
        <v>8.7439848757337041E-3</v>
      </c>
      <c r="F48" s="44">
        <v>30</v>
      </c>
      <c r="H48" s="239"/>
      <c r="R48" s="190">
        <f t="shared" si="9"/>
        <v>0.23235928019323671</v>
      </c>
      <c r="S48" s="204">
        <v>1000</v>
      </c>
      <c r="T48" s="198"/>
      <c r="W48" s="432"/>
      <c r="X48" s="430"/>
      <c r="Y48" s="433"/>
      <c r="Z48" s="428"/>
      <c r="AA48" s="111"/>
      <c r="AB48" s="111"/>
      <c r="AC48" s="111"/>
      <c r="AD48" s="111"/>
      <c r="AE48" s="111"/>
      <c r="AS48" s="100"/>
      <c r="AT48" s="100"/>
    </row>
    <row r="49" spans="3:46" ht="15.65" customHeight="1" x14ac:dyDescent="0.35">
      <c r="C49" s="108"/>
      <c r="E49" s="287">
        <f t="shared" si="8"/>
        <v>1.2241578826027185E-2</v>
      </c>
      <c r="F49" s="44">
        <v>50</v>
      </c>
      <c r="H49" s="239"/>
      <c r="R49" s="190">
        <f t="shared" si="9"/>
        <v>0.11617964009661835</v>
      </c>
      <c r="S49" s="204">
        <v>2000</v>
      </c>
      <c r="T49" s="198"/>
      <c r="W49" s="111"/>
      <c r="X49" s="24"/>
      <c r="Y49" s="434"/>
      <c r="Z49" s="435"/>
      <c r="AA49" s="19"/>
      <c r="AB49" s="113"/>
      <c r="AC49" s="258"/>
      <c r="AD49" s="53"/>
      <c r="AE49" s="436"/>
      <c r="AS49" s="35"/>
      <c r="AT49" s="35"/>
    </row>
    <row r="50" spans="3:46" x14ac:dyDescent="0.35">
      <c r="C50" s="108"/>
      <c r="E50" s="200">
        <f t="shared" si="8"/>
        <v>2.4483157652054371E-2</v>
      </c>
      <c r="F50" s="44">
        <v>75</v>
      </c>
      <c r="H50" s="239"/>
      <c r="R50" s="190">
        <f t="shared" si="9"/>
        <v>7.7453093397745559E-2</v>
      </c>
      <c r="S50" s="130">
        <v>3000</v>
      </c>
      <c r="T50" s="198"/>
    </row>
    <row r="51" spans="3:46" x14ac:dyDescent="0.35">
      <c r="C51" s="108"/>
      <c r="E51" s="200">
        <f t="shared" si="8"/>
        <v>6.1207894130135942E-2</v>
      </c>
      <c r="F51" s="44">
        <v>90</v>
      </c>
      <c r="H51" s="239"/>
      <c r="R51" s="190">
        <f t="shared" si="9"/>
        <v>5.8089820048309176E-2</v>
      </c>
      <c r="S51" s="130">
        <v>4000</v>
      </c>
      <c r="T51" s="198"/>
    </row>
    <row r="52" spans="3:46" x14ac:dyDescent="0.35">
      <c r="C52" s="202"/>
      <c r="E52" s="200">
        <f t="shared" si="8"/>
        <v>0.12241578826027176</v>
      </c>
      <c r="F52" s="296">
        <v>95</v>
      </c>
      <c r="H52" s="239"/>
      <c r="R52" s="191">
        <f>($F$10+$F$11)/($F$28*S52*(1-$F$30%))</f>
        <v>4.9999999999999982E-2</v>
      </c>
      <c r="S52" s="101">
        <f>F31</f>
        <v>4647.1856038647347</v>
      </c>
      <c r="T52" s="198"/>
    </row>
    <row r="53" spans="3:46" x14ac:dyDescent="0.35">
      <c r="C53" s="202"/>
      <c r="E53" s="200">
        <f t="shared" si="8"/>
        <v>0.20402631376711958</v>
      </c>
      <c r="F53" s="204">
        <v>97</v>
      </c>
      <c r="H53" s="239"/>
      <c r="R53" s="190">
        <f t="shared" si="9"/>
        <v>4.6471856038647341E-2</v>
      </c>
      <c r="S53" s="130">
        <v>5000</v>
      </c>
      <c r="T53" s="198"/>
    </row>
    <row r="54" spans="3:46" x14ac:dyDescent="0.35">
      <c r="C54" s="108"/>
      <c r="E54" s="200">
        <f t="shared" si="8"/>
        <v>0.61207894130135865</v>
      </c>
      <c r="F54" s="204">
        <v>99</v>
      </c>
      <c r="H54" s="239"/>
      <c r="R54" s="190">
        <f t="shared" si="9"/>
        <v>2.3235928019323671E-2</v>
      </c>
      <c r="S54" s="44">
        <v>10000</v>
      </c>
      <c r="T54" s="198"/>
    </row>
    <row r="55" spans="3:46" x14ac:dyDescent="0.35">
      <c r="C55" s="108"/>
      <c r="E55" s="203">
        <f t="shared" si="8"/>
        <v>4.9999999999999989E-2</v>
      </c>
      <c r="F55" s="101">
        <f>F61*100</f>
        <v>87.758421173972806</v>
      </c>
      <c r="H55" s="239"/>
      <c r="R55" s="190">
        <f t="shared" si="9"/>
        <v>1.1617964009661835E-2</v>
      </c>
      <c r="S55" s="44">
        <v>20000</v>
      </c>
      <c r="T55" s="198"/>
    </row>
    <row r="56" spans="3:46" x14ac:dyDescent="0.35">
      <c r="C56" s="108"/>
      <c r="E56" s="200">
        <f t="shared" si="8"/>
        <v>6.1207894130142666</v>
      </c>
      <c r="F56" s="44">
        <v>99.9</v>
      </c>
      <c r="H56" s="239"/>
      <c r="R56" s="190">
        <f>($F$10+$F$11)/($F$28*S56*(1-$F$30%))</f>
        <v>7.7453093397745554E-3</v>
      </c>
      <c r="S56" s="44">
        <v>30000</v>
      </c>
      <c r="T56" s="198"/>
    </row>
    <row r="57" spans="3:46" x14ac:dyDescent="0.35">
      <c r="E57" s="200">
        <f t="shared" si="8"/>
        <v>61.207821494028089</v>
      </c>
      <c r="F57" s="44">
        <v>99.99</v>
      </c>
      <c r="H57" s="239"/>
      <c r="R57" s="190">
        <f t="shared" si="9"/>
        <v>5.8089820048309176E-3</v>
      </c>
      <c r="S57" s="44">
        <v>40000</v>
      </c>
      <c r="T57" s="198"/>
    </row>
    <row r="58" spans="3:46" x14ac:dyDescent="0.35">
      <c r="E58" s="200">
        <f t="shared" si="8"/>
        <v>455.67708119581738</v>
      </c>
      <c r="F58" s="44">
        <v>99.998999999999995</v>
      </c>
      <c r="H58" s="239"/>
      <c r="R58" s="190">
        <f t="shared" si="9"/>
        <v>4.6471856038647341E-3</v>
      </c>
      <c r="S58" s="44">
        <v>50000</v>
      </c>
      <c r="T58" s="198"/>
    </row>
    <row r="60" spans="3:46" x14ac:dyDescent="0.35">
      <c r="D60" s="12" t="s">
        <v>135</v>
      </c>
      <c r="Q60" s="9" t="s">
        <v>143</v>
      </c>
      <c r="R60" s="131">
        <f>Z20/I23</f>
        <v>2.4999999999999997E+17</v>
      </c>
      <c r="S60" s="15" t="s">
        <v>66</v>
      </c>
    </row>
    <row r="61" spans="3:46" x14ac:dyDescent="0.35">
      <c r="D61" s="12" t="s">
        <v>136</v>
      </c>
      <c r="E61" s="141">
        <f>F18%</f>
        <v>0.05</v>
      </c>
      <c r="F61" s="312">
        <f>1-(F10+F11)/(F28*F18%*F31)</f>
        <v>0.87758421173972812</v>
      </c>
      <c r="G61" s="189"/>
      <c r="I61" s="32" t="s">
        <v>96</v>
      </c>
      <c r="Q61" s="103" t="s">
        <v>144</v>
      </c>
      <c r="R61" s="131">
        <f>F36*300*R60</f>
        <v>1.0349999999999999E-3</v>
      </c>
      <c r="S61" s="188" t="s">
        <v>67</v>
      </c>
    </row>
    <row r="63" spans="3:46" x14ac:dyDescent="0.35">
      <c r="F63" s="178" t="s">
        <v>72</v>
      </c>
      <c r="P63" s="84" t="s">
        <v>101</v>
      </c>
      <c r="Q63" s="52" t="s">
        <v>143</v>
      </c>
      <c r="R63" s="165">
        <f>F28*F18%</f>
        <v>2.5E+17</v>
      </c>
      <c r="S63" s="34" t="s">
        <v>66</v>
      </c>
    </row>
    <row r="64" spans="3:46" x14ac:dyDescent="0.35">
      <c r="P64" s="12"/>
      <c r="Q64" s="52" t="s">
        <v>145</v>
      </c>
      <c r="R64" s="117">
        <f>R63*I23</f>
        <v>2.1287171868847281E+24</v>
      </c>
      <c r="S64" s="17" t="s">
        <v>23</v>
      </c>
    </row>
    <row r="65" spans="2:21" x14ac:dyDescent="0.35">
      <c r="E65" s="12" t="s">
        <v>140</v>
      </c>
      <c r="F65" s="280">
        <f>AE20/I36</f>
        <v>5.003140096618356E-2</v>
      </c>
      <c r="P65" s="52" t="s">
        <v>68</v>
      </c>
      <c r="Q65" s="52" t="s">
        <v>146</v>
      </c>
      <c r="R65" s="118">
        <f>F36*300*R63</f>
        <v>1.0350000000000001E-3</v>
      </c>
      <c r="S65" s="17" t="s">
        <v>6</v>
      </c>
    </row>
    <row r="66" spans="2:21" x14ac:dyDescent="0.35">
      <c r="E66" s="12" t="s">
        <v>142</v>
      </c>
      <c r="F66" s="281">
        <f>R52</f>
        <v>4.9999999999999982E-2</v>
      </c>
    </row>
    <row r="67" spans="2:21" x14ac:dyDescent="0.35">
      <c r="E67" s="12" t="s">
        <v>139</v>
      </c>
      <c r="F67" s="280">
        <f>Z20/I22</f>
        <v>4.9999999999999989E-2</v>
      </c>
      <c r="Q67" s="52" t="s">
        <v>106</v>
      </c>
    </row>
    <row r="68" spans="2:21" x14ac:dyDescent="0.35">
      <c r="E68" s="12" t="s">
        <v>141</v>
      </c>
      <c r="F68" s="281">
        <f>R60/F28</f>
        <v>4.9999999999999996E-2</v>
      </c>
      <c r="Q68" s="247" t="s">
        <v>71</v>
      </c>
      <c r="R68" s="470">
        <f>R60/R63</f>
        <v>0.99999999999999989</v>
      </c>
      <c r="S68" s="32" t="s">
        <v>97</v>
      </c>
    </row>
    <row r="69" spans="2:21" x14ac:dyDescent="0.35">
      <c r="E69" s="52" t="s">
        <v>157</v>
      </c>
      <c r="F69" s="276">
        <f>R76/('[2]баланс тритий'!B63+'[2]баланс дейтерий'!B63)</f>
        <v>1.8208151260416415E-3</v>
      </c>
      <c r="G69" s="140">
        <f>F69/G71</f>
        <v>0.59205127377717359</v>
      </c>
      <c r="H69" s="276"/>
      <c r="I69" s="276"/>
      <c r="Q69" s="213" t="s">
        <v>70</v>
      </c>
      <c r="R69" s="470"/>
    </row>
    <row r="70" spans="2:21" x14ac:dyDescent="0.35">
      <c r="F70" s="304">
        <f>R77/('[2]баланс тритий'!B63+'[2]баланс дейтерий'!B63)</f>
        <v>2.7750390958388659E-3</v>
      </c>
      <c r="G70" s="140">
        <f>F70/G71</f>
        <v>0.90232413383152144</v>
      </c>
    </row>
    <row r="71" spans="2:21" x14ac:dyDescent="0.35">
      <c r="G71" s="311">
        <f>'[2]баланс тритий'!B63/('[2]баланс дейтерий'!B63+'[2]баланс тритий'!B63)</f>
        <v>3.0754348595944912E-3</v>
      </c>
      <c r="Q71" s="206" t="s">
        <v>150</v>
      </c>
      <c r="R71" s="471">
        <f>F65/F66</f>
        <v>1.0006280193236716</v>
      </c>
      <c r="S71" s="26" t="s">
        <v>98</v>
      </c>
    </row>
    <row r="72" spans="2:21" x14ac:dyDescent="0.35">
      <c r="Q72" s="79" t="s">
        <v>151</v>
      </c>
      <c r="R72" s="471"/>
    </row>
    <row r="73" spans="2:21" x14ac:dyDescent="0.35">
      <c r="C73" s="88"/>
    </row>
    <row r="74" spans="2:21" x14ac:dyDescent="0.35">
      <c r="C74" s="183"/>
      <c r="I74" s="205"/>
      <c r="L74" s="52" t="s">
        <v>153</v>
      </c>
      <c r="Q74" s="12" t="s">
        <v>152</v>
      </c>
      <c r="R74" s="131">
        <f>AE20</f>
        <v>1.0356499999999997E-3</v>
      </c>
      <c r="S74" s="10" t="s">
        <v>6</v>
      </c>
    </row>
    <row r="75" spans="2:21" x14ac:dyDescent="0.35">
      <c r="C75" s="40"/>
      <c r="D75" s="184"/>
      <c r="F75" s="52" t="s">
        <v>174</v>
      </c>
    </row>
    <row r="76" spans="2:21" x14ac:dyDescent="0.35">
      <c r="D76" s="35"/>
      <c r="F76" s="106" t="s">
        <v>173</v>
      </c>
      <c r="G76" s="343">
        <f>(3*3.3*8.5)</f>
        <v>84.149999999999991</v>
      </c>
      <c r="H76" s="48" t="s">
        <v>0</v>
      </c>
      <c r="P76" s="9" t="s">
        <v>207</v>
      </c>
      <c r="Q76" s="8" t="s">
        <v>145</v>
      </c>
      <c r="R76" s="59">
        <f>R74*G76/(300*F36)</f>
        <v>2.105071195652173E+19</v>
      </c>
      <c r="S76" s="10" t="s">
        <v>69</v>
      </c>
      <c r="T76" s="59">
        <f>R76/G76</f>
        <v>2.5015700483091779E+17</v>
      </c>
      <c r="U76" s="15" t="s">
        <v>66</v>
      </c>
    </row>
    <row r="77" spans="2:21" x14ac:dyDescent="0.35">
      <c r="C77" s="100"/>
      <c r="F77" s="9" t="s">
        <v>182</v>
      </c>
      <c r="G77" s="303">
        <f>(3*3.3*8.5+4.2*2.5*4.2)</f>
        <v>128.25</v>
      </c>
      <c r="H77" s="134" t="s">
        <v>0</v>
      </c>
      <c r="R77" s="305">
        <f>R74*G77/(300*F36)</f>
        <v>3.2082635869565211E+19</v>
      </c>
      <c r="T77" s="305">
        <f>R77/G77</f>
        <v>2.5015700483091782E+17</v>
      </c>
    </row>
    <row r="78" spans="2:21" x14ac:dyDescent="0.35">
      <c r="F78" s="89" t="s">
        <v>172</v>
      </c>
    </row>
    <row r="79" spans="2:21" x14ac:dyDescent="0.35">
      <c r="B79" s="24"/>
    </row>
    <row r="81" spans="1:31" x14ac:dyDescent="0.35">
      <c r="A81" s="65"/>
      <c r="B81" s="2"/>
      <c r="C81" s="168"/>
      <c r="D81" s="23"/>
      <c r="E81" s="23"/>
    </row>
    <row r="82" spans="1:31" x14ac:dyDescent="0.35">
      <c r="A82" s="122"/>
      <c r="D82" s="23"/>
      <c r="E82" s="168"/>
      <c r="G82" s="23"/>
      <c r="J82" s="13"/>
      <c r="K82" s="29"/>
    </row>
    <row r="84" spans="1:31" x14ac:dyDescent="0.35">
      <c r="F84" s="309" t="s">
        <v>110</v>
      </c>
      <c r="AE84" s="17" t="s">
        <v>258</v>
      </c>
    </row>
    <row r="85" spans="1:31" x14ac:dyDescent="0.35">
      <c r="I85" s="1"/>
      <c r="AA85" s="27" t="s">
        <v>111</v>
      </c>
      <c r="AE85" s="17" t="s">
        <v>259</v>
      </c>
    </row>
    <row r="86" spans="1:31" ht="16.5" customHeight="1" x14ac:dyDescent="0.35">
      <c r="C86" s="49" t="s">
        <v>202</v>
      </c>
      <c r="G86" s="49" t="s">
        <v>203</v>
      </c>
      <c r="K86" s="49" t="s">
        <v>204</v>
      </c>
      <c r="N86" s="49" t="s">
        <v>205</v>
      </c>
      <c r="Z86" s="23"/>
      <c r="AD86" s="22"/>
    </row>
    <row r="87" spans="1:31" x14ac:dyDescent="0.35">
      <c r="AA87" s="400" t="s">
        <v>184</v>
      </c>
      <c r="AB87" s="22"/>
      <c r="AC87" s="297" t="s">
        <v>186</v>
      </c>
    </row>
    <row r="88" spans="1:31" x14ac:dyDescent="0.35">
      <c r="B88" s="10" t="s">
        <v>213</v>
      </c>
      <c r="F88" s="10" t="s">
        <v>219</v>
      </c>
      <c r="S88" s="49" t="s">
        <v>212</v>
      </c>
      <c r="V88" s="38"/>
      <c r="Y88" s="25" t="s">
        <v>41</v>
      </c>
      <c r="Z88" s="1"/>
      <c r="AA88" s="347">
        <f>'[1]параметры для расчета'!$M$28</f>
        <v>2E+20</v>
      </c>
      <c r="AB88" s="69" t="s">
        <v>11</v>
      </c>
      <c r="AC88" s="334">
        <f>'[1]параметры для расчета'!$K$28</f>
        <v>1.1111111111111111E+21</v>
      </c>
      <c r="AD88" s="25" t="s">
        <v>42</v>
      </c>
    </row>
    <row r="89" spans="1:31" x14ac:dyDescent="0.35">
      <c r="B89" s="12" t="s">
        <v>221</v>
      </c>
      <c r="C89" s="343">
        <v>2000</v>
      </c>
      <c r="D89" s="10" t="s">
        <v>222</v>
      </c>
      <c r="F89" s="10" t="s">
        <v>181</v>
      </c>
      <c r="Z89" s="23"/>
    </row>
    <row r="90" spans="1:31" x14ac:dyDescent="0.35">
      <c r="B90" s="12" t="s">
        <v>214</v>
      </c>
      <c r="C90" s="177">
        <f>0.3/(F36*C89)</f>
        <v>1.0869565217391303E+19</v>
      </c>
      <c r="D90" s="168" t="s">
        <v>169</v>
      </c>
      <c r="F90" s="12" t="s">
        <v>223</v>
      </c>
      <c r="G90" s="132">
        <f>(G110+G111)/'параметры для расчета'!F31</f>
        <v>19.5</v>
      </c>
      <c r="H90" s="10" t="s">
        <v>105</v>
      </c>
      <c r="J90" s="10" t="s">
        <v>211</v>
      </c>
      <c r="K90" s="40"/>
      <c r="L90" s="168"/>
      <c r="N90" s="10" t="s">
        <v>211</v>
      </c>
      <c r="O90" s="40"/>
      <c r="P90" s="168"/>
      <c r="R90" s="10" t="s">
        <v>211</v>
      </c>
      <c r="Y90" s="25" t="s">
        <v>112</v>
      </c>
      <c r="Z90" s="1"/>
      <c r="AA90" s="123"/>
      <c r="AB90" s="1"/>
      <c r="AC90" s="216">
        <f>'параметры для расчета'!C35*'параметры для расчета'!C36</f>
        <v>0.32000000000000006</v>
      </c>
      <c r="AD90" s="10" t="s">
        <v>3</v>
      </c>
    </row>
    <row r="91" spans="1:31" x14ac:dyDescent="0.35">
      <c r="B91" s="11" t="s">
        <v>209</v>
      </c>
      <c r="C91" s="11"/>
      <c r="D91" s="11"/>
      <c r="E91" s="11"/>
      <c r="F91" s="11" t="s">
        <v>210</v>
      </c>
      <c r="G91" s="11"/>
      <c r="H91" s="11"/>
      <c r="J91" s="11" t="s">
        <v>302</v>
      </c>
      <c r="K91" s="11"/>
      <c r="L91" s="11"/>
      <c r="N91" s="11" t="s">
        <v>215</v>
      </c>
      <c r="O91" s="11"/>
      <c r="P91" s="11"/>
      <c r="R91" s="11" t="s">
        <v>218</v>
      </c>
      <c r="S91" s="11"/>
      <c r="T91" s="11"/>
      <c r="Y91" s="25"/>
      <c r="Z91" s="1"/>
      <c r="AA91" s="142"/>
      <c r="AB91" s="7"/>
      <c r="AC91" s="343"/>
    </row>
    <row r="92" spans="1:31" x14ac:dyDescent="0.35">
      <c r="B92" s="261" t="s">
        <v>65</v>
      </c>
      <c r="C92" s="295">
        <f>10000000000000000000*F36*2000</f>
        <v>0.27599999999999997</v>
      </c>
      <c r="D92" s="134" t="s">
        <v>67</v>
      </c>
      <c r="E92" s="11"/>
      <c r="F92" s="261" t="s">
        <v>65</v>
      </c>
      <c r="G92" s="295">
        <f>80000000000000000000*F36*300</f>
        <v>0.33119999999999999</v>
      </c>
      <c r="H92" s="134" t="s">
        <v>67</v>
      </c>
      <c r="J92" s="261" t="s">
        <v>65</v>
      </c>
      <c r="K92" s="295">
        <f>5000000000000000000*F36*300</f>
        <v>2.07E-2</v>
      </c>
      <c r="L92" s="134" t="s">
        <v>67</v>
      </c>
      <c r="N92" s="261" t="s">
        <v>65</v>
      </c>
      <c r="O92" s="306">
        <f>500000000000000000*F36*300</f>
        <v>2.0699999999999998E-3</v>
      </c>
      <c r="P92" s="134" t="s">
        <v>67</v>
      </c>
      <c r="R92" s="261" t="s">
        <v>65</v>
      </c>
      <c r="S92" s="306">
        <f>500000000000000000*F36*300</f>
        <v>2.0699999999999998E-3</v>
      </c>
      <c r="T92" s="295">
        <f>50000000000000000000*F36*300</f>
        <v>0.20700000000000002</v>
      </c>
      <c r="U92" s="134" t="s">
        <v>67</v>
      </c>
      <c r="Y92" s="1" t="s">
        <v>61</v>
      </c>
      <c r="Z92" s="123"/>
      <c r="AA92" s="7"/>
      <c r="AB92" s="7"/>
      <c r="AC92" s="343"/>
    </row>
    <row r="93" spans="1:31" x14ac:dyDescent="0.35">
      <c r="B93" s="10" t="s">
        <v>181</v>
      </c>
      <c r="F93" s="10" t="s">
        <v>220</v>
      </c>
      <c r="J93" s="10" t="s">
        <v>220</v>
      </c>
      <c r="N93" s="10" t="s">
        <v>220</v>
      </c>
      <c r="Y93" s="25" t="s">
        <v>62</v>
      </c>
      <c r="Z93" s="23"/>
      <c r="AA93" s="348">
        <f>AA88*AC90</f>
        <v>6.4000000000000016E+19</v>
      </c>
      <c r="AB93" s="69" t="s">
        <v>11</v>
      </c>
      <c r="AC93" s="42">
        <f>AC88*AC90</f>
        <v>3.5555555555555561E+20</v>
      </c>
      <c r="AD93" s="1" t="s">
        <v>12</v>
      </c>
    </row>
    <row r="94" spans="1:31" x14ac:dyDescent="0.35">
      <c r="B94" s="12" t="s">
        <v>224</v>
      </c>
      <c r="C94" s="132">
        <f>(B110+B111)/'параметры для расчета'!F31</f>
        <v>4.5</v>
      </c>
      <c r="D94" s="10" t="s">
        <v>105</v>
      </c>
      <c r="G94" s="132">
        <f>G90</f>
        <v>19.5</v>
      </c>
      <c r="H94" s="10" t="s">
        <v>105</v>
      </c>
      <c r="K94" s="75">
        <f>(M110+M111)/'параметры для расчета'!F31</f>
        <v>0.11500000000000003</v>
      </c>
      <c r="L94" s="10" t="s">
        <v>105</v>
      </c>
      <c r="N94" s="261" t="s">
        <v>35</v>
      </c>
      <c r="O94" s="75">
        <f>K94</f>
        <v>0.11500000000000003</v>
      </c>
      <c r="P94" s="10" t="s">
        <v>105</v>
      </c>
    </row>
    <row r="95" spans="1:31" x14ac:dyDescent="0.35">
      <c r="AB95" s="9" t="s">
        <v>306</v>
      </c>
      <c r="AC95" s="335">
        <f>'параметры для расчета'!C41%</f>
        <v>0.2</v>
      </c>
      <c r="AD95" s="11" t="s">
        <v>307</v>
      </c>
    </row>
    <row r="96" spans="1:31" x14ac:dyDescent="0.35">
      <c r="B96" s="52" t="s">
        <v>232</v>
      </c>
      <c r="C96" s="114">
        <v>4.5</v>
      </c>
      <c r="D96" s="114"/>
      <c r="E96" s="114"/>
      <c r="F96" s="114"/>
      <c r="G96" s="114">
        <v>19.489999999999998</v>
      </c>
      <c r="H96" s="114"/>
      <c r="I96" s="114"/>
      <c r="J96" s="114"/>
      <c r="K96" s="114">
        <v>0.61199999999999999</v>
      </c>
      <c r="L96" s="308">
        <f>K96/K94</f>
        <v>5.3217391304347812</v>
      </c>
      <c r="M96" s="48" t="s">
        <v>233</v>
      </c>
      <c r="N96" s="114"/>
      <c r="O96" s="114">
        <v>8.2000000000000003E-2</v>
      </c>
      <c r="P96" s="114"/>
      <c r="Q96" s="17"/>
      <c r="R96" s="114">
        <v>2.5000000000000001E-2</v>
      </c>
      <c r="S96" s="114">
        <v>0.188</v>
      </c>
      <c r="T96" s="114">
        <v>0.06</v>
      </c>
      <c r="U96" s="279">
        <f>(C96+G96+K96+O96+R96+T96)-S96</f>
        <v>24.580999999999996</v>
      </c>
    </row>
    <row r="97" spans="1:36" x14ac:dyDescent="0.35">
      <c r="Y97" s="23"/>
      <c r="Z97" s="12" t="s">
        <v>113</v>
      </c>
      <c r="AA97" s="349">
        <f>AA93*AC95</f>
        <v>1.2800000000000004E+19</v>
      </c>
      <c r="AB97" s="69" t="s">
        <v>11</v>
      </c>
      <c r="AC97" s="39">
        <f>AC93*AC95</f>
        <v>7.1111111111111123E+19</v>
      </c>
      <c r="AD97" s="1" t="s">
        <v>12</v>
      </c>
      <c r="AG97" s="45" t="s">
        <v>284</v>
      </c>
      <c r="AH97" s="40">
        <f>AA98*'параметры для расчета'!F31</f>
        <v>2.5600000000000008E+19</v>
      </c>
      <c r="AI97" s="69" t="s">
        <v>11</v>
      </c>
      <c r="AJ97" s="40">
        <f>AC98*'параметры для расчета'!F31</f>
        <v>1.4222222222222225E+20</v>
      </c>
    </row>
    <row r="98" spans="1:36" x14ac:dyDescent="0.35">
      <c r="A98" s="11" t="s">
        <v>225</v>
      </c>
      <c r="Y98" s="23"/>
      <c r="Z98" s="443" t="s">
        <v>90</v>
      </c>
      <c r="AA98" s="349">
        <f>AA97*'параметры для расчета'!C21%</f>
        <v>6.400000000000002E+18</v>
      </c>
      <c r="AB98" s="343" t="s">
        <v>11</v>
      </c>
      <c r="AC98" s="441">
        <f>AC97*'параметры для расчета'!C21%</f>
        <v>3.5555555555555561E+19</v>
      </c>
      <c r="AD98" s="1" t="s">
        <v>12</v>
      </c>
      <c r="AG98" s="438" t="s">
        <v>284</v>
      </c>
      <c r="AH98" s="439">
        <f>AA99*'параметры для расчета'!F31</f>
        <v>2.5600000000000008E+19</v>
      </c>
      <c r="AI98" s="440" t="s">
        <v>11</v>
      </c>
      <c r="AJ98" s="439">
        <f>AC99*'параметры для расчета'!F31</f>
        <v>1.4222222222222225E+20</v>
      </c>
    </row>
    <row r="99" spans="1:36" x14ac:dyDescent="0.35">
      <c r="A99" s="22" t="s">
        <v>114</v>
      </c>
      <c r="Y99" s="23"/>
      <c r="Z99" s="444" t="s">
        <v>91</v>
      </c>
      <c r="AA99" s="350">
        <f>AA97*(100-'параметры для расчета'!C21)%</f>
        <v>6.400000000000002E+18</v>
      </c>
      <c r="AB99" s="146" t="s">
        <v>11</v>
      </c>
      <c r="AC99" s="442">
        <f>AC97*(100-'параметры для расчета'!C21)%</f>
        <v>3.5555555555555561E+19</v>
      </c>
      <c r="AD99" s="1" t="s">
        <v>12</v>
      </c>
      <c r="AG99" s="343" t="s">
        <v>285</v>
      </c>
      <c r="AH99" s="399">
        <f>AH97+AH98</f>
        <v>5.1200000000000016E+19</v>
      </c>
      <c r="AI99" s="146" t="s">
        <v>11</v>
      </c>
      <c r="AJ99" s="354">
        <f>AJ97+AJ98</f>
        <v>2.8444444444444449E+20</v>
      </c>
    </row>
    <row r="100" spans="1:36" x14ac:dyDescent="0.35">
      <c r="W100" s="64"/>
      <c r="X100" s="108"/>
      <c r="Y100" s="220"/>
      <c r="Z100" s="50"/>
      <c r="AA100" s="40"/>
      <c r="AB100" s="146"/>
      <c r="AC100" s="40"/>
      <c r="AD100" s="1"/>
    </row>
    <row r="101" spans="1:36" x14ac:dyDescent="0.35">
      <c r="C101" s="222"/>
      <c r="D101" s="12" t="s">
        <v>226</v>
      </c>
      <c r="E101" s="222">
        <f>'[2]баланс тритий'!B36*(1/N124)</f>
        <v>3.4722222222222223E+20</v>
      </c>
      <c r="F101" s="222"/>
      <c r="G101" s="222"/>
      <c r="H101" s="12" t="s">
        <v>226</v>
      </c>
      <c r="I101" s="222">
        <f>'[2]баланс тритий'!B36*(1/N124)</f>
        <v>3.4722222222222223E+20</v>
      </c>
      <c r="P101" s="12" t="s">
        <v>226</v>
      </c>
      <c r="Q101" s="222">
        <f>'[2]баланс тритий'!B36</f>
        <v>2.0833333333333334E+20</v>
      </c>
      <c r="S101" s="12" t="s">
        <v>226</v>
      </c>
      <c r="T101" s="222">
        <f>'[2]баланс тритий'!B36</f>
        <v>2.0833333333333334E+20</v>
      </c>
      <c r="W101" s="64"/>
      <c r="X101" s="120"/>
      <c r="Y101" s="118"/>
      <c r="Z101" s="343" t="s">
        <v>45</v>
      </c>
      <c r="AA101" s="351">
        <f>AA98*(1/2*1.38E-23*600)</f>
        <v>2.6496000000000009E-2</v>
      </c>
      <c r="AB101" s="343" t="s">
        <v>11</v>
      </c>
      <c r="AC101" s="288">
        <f>AC98*(1/2*1.38E-23*600)</f>
        <v>0.14720000000000003</v>
      </c>
      <c r="AD101" s="10" t="s">
        <v>9</v>
      </c>
    </row>
    <row r="102" spans="1:36" x14ac:dyDescent="0.35">
      <c r="D102" s="4" t="s">
        <v>227</v>
      </c>
      <c r="E102" s="268">
        <f>'[2]баланс дейтерий'!B36*(1/N124)</f>
        <v>3.4722222222222223E+20</v>
      </c>
      <c r="F102" s="227"/>
      <c r="G102" s="227"/>
      <c r="H102" s="4" t="s">
        <v>227</v>
      </c>
      <c r="I102" s="268">
        <f>'[2]баланс дейтерий'!B36*(1/N124)</f>
        <v>3.4722222222222223E+20</v>
      </c>
      <c r="M102" s="307"/>
      <c r="P102" s="4" t="s">
        <v>227</v>
      </c>
      <c r="Q102" s="268">
        <f>'[2]баланс дейтерий'!B36</f>
        <v>2.0833333333333334E+20</v>
      </c>
      <c r="S102" s="4" t="s">
        <v>227</v>
      </c>
      <c r="T102" s="268">
        <f>'[2]баланс дейтерий'!B36</f>
        <v>2.0833333333333334E+20</v>
      </c>
      <c r="AA102" s="352">
        <f>AA99*(1/2*1.38E-23*600)</f>
        <v>2.6496000000000009E-2</v>
      </c>
      <c r="AB102" s="343" t="s">
        <v>11</v>
      </c>
      <c r="AC102" s="445">
        <f>AC99*(1/2*1.38E-23*600)</f>
        <v>0.14720000000000003</v>
      </c>
      <c r="AD102" s="14" t="s">
        <v>9</v>
      </c>
    </row>
    <row r="103" spans="1:36" x14ac:dyDescent="0.35">
      <c r="A103" s="12"/>
      <c r="E103" s="267">
        <f>'[2]баланс дейтерий'!B37*(1/N124)</f>
        <v>3.4722222222222223E+20</v>
      </c>
      <c r="F103" s="227"/>
      <c r="G103" s="227"/>
      <c r="I103" s="267">
        <f>'[2]баланс дейтерий'!B37*(1/N124)</f>
        <v>3.4722222222222223E+20</v>
      </c>
      <c r="M103" s="307"/>
      <c r="P103" s="227"/>
      <c r="Q103" s="267">
        <f>'[2]баланс дейтерий'!B37</f>
        <v>2.0833333333333334E+20</v>
      </c>
      <c r="T103" s="267">
        <f>'[2]баланс дейтерий'!B37</f>
        <v>2.0833333333333334E+20</v>
      </c>
    </row>
    <row r="104" spans="1:36" x14ac:dyDescent="0.35">
      <c r="A104" s="12"/>
      <c r="E104" s="228">
        <f>'[2]баланс дейтерий'!B38*(1/N124)</f>
        <v>6.9444444444444446E+20</v>
      </c>
      <c r="F104" s="227"/>
      <c r="G104" s="227"/>
      <c r="I104" s="228">
        <f>'[2]баланс дейтерий'!B38*(1/N124)</f>
        <v>6.9444444444444446E+20</v>
      </c>
      <c r="M104" s="307"/>
      <c r="P104" s="227"/>
      <c r="Q104" s="228">
        <f>'[2]баланс дейтерий'!B38</f>
        <v>4.1666666666666669E+20</v>
      </c>
      <c r="T104" s="228">
        <f>'[2]баланс дейтерий'!B38</f>
        <v>4.1666666666666669E+20</v>
      </c>
      <c r="Z104" s="343" t="s">
        <v>45</v>
      </c>
      <c r="AA104" s="349">
        <f>AA98*3/(6.02*10^23)</f>
        <v>3.1893687707641215E-5</v>
      </c>
      <c r="AB104" s="343" t="s">
        <v>11</v>
      </c>
      <c r="AC104" s="61">
        <f>AC98*3/(6.02*10^23)</f>
        <v>1.7718715393134004E-4</v>
      </c>
      <c r="AD104" s="168" t="s">
        <v>7</v>
      </c>
      <c r="AE104" s="81"/>
      <c r="AF104" s="29"/>
    </row>
    <row r="105" spans="1:36" x14ac:dyDescent="0.35">
      <c r="A105" s="12"/>
      <c r="E105" s="343" t="s">
        <v>12</v>
      </c>
      <c r="F105" s="343"/>
      <c r="G105" s="343"/>
      <c r="I105" s="343" t="s">
        <v>12</v>
      </c>
      <c r="M105" s="343"/>
      <c r="P105" s="343"/>
      <c r="Q105" s="343" t="s">
        <v>12</v>
      </c>
      <c r="T105" s="343" t="s">
        <v>12</v>
      </c>
      <c r="Z105" s="343"/>
      <c r="AA105" s="350">
        <f>AA99*3/(6.02*10^23)</f>
        <v>3.1893687707641215E-5</v>
      </c>
      <c r="AB105" s="343" t="s">
        <v>11</v>
      </c>
      <c r="AC105" s="154">
        <f>AC99*3/(6.02*10^23)</f>
        <v>1.7718715393134004E-4</v>
      </c>
      <c r="AD105" s="168" t="s">
        <v>7</v>
      </c>
    </row>
    <row r="106" spans="1:36" x14ac:dyDescent="0.35">
      <c r="A106" s="12"/>
      <c r="M106" s="343"/>
      <c r="P106" s="343"/>
      <c r="Q106" s="343"/>
      <c r="T106" s="343"/>
    </row>
    <row r="107" spans="1:36" x14ac:dyDescent="0.35">
      <c r="E107" s="261">
        <v>0</v>
      </c>
      <c r="F107" s="22"/>
      <c r="G107" s="22"/>
      <c r="I107" s="261">
        <v>0</v>
      </c>
      <c r="M107" s="343"/>
      <c r="P107" s="343"/>
      <c r="Z107" s="343" t="s">
        <v>45</v>
      </c>
      <c r="AA107" s="353">
        <f>AA104*60*60*24*365/1000</f>
        <v>1.0057993355481734</v>
      </c>
      <c r="AB107" s="343" t="s">
        <v>11</v>
      </c>
      <c r="AC107" s="195">
        <f>AC104*60*60*24*365/1000</f>
        <v>5.5877740863787402</v>
      </c>
      <c r="AD107" s="168" t="s">
        <v>49</v>
      </c>
    </row>
    <row r="108" spans="1:36" x14ac:dyDescent="0.35">
      <c r="E108" s="51">
        <v>0</v>
      </c>
      <c r="F108" s="51"/>
      <c r="G108" s="51"/>
      <c r="I108" s="51">
        <v>0</v>
      </c>
      <c r="M108" s="343"/>
      <c r="P108" s="343"/>
      <c r="Q108" s="222">
        <f>'динамика трития в инжекторах'!AC98*'параметры для расчета'!F31</f>
        <v>1.4222222222222225E+20</v>
      </c>
      <c r="S108" s="12" t="s">
        <v>226</v>
      </c>
      <c r="T108" s="222">
        <f>'динамика трития в инжекторах'!AA98*'параметры для расчета'!F31</f>
        <v>2.5600000000000008E+19</v>
      </c>
      <c r="AA108" s="353">
        <f>AA105*60*60*24*365/1000</f>
        <v>1.0057993355481734</v>
      </c>
      <c r="AB108" s="343" t="s">
        <v>11</v>
      </c>
      <c r="AC108" s="446">
        <f>AC105*60*60*24*365/1000</f>
        <v>5.5877740863787402</v>
      </c>
      <c r="AD108" s="168" t="s">
        <v>49</v>
      </c>
    </row>
    <row r="109" spans="1:36" x14ac:dyDescent="0.35">
      <c r="A109" s="343"/>
      <c r="L109" s="62"/>
      <c r="M109" s="343"/>
      <c r="N109" s="343"/>
      <c r="Q109" s="227">
        <f>'динамика трития в инжекторах'!AC99*'параметры для расчета'!F31</f>
        <v>1.4222222222222225E+20</v>
      </c>
      <c r="S109" s="4" t="s">
        <v>227</v>
      </c>
      <c r="T109" s="256">
        <f>'динамика трития в инжекторах'!AA99*'параметры для расчета'!F31</f>
        <v>2.5600000000000008E+19</v>
      </c>
      <c r="AE109" s="26" t="s">
        <v>314</v>
      </c>
    </row>
    <row r="110" spans="1:36" x14ac:dyDescent="0.35">
      <c r="A110" s="12" t="s">
        <v>63</v>
      </c>
      <c r="B110" s="66">
        <f>'параметры для расчета'!C37*'параметры для расчета'!F31*'параметры для расчета'!C21%</f>
        <v>9</v>
      </c>
      <c r="C110" s="67" t="s">
        <v>9</v>
      </c>
      <c r="F110" s="12" t="s">
        <v>63</v>
      </c>
      <c r="G110" s="66">
        <f>'параметры для расчета'!C38*'параметры для расчета'!F31*'параметры для расчета'!C21%</f>
        <v>39</v>
      </c>
      <c r="H110" s="146" t="s">
        <v>9</v>
      </c>
      <c r="L110" s="12" t="s">
        <v>63</v>
      </c>
      <c r="M110" s="66">
        <f>D133</f>
        <v>0.17250000000000004</v>
      </c>
      <c r="N110" s="146" t="s">
        <v>9</v>
      </c>
      <c r="AA110" s="133">
        <f>AA104*(3.2*60*60)</f>
        <v>0.36741528239202681</v>
      </c>
      <c r="AB110" s="127" t="s">
        <v>11</v>
      </c>
      <c r="AC110" s="462">
        <f>AC104*(3.2*60*60)</f>
        <v>2.0411960132890372</v>
      </c>
      <c r="AD110" s="27" t="s">
        <v>252</v>
      </c>
      <c r="AE110" s="52"/>
      <c r="AF110" s="125">
        <f>(AA104+AA105)*(3.2*60*60)</f>
        <v>0.73483056478405362</v>
      </c>
      <c r="AG110" s="11" t="s">
        <v>313</v>
      </c>
    </row>
    <row r="111" spans="1:36" x14ac:dyDescent="0.35">
      <c r="A111" s="4" t="s">
        <v>115</v>
      </c>
      <c r="B111" s="270">
        <f>'параметры для расчета'!C37*'параметры для расчета'!F31*(100-'параметры для расчета'!C21)%</f>
        <v>9</v>
      </c>
      <c r="C111" s="343"/>
      <c r="F111" s="4" t="s">
        <v>115</v>
      </c>
      <c r="G111" s="270">
        <f>'параметры для расчета'!C38*'параметры для расчета'!F31*(100-'параметры для расчета'!C21)%</f>
        <v>39</v>
      </c>
      <c r="H111" s="343"/>
      <c r="L111" s="4" t="s">
        <v>115</v>
      </c>
      <c r="M111" s="270">
        <f>F133</f>
        <v>0.28750000000000009</v>
      </c>
      <c r="N111" s="343"/>
    </row>
    <row r="112" spans="1:36" x14ac:dyDescent="0.35">
      <c r="A112" s="24"/>
      <c r="B112" s="264">
        <v>0</v>
      </c>
      <c r="C112" s="67" t="s">
        <v>9</v>
      </c>
      <c r="G112" s="264">
        <v>0</v>
      </c>
      <c r="H112" s="96" t="s">
        <v>9</v>
      </c>
      <c r="I112" s="226"/>
      <c r="L112" s="12"/>
      <c r="M112" s="264">
        <f>D132</f>
        <v>0</v>
      </c>
      <c r="N112" s="96" t="s">
        <v>9</v>
      </c>
    </row>
    <row r="113" spans="1:24" x14ac:dyDescent="0.35">
      <c r="A113" s="24"/>
      <c r="B113" s="269">
        <f>'параметры для расчета'!C37*'параметры для расчета'!F31</f>
        <v>18</v>
      </c>
      <c r="C113" s="343"/>
      <c r="G113" s="269">
        <f>'параметры для расчета'!C38*'параметры для расчета'!F31</f>
        <v>78</v>
      </c>
      <c r="H113" s="343"/>
      <c r="I113" s="4"/>
      <c r="L113" s="4"/>
      <c r="M113" s="269">
        <f>F134</f>
        <v>0.28750000000000009</v>
      </c>
      <c r="N113" s="343"/>
    </row>
    <row r="114" spans="1:24" x14ac:dyDescent="0.35">
      <c r="A114" s="24"/>
      <c r="B114" s="221">
        <v>0</v>
      </c>
      <c r="C114" s="67" t="s">
        <v>9</v>
      </c>
      <c r="G114" s="221">
        <v>0</v>
      </c>
      <c r="H114" s="96" t="s">
        <v>9</v>
      </c>
      <c r="I114" s="226"/>
      <c r="L114" s="12"/>
      <c r="M114" s="221">
        <f>D135</f>
        <v>0</v>
      </c>
      <c r="N114" s="96" t="s">
        <v>9</v>
      </c>
    </row>
    <row r="115" spans="1:24" x14ac:dyDescent="0.35">
      <c r="A115" s="24"/>
      <c r="B115" s="212">
        <f>'параметры для расчета'!C37*'параметры для расчета'!F31</f>
        <v>18</v>
      </c>
      <c r="C115" s="343"/>
      <c r="G115" s="212">
        <f>'параметры для расчета'!C38*'параметры для расчета'!F31</f>
        <v>78</v>
      </c>
      <c r="H115" s="343"/>
      <c r="I115" s="4"/>
      <c r="L115" s="4"/>
      <c r="M115" s="212">
        <f>F135</f>
        <v>0.57500000000000018</v>
      </c>
      <c r="N115" s="343"/>
    </row>
    <row r="116" spans="1:24" x14ac:dyDescent="0.35">
      <c r="A116" s="18"/>
      <c r="N116" s="82"/>
    </row>
    <row r="117" spans="1:24" x14ac:dyDescent="0.35">
      <c r="A117" s="18"/>
      <c r="C117" s="92" t="s">
        <v>228</v>
      </c>
      <c r="L117" s="92" t="s">
        <v>163</v>
      </c>
    </row>
    <row r="119" spans="1:24" x14ac:dyDescent="0.35">
      <c r="A119" s="18"/>
      <c r="G119" s="343"/>
      <c r="H119" s="343"/>
      <c r="I119" s="343"/>
    </row>
    <row r="120" spans="1:24" x14ac:dyDescent="0.35">
      <c r="A120" s="18"/>
      <c r="V120" s="18"/>
      <c r="W120" s="18"/>
      <c r="X120" s="18"/>
    </row>
    <row r="121" spans="1:24" x14ac:dyDescent="0.35">
      <c r="A121" s="18"/>
    </row>
    <row r="122" spans="1:24" x14ac:dyDescent="0.35">
      <c r="A122" s="18"/>
    </row>
    <row r="123" spans="1:24" x14ac:dyDescent="0.35">
      <c r="A123" s="53"/>
      <c r="B123" s="10" t="s">
        <v>231</v>
      </c>
    </row>
    <row r="124" spans="1:24" x14ac:dyDescent="0.35">
      <c r="A124" s="18"/>
      <c r="B124" s="10" t="s">
        <v>118</v>
      </c>
      <c r="J124" s="1" t="s">
        <v>117</v>
      </c>
      <c r="N124" s="275">
        <f>'параметры для расчета'!C39</f>
        <v>0.6</v>
      </c>
    </row>
    <row r="125" spans="1:24" x14ac:dyDescent="0.35">
      <c r="A125" s="76"/>
    </row>
    <row r="126" spans="1:24" x14ac:dyDescent="0.35">
      <c r="A126" s="18"/>
      <c r="C126" s="12" t="s">
        <v>119</v>
      </c>
      <c r="D126" s="42">
        <f>'[2]баланс тритий'!B36</f>
        <v>2.0833333333333334E+20</v>
      </c>
      <c r="E126" s="37" t="s">
        <v>120</v>
      </c>
      <c r="F126" s="271">
        <f>'[2]баланс дейтерий'!B36</f>
        <v>2.0833333333333334E+20</v>
      </c>
      <c r="G126" s="73" t="s">
        <v>121</v>
      </c>
      <c r="R126" s="22" t="s">
        <v>229</v>
      </c>
    </row>
    <row r="127" spans="1:24" x14ac:dyDescent="0.35">
      <c r="A127" s="18"/>
      <c r="D127" s="447">
        <f>'[2]баланс тритий'!B37</f>
        <v>2.0833333333333334E+20</v>
      </c>
      <c r="F127" s="272">
        <f>'[2]баланс дейтерий'!B37</f>
        <v>2.0833333333333334E+20</v>
      </c>
      <c r="R127" s="22" t="s">
        <v>230</v>
      </c>
    </row>
    <row r="128" spans="1:24" x14ac:dyDescent="0.35">
      <c r="A128" s="18"/>
      <c r="D128" s="221">
        <f>'[2]баланс тритий'!B38</f>
        <v>0</v>
      </c>
      <c r="E128" s="36"/>
      <c r="F128" s="225">
        <f>'[2]баланс дейтерий'!B38</f>
        <v>4.1666666666666669E+20</v>
      </c>
      <c r="G128" s="73"/>
      <c r="M128" s="58"/>
    </row>
    <row r="129" spans="1:34" x14ac:dyDescent="0.35">
      <c r="A129" s="18"/>
      <c r="B129" s="168" t="s">
        <v>77</v>
      </c>
      <c r="Q129" s="343"/>
      <c r="R129" s="229" t="s">
        <v>50</v>
      </c>
      <c r="S129" s="229" t="s">
        <v>171</v>
      </c>
      <c r="T129" s="229" t="s">
        <v>73</v>
      </c>
    </row>
    <row r="130" spans="1:34" x14ac:dyDescent="0.35">
      <c r="D130" s="90">
        <f>D126*(1-N124)</f>
        <v>8.3333333333333344E+19</v>
      </c>
      <c r="E130" s="37" t="s">
        <v>12</v>
      </c>
      <c r="F130" s="157">
        <f>F126*(1-N124)/N124</f>
        <v>1.3888888888888892E+20</v>
      </c>
      <c r="G130" s="10" t="s">
        <v>12</v>
      </c>
      <c r="Q130" s="229" t="s">
        <v>78</v>
      </c>
      <c r="R130" s="66">
        <f>T108*(1/2*1.38E-23*300)+M110</f>
        <v>0.22549200000000005</v>
      </c>
      <c r="S130" s="62">
        <f>T101*(1/2*1.38E-23*300)</f>
        <v>0.43125000000000002</v>
      </c>
      <c r="T130" s="230">
        <f>R130/(R130+R131)</f>
        <v>0.39840702210663198</v>
      </c>
    </row>
    <row r="131" spans="1:34" x14ac:dyDescent="0.35">
      <c r="D131" s="182">
        <f>D127*(1-N124)</f>
        <v>8.3333333333333344E+19</v>
      </c>
      <c r="F131" s="273">
        <f>F127*(1-N124)/N124</f>
        <v>1.3888888888888892E+20</v>
      </c>
      <c r="Q131" s="343"/>
      <c r="R131" s="270">
        <f>T109*(1/2*1.38E-23*300)+M111</f>
        <v>0.34049200000000013</v>
      </c>
      <c r="S131" s="211">
        <f>T102*(1/2*1.38E-23*300)</f>
        <v>0.43125000000000002</v>
      </c>
      <c r="T131" s="230"/>
    </row>
    <row r="132" spans="1:34" x14ac:dyDescent="0.35">
      <c r="D132" s="95">
        <f>D128*(1-N124)</f>
        <v>0</v>
      </c>
      <c r="F132" s="225">
        <f>F128*(1-N124)/N124</f>
        <v>2.7777777777777784E+20</v>
      </c>
      <c r="Q132" s="12" t="s">
        <v>63</v>
      </c>
      <c r="R132" s="266">
        <f>T108*(1/2*1.38E-23*300)+M112</f>
        <v>5.2992000000000018E-2</v>
      </c>
      <c r="S132" s="343">
        <v>0</v>
      </c>
      <c r="T132" s="233">
        <f>R132/(R132+R133)</f>
        <v>0.13467383680149636</v>
      </c>
    </row>
    <row r="133" spans="1:34" x14ac:dyDescent="0.35">
      <c r="C133" s="12" t="s">
        <v>122</v>
      </c>
      <c r="D133" s="145">
        <f>D130*(1/2*1.38E-23*300)</f>
        <v>0.17250000000000004</v>
      </c>
      <c r="E133" s="219" t="s">
        <v>9</v>
      </c>
      <c r="F133" s="210">
        <f>F130*(1/2*1.38E-23*300)</f>
        <v>0.28750000000000009</v>
      </c>
      <c r="G133" s="1" t="s">
        <v>9</v>
      </c>
      <c r="H133" s="343" t="s">
        <v>88</v>
      </c>
      <c r="I133" s="141">
        <f>D133/(G110+B110)</f>
        <v>3.593750000000001E-3</v>
      </c>
      <c r="J133" s="282">
        <f>F133/(G111+B111)</f>
        <v>5.9895833333333355E-3</v>
      </c>
      <c r="K133" s="25" t="s">
        <v>170</v>
      </c>
      <c r="Q133" s="4" t="s">
        <v>115</v>
      </c>
      <c r="R133" s="269">
        <f>T109*(1/2*1.38E-23*300)+M113</f>
        <v>0.34049200000000013</v>
      </c>
      <c r="S133" s="211">
        <f>T103*(1/2*1.38E-23*300)</f>
        <v>0.43125000000000002</v>
      </c>
      <c r="T133" s="230"/>
      <c r="AB133" s="10" t="s">
        <v>188</v>
      </c>
      <c r="AH133" s="168" t="s">
        <v>194</v>
      </c>
    </row>
    <row r="134" spans="1:34" x14ac:dyDescent="0.35">
      <c r="D134" s="263">
        <f>D131*(1/2*1.38E-23*300)</f>
        <v>0.17250000000000004</v>
      </c>
      <c r="F134" s="274">
        <f>F131*(1/2*1.38E-23*300)</f>
        <v>0.28750000000000009</v>
      </c>
      <c r="I134" s="283">
        <f>D134/(G113+B113)</f>
        <v>1.7968750000000005E-3</v>
      </c>
      <c r="J134" s="284">
        <f>F134/(G113+B113)</f>
        <v>2.9947916666666677E-3</v>
      </c>
      <c r="K134" s="168"/>
      <c r="Q134" s="12" t="s">
        <v>63</v>
      </c>
      <c r="R134" s="185">
        <f>T108*(1/2*1.38E-23*300)+M114</f>
        <v>5.2992000000000018E-2</v>
      </c>
      <c r="S134" s="343">
        <v>0</v>
      </c>
      <c r="T134" s="233">
        <f>R134/(R134+R135)</f>
        <v>7.7816806268576053E-2</v>
      </c>
      <c r="AB134" s="10" t="s">
        <v>189</v>
      </c>
      <c r="AH134" s="168" t="s">
        <v>196</v>
      </c>
    </row>
    <row r="135" spans="1:34" x14ac:dyDescent="0.35">
      <c r="D135" s="95">
        <f>D132*(1/2*1.38E-23*300)</f>
        <v>0</v>
      </c>
      <c r="F135" s="208">
        <f>F132*(1/2*1.38E-23*300)</f>
        <v>0.57500000000000018</v>
      </c>
      <c r="I135" s="223">
        <f>D135/(G115+B115)</f>
        <v>0</v>
      </c>
      <c r="J135" s="285">
        <f>F135/(G115+B115)</f>
        <v>5.9895833333333355E-3</v>
      </c>
      <c r="Q135" s="4" t="s">
        <v>115</v>
      </c>
      <c r="R135" s="212">
        <f>T109*(1/2*1.38E-23*300)+M115</f>
        <v>0.62799200000000022</v>
      </c>
      <c r="S135" s="211">
        <f>T104*(1/2*1.38E-23*300)</f>
        <v>0.86250000000000004</v>
      </c>
      <c r="T135" s="230"/>
      <c r="AB135" s="10" t="s">
        <v>190</v>
      </c>
      <c r="AH135" s="168" t="s">
        <v>195</v>
      </c>
    </row>
    <row r="136" spans="1:34" x14ac:dyDescent="0.35">
      <c r="R136" s="96" t="s">
        <v>9</v>
      </c>
      <c r="S136" s="96" t="s">
        <v>9</v>
      </c>
      <c r="AB136" s="10" t="s">
        <v>191</v>
      </c>
      <c r="AH136" s="168" t="s">
        <v>198</v>
      </c>
    </row>
    <row r="137" spans="1:34" x14ac:dyDescent="0.35">
      <c r="AH137" s="76" t="s">
        <v>197</v>
      </c>
    </row>
    <row r="138" spans="1:34" x14ac:dyDescent="0.35">
      <c r="AH138" s="168" t="s">
        <v>200</v>
      </c>
    </row>
    <row r="139" spans="1:34" x14ac:dyDescent="0.35">
      <c r="AH139" s="168" t="s">
        <v>199</v>
      </c>
    </row>
    <row r="142" spans="1:34" x14ac:dyDescent="0.35">
      <c r="AB142" s="10" t="s">
        <v>192</v>
      </c>
    </row>
    <row r="143" spans="1:34" x14ac:dyDescent="0.35">
      <c r="A143" s="54"/>
      <c r="B143" s="49" t="s">
        <v>308</v>
      </c>
      <c r="AB143" s="10" t="s">
        <v>193</v>
      </c>
    </row>
    <row r="145" spans="1:18" x14ac:dyDescent="0.35">
      <c r="A145" s="55"/>
      <c r="B145" s="22" t="s">
        <v>309</v>
      </c>
    </row>
    <row r="146" spans="1:18" x14ac:dyDescent="0.35">
      <c r="A146" s="55"/>
      <c r="B146" s="22" t="s">
        <v>310</v>
      </c>
    </row>
    <row r="147" spans="1:18" x14ac:dyDescent="0.35">
      <c r="A147" s="55"/>
      <c r="B147" s="87" t="s">
        <v>156</v>
      </c>
    </row>
    <row r="148" spans="1:18" x14ac:dyDescent="0.35">
      <c r="A148" s="55"/>
      <c r="B148" s="22"/>
    </row>
    <row r="155" spans="1:18" x14ac:dyDescent="0.35">
      <c r="K155" s="14"/>
    </row>
    <row r="158" spans="1:18" x14ac:dyDescent="0.35">
      <c r="D158" s="163" t="s">
        <v>43</v>
      </c>
      <c r="J158" s="74" t="s">
        <v>43</v>
      </c>
      <c r="Q158" s="47" t="s">
        <v>183</v>
      </c>
      <c r="R158" s="47"/>
    </row>
    <row r="160" spans="1:18" x14ac:dyDescent="0.35">
      <c r="C160" s="27" t="s">
        <v>311</v>
      </c>
    </row>
    <row r="161" spans="2:3" x14ac:dyDescent="0.35">
      <c r="C161" s="11" t="s">
        <v>312</v>
      </c>
    </row>
    <row r="172" spans="2:3" x14ac:dyDescent="0.35">
      <c r="B172" s="22"/>
    </row>
  </sheetData>
  <mergeCells count="5">
    <mergeCell ref="R68:R69"/>
    <mergeCell ref="R71:R72"/>
    <mergeCell ref="AE1:AE3"/>
    <mergeCell ref="S41:S43"/>
    <mergeCell ref="AE29:AE31"/>
  </mergeCells>
  <pageMargins left="0.7" right="0.7" top="0.75" bottom="0.75" header="0.3" footer="0.3"/>
  <pageSetup paperSize="9" scale="47" orientation="landscape" r:id="rId1"/>
  <rowBreaks count="3" manualBreakCount="3">
    <brk id="59" max="46" man="1"/>
    <brk id="79" max="46" man="1"/>
    <brk id="147" max="46" man="1"/>
  </rowBreaks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параметры для расчета</vt:lpstr>
      <vt:lpstr>динамика трития в инжекторах</vt:lpstr>
      <vt:lpstr>'динамика трития в инжекторах'!Область_печати</vt:lpstr>
      <vt:lpstr>'параметры для расчета'!Область_печати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lastPrinted>2018-12-14T15:32:11Z</cp:lastPrinted>
  <dcterms:created xsi:type="dcterms:W3CDTF">2013-07-10T08:25:06Z</dcterms:created>
  <dcterms:modified xsi:type="dcterms:W3CDTF">2023-06-23T13:37:32Z</dcterms:modified>
</cp:coreProperties>
</file>