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ml.chartshapes+xml"/>
  <Override PartName="/xl/charts/chart16.xml" ContentType="application/vnd.openxmlformats-officedocument.drawingml.chart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ml.chartshape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6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7.xml" ContentType="application/vnd.openxmlformats-officedocument.drawingml.chartshape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8.xml" ContentType="application/vnd.openxmlformats-officedocument.drawingml.chartshapes+xml"/>
  <Override PartName="/xl/charts/chart31.xml" ContentType="application/vnd.openxmlformats-officedocument.drawingml.chart+xml"/>
  <Override PartName="/xl/drawings/drawing9.xml" ContentType="application/vnd.openxmlformats-officedocument.drawingml.chartshapes+xml"/>
  <Override PartName="/xl/charts/chart32.xml" ContentType="application/vnd.openxmlformats-officedocument.drawingml.chart+xml"/>
  <Override PartName="/xl/drawings/drawing10.xml" ContentType="application/vnd.openxmlformats-officedocument.drawingml.chartshapes+xml"/>
  <Override PartName="/xl/charts/chart33.xml" ContentType="application/vnd.openxmlformats-officedocument.drawingml.chart+xml"/>
  <Override PartName="/xl/drawings/drawing11.xml" ContentType="application/vnd.openxmlformats-officedocument.drawingml.chartshapes+xml"/>
  <Override PartName="/xl/charts/chart34.xml" ContentType="application/vnd.openxmlformats-officedocument.drawingml.chart+xml"/>
  <Override PartName="/xl/drawings/drawing12.xml" ContentType="application/vnd.openxmlformats-officedocument.drawingml.chartshapes+xml"/>
  <Override PartName="/xl/charts/chart35.xml" ContentType="application/vnd.openxmlformats-officedocument.drawingml.chart+xml"/>
  <Override PartName="/xl/drawings/drawing13.xml" ContentType="application/vnd.openxmlformats-officedocument.drawingml.chartshapes+xml"/>
  <Override PartName="/xl/charts/chart36.xml" ContentType="application/vnd.openxmlformats-officedocument.drawingml.chart+xml"/>
  <Override PartName="/xl/drawings/drawing14.xml" ContentType="application/vnd.openxmlformats-officedocument.drawingml.chartshapes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charts/chart38.xml" ContentType="application/vnd.openxmlformats-officedocument.drawingml.chart+xml"/>
  <Override PartName="/xl/drawings/drawing16.xml" ContentType="application/vnd.openxmlformats-officedocument.drawingml.chartshapes+xml"/>
  <Override PartName="/xl/charts/chart39.xml" ContentType="application/vnd.openxmlformats-officedocument.drawingml.chart+xml"/>
  <Override PartName="/xl/drawings/drawing17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defaultThemeVersion="124226"/>
  <bookViews>
    <workbookView xWindow="60" yWindow="60" windowWidth="19380" windowHeight="10980" tabRatio="861"/>
  </bookViews>
  <sheets>
    <sheet name="параметры для расчета" sheetId="10" r:id="rId1"/>
    <sheet name="скан параметров" sheetId="13" r:id="rId2"/>
    <sheet name="ASTRA" sheetId="14" r:id="rId3"/>
    <sheet name="параметры установок" sheetId="5" r:id="rId4"/>
    <sheet name="выдача" sheetId="12" r:id="rId5"/>
    <sheet name="Лист2" sheetId="15" r:id="rId6"/>
  </sheets>
  <externalReferences>
    <externalReference r:id="rId7"/>
    <externalReference r:id="rId8"/>
    <externalReference r:id="rId9"/>
    <externalReference r:id="rId10"/>
  </externalReferences>
  <definedNames>
    <definedName name="a">#REF!</definedName>
    <definedName name="b">#REF!</definedName>
    <definedName name="bb">#REF!</definedName>
    <definedName name="cc">#REF!</definedName>
    <definedName name="d">#REF!</definedName>
    <definedName name="e">#REF!</definedName>
    <definedName name="f">#REF!</definedName>
    <definedName name="I0">#REF!</definedName>
    <definedName name="L">#REF!</definedName>
    <definedName name="Lm">#REF!</definedName>
    <definedName name="N">#REF!</definedName>
    <definedName name="T_1">#REF!</definedName>
    <definedName name="T_2">#REF!</definedName>
    <definedName name="_xlnm.Print_Area" localSheetId="0">'параметры для расчета'!$A$1:$U$72</definedName>
    <definedName name="_xlnm.Print_Area" localSheetId="3">'параметры установок'!$A$1:$AY$70</definedName>
  </definedNames>
  <calcPr calcId="145621"/>
</workbook>
</file>

<file path=xl/calcChain.xml><?xml version="1.0" encoding="utf-8"?>
<calcChain xmlns="http://schemas.openxmlformats.org/spreadsheetml/2006/main">
  <c r="C128" i="14" l="1"/>
  <c r="D128" i="14"/>
  <c r="E128" i="14"/>
  <c r="F128" i="14"/>
  <c r="G128" i="14"/>
  <c r="H128" i="14"/>
  <c r="I128" i="14"/>
  <c r="J128" i="14"/>
  <c r="K128" i="14"/>
  <c r="L128" i="14"/>
  <c r="M128" i="14"/>
  <c r="C130" i="14"/>
  <c r="D130" i="14"/>
  <c r="E130" i="14"/>
  <c r="F130" i="14"/>
  <c r="G130" i="14"/>
  <c r="H130" i="14"/>
  <c r="I130" i="14"/>
  <c r="J130" i="14"/>
  <c r="K130" i="14"/>
  <c r="L130" i="14"/>
  <c r="M130" i="14"/>
  <c r="B130" i="14"/>
  <c r="B128" i="14"/>
  <c r="AA5" i="13" l="1"/>
  <c r="AA4" i="13"/>
  <c r="AA3" i="13"/>
  <c r="AK5" i="13"/>
  <c r="AK4" i="13"/>
  <c r="AK3" i="13"/>
  <c r="AF5" i="13"/>
  <c r="AF4" i="13"/>
  <c r="AF3" i="13"/>
  <c r="B120" i="14" l="1"/>
  <c r="AL48" i="10"/>
  <c r="AP27" i="13"/>
  <c r="AO27" i="13"/>
  <c r="AN27" i="13"/>
  <c r="AP31" i="13"/>
  <c r="AO31" i="13"/>
  <c r="AN31" i="13"/>
  <c r="AP30" i="13"/>
  <c r="AO30" i="13"/>
  <c r="AN30" i="13"/>
  <c r="AP29" i="13"/>
  <c r="AO29" i="13"/>
  <c r="AN29" i="13"/>
  <c r="AP28" i="13"/>
  <c r="AO28" i="13"/>
  <c r="AN28" i="13"/>
  <c r="K10" i="13"/>
  <c r="J10" i="13"/>
  <c r="I10" i="13"/>
  <c r="H10" i="13"/>
  <c r="K9" i="13"/>
  <c r="J9" i="13"/>
  <c r="I9" i="13"/>
  <c r="H9" i="13"/>
  <c r="K8" i="13"/>
  <c r="J8" i="13"/>
  <c r="I8" i="13"/>
  <c r="H8" i="13"/>
  <c r="K51" i="13"/>
  <c r="J51" i="13"/>
  <c r="I51" i="13"/>
  <c r="H51" i="13"/>
  <c r="K50" i="13"/>
  <c r="J50" i="13"/>
  <c r="I50" i="13"/>
  <c r="H50" i="13"/>
  <c r="K49" i="13"/>
  <c r="J49" i="13"/>
  <c r="I49" i="13"/>
  <c r="H49" i="13"/>
  <c r="L27" i="13"/>
  <c r="K27" i="13"/>
  <c r="J27" i="13"/>
  <c r="L31" i="13"/>
  <c r="K31" i="13"/>
  <c r="J31" i="13"/>
  <c r="L30" i="13"/>
  <c r="K30" i="13"/>
  <c r="J30" i="13"/>
  <c r="L29" i="13"/>
  <c r="K29" i="13"/>
  <c r="J29" i="13"/>
  <c r="L28" i="13"/>
  <c r="K28" i="13"/>
  <c r="J28" i="13"/>
  <c r="P10" i="13"/>
  <c r="O10" i="13"/>
  <c r="N10" i="13"/>
  <c r="M10" i="13"/>
  <c r="P9" i="13"/>
  <c r="O9" i="13"/>
  <c r="N9" i="13"/>
  <c r="M9" i="13"/>
  <c r="P8" i="13"/>
  <c r="O8" i="13"/>
  <c r="N8" i="13"/>
  <c r="M8" i="13"/>
  <c r="P51" i="13"/>
  <c r="O51" i="13"/>
  <c r="N51" i="13"/>
  <c r="M51" i="13"/>
  <c r="P50" i="13"/>
  <c r="O50" i="13"/>
  <c r="N50" i="13"/>
  <c r="M50" i="13"/>
  <c r="P49" i="13"/>
  <c r="O49" i="13"/>
  <c r="N49" i="13"/>
  <c r="M49" i="13"/>
  <c r="O14" i="13"/>
  <c r="Q13" i="13"/>
  <c r="P13" i="13"/>
  <c r="O13" i="13"/>
  <c r="O23" i="13" a="1"/>
  <c r="Q23" i="13" s="1"/>
  <c r="O22" i="13" a="1"/>
  <c r="Q22" i="13" s="1"/>
  <c r="O20" i="13" a="1"/>
  <c r="Q20" i="13" s="1"/>
  <c r="Q17" i="13"/>
  <c r="P17" i="13"/>
  <c r="O17" i="13"/>
  <c r="Q16" i="13"/>
  <c r="P16" i="13"/>
  <c r="O16" i="13"/>
  <c r="Q15" i="13"/>
  <c r="P15" i="13"/>
  <c r="O15" i="13"/>
  <c r="Q14" i="13"/>
  <c r="P14" i="13"/>
  <c r="R50" i="13"/>
  <c r="S50" i="13"/>
  <c r="T50" i="13"/>
  <c r="U50" i="13"/>
  <c r="R51" i="13"/>
  <c r="S51" i="13"/>
  <c r="T51" i="13"/>
  <c r="U51" i="13"/>
  <c r="S49" i="13"/>
  <c r="T49" i="13"/>
  <c r="U49" i="13"/>
  <c r="R49" i="13"/>
  <c r="U10" i="13"/>
  <c r="T10" i="13"/>
  <c r="S10" i="13"/>
  <c r="R10" i="13"/>
  <c r="U9" i="13"/>
  <c r="T9" i="13"/>
  <c r="S9" i="13"/>
  <c r="R9" i="13"/>
  <c r="U8" i="13"/>
  <c r="T8" i="13"/>
  <c r="S8" i="13"/>
  <c r="R8" i="13"/>
  <c r="T31" i="13"/>
  <c r="T30" i="13"/>
  <c r="T29" i="13"/>
  <c r="T28" i="13"/>
  <c r="V27" i="13"/>
  <c r="U27" i="13"/>
  <c r="T27" i="13"/>
  <c r="T34" i="13" a="1"/>
  <c r="V34" i="13" s="1"/>
  <c r="V31" i="13"/>
  <c r="U31" i="13"/>
  <c r="V30" i="13"/>
  <c r="U30" i="13"/>
  <c r="V29" i="13"/>
  <c r="U29" i="13"/>
  <c r="V28" i="13"/>
  <c r="U28" i="13"/>
  <c r="AN34" i="13" l="1" a="1"/>
  <c r="AN35" i="13" a="1"/>
  <c r="AN36" i="13" a="1"/>
  <c r="J34" i="13" a="1"/>
  <c r="J35" i="13" a="1"/>
  <c r="J36" i="13" a="1"/>
  <c r="O20" i="13"/>
  <c r="O22" i="13"/>
  <c r="O23" i="13"/>
  <c r="P20" i="13"/>
  <c r="P22" i="13"/>
  <c r="P23" i="13"/>
  <c r="T34" i="13"/>
  <c r="U34" i="13"/>
  <c r="AP34" i="13" l="1"/>
  <c r="AL10" i="13" s="1"/>
  <c r="AL51" i="13" s="1"/>
  <c r="AO34" i="13"/>
  <c r="AL9" i="13" s="1"/>
  <c r="AL50" i="13" s="1"/>
  <c r="AN34" i="13"/>
  <c r="AL8" i="13" s="1"/>
  <c r="AL49" i="13" s="1"/>
  <c r="AP35" i="13"/>
  <c r="AM10" i="13" s="1"/>
  <c r="AM51" i="13" s="1"/>
  <c r="AO35" i="13"/>
  <c r="AM9" i="13" s="1"/>
  <c r="AM50" i="13" s="1"/>
  <c r="AN35" i="13"/>
  <c r="AM8" i="13" s="1"/>
  <c r="AM49" i="13" s="1"/>
  <c r="AP36" i="13"/>
  <c r="AN10" i="13" s="1"/>
  <c r="AN51" i="13" s="1"/>
  <c r="AO36" i="13"/>
  <c r="AN9" i="13" s="1"/>
  <c r="AN50" i="13" s="1"/>
  <c r="AN36" i="13"/>
  <c r="AN8" i="13" s="1"/>
  <c r="AN49" i="13" s="1"/>
  <c r="L36" i="13"/>
  <c r="K36" i="13"/>
  <c r="J36" i="13"/>
  <c r="L35" i="13"/>
  <c r="K35" i="13"/>
  <c r="J35" i="13"/>
  <c r="L34" i="13"/>
  <c r="K34" i="13"/>
  <c r="J34" i="13"/>
  <c r="V42" i="13" l="1"/>
  <c r="V43" i="13" s="1"/>
  <c r="U42" i="13"/>
  <c r="U43" i="13" s="1"/>
  <c r="AC43" i="13" s="1"/>
  <c r="T42" i="13"/>
  <c r="AU30" i="10"/>
  <c r="AW30" i="10"/>
  <c r="AV30" i="10"/>
  <c r="AV28" i="10"/>
  <c r="AW28" i="10"/>
  <c r="AU28" i="10"/>
  <c r="AF27" i="13"/>
  <c r="AE27" i="13"/>
  <c r="AD27" i="13"/>
  <c r="AL13" i="13"/>
  <c r="AK13" i="13"/>
  <c r="AJ13" i="13"/>
  <c r="AA13" i="13"/>
  <c r="Z13" i="13"/>
  <c r="Y13" i="13"/>
  <c r="AC5" i="13" l="1"/>
  <c r="AF29" i="13" s="1"/>
  <c r="T43" i="13"/>
  <c r="W41" i="13" s="1"/>
  <c r="AE41" i="13"/>
  <c r="AB41" i="13"/>
  <c r="AI41" i="13"/>
  <c r="AH41" i="13"/>
  <c r="AJ41" i="13"/>
  <c r="AD41" i="13"/>
  <c r="Z41" i="13"/>
  <c r="X41" i="13"/>
  <c r="Y42" i="13"/>
  <c r="AC42" i="13"/>
  <c r="AG42" i="13"/>
  <c r="Z43" i="13"/>
  <c r="AD43" i="13"/>
  <c r="AH43" i="13"/>
  <c r="Z42" i="13"/>
  <c r="AD42" i="13"/>
  <c r="AH42" i="13"/>
  <c r="W43" i="13"/>
  <c r="AE43" i="13"/>
  <c r="AI43" i="13"/>
  <c r="Y41" i="13"/>
  <c r="AC41" i="13"/>
  <c r="AG41" i="13"/>
  <c r="W42" i="13"/>
  <c r="AE42" i="13"/>
  <c r="AI42" i="13"/>
  <c r="X43" i="13"/>
  <c r="AB43" i="13"/>
  <c r="AJ43" i="13"/>
  <c r="X42" i="13"/>
  <c r="AB42" i="13"/>
  <c r="AJ42" i="13"/>
  <c r="AG43" i="13"/>
  <c r="AB5" i="13" l="1"/>
  <c r="AF28" i="13" s="1"/>
  <c r="AE4" i="13"/>
  <c r="AE31" i="13" s="1"/>
  <c r="AB3" i="13"/>
  <c r="AD28" i="13" s="1"/>
  <c r="AD5" i="13"/>
  <c r="AF30" i="13" s="1"/>
  <c r="AE5" i="13"/>
  <c r="AF31" i="13" s="1"/>
  <c r="AC4" i="13"/>
  <c r="AE29" i="13" s="1"/>
  <c r="AE3" i="13"/>
  <c r="AD31" i="13" s="1"/>
  <c r="AD4" i="13"/>
  <c r="AE30" i="13" s="1"/>
  <c r="AB4" i="13"/>
  <c r="AE28" i="13" s="1"/>
  <c r="AC3" i="13"/>
  <c r="AD29" i="13" s="1"/>
  <c r="AD3" i="13"/>
  <c r="AD30" i="13" s="1"/>
  <c r="AG3" i="13"/>
  <c r="AJ14" i="13" s="1"/>
  <c r="AH5" i="13"/>
  <c r="AL15" i="13" s="1"/>
  <c r="AI3" i="13"/>
  <c r="AJ16" i="13" s="1"/>
  <c r="AJ3" i="13"/>
  <c r="AJ17" i="13" s="1"/>
  <c r="AG4" i="13"/>
  <c r="AK14" i="13" s="1"/>
  <c r="AH4" i="13"/>
  <c r="AK15" i="13" s="1"/>
  <c r="AJ5" i="13"/>
  <c r="AL17" i="13" s="1"/>
  <c r="AI5" i="13"/>
  <c r="AL16" i="13" s="1"/>
  <c r="AH3" i="13"/>
  <c r="AJ15" i="13" s="1"/>
  <c r="AI4" i="13"/>
  <c r="AK16" i="13" s="1"/>
  <c r="AG5" i="13"/>
  <c r="AL14" i="13" s="1"/>
  <c r="AJ4" i="13"/>
  <c r="AK17" i="13" s="1"/>
  <c r="Z4" i="13"/>
  <c r="Z17" i="13" s="1"/>
  <c r="Z5" i="13"/>
  <c r="AA17" i="13" s="1"/>
  <c r="X4" i="13"/>
  <c r="Z15" i="13" s="1"/>
  <c r="Y3" i="13"/>
  <c r="Y16" i="13" s="1"/>
  <c r="W5" i="13"/>
  <c r="AA14" i="13" s="1"/>
  <c r="Z3" i="13"/>
  <c r="Y17" i="13" s="1"/>
  <c r="X5" i="13"/>
  <c r="AA15" i="13" s="1"/>
  <c r="Y4" i="13"/>
  <c r="Z16" i="13" s="1"/>
  <c r="W4" i="13"/>
  <c r="Z14" i="13" s="1"/>
  <c r="X3" i="13"/>
  <c r="Y15" i="13" s="1"/>
  <c r="W3" i="13"/>
  <c r="Y14" i="13" s="1"/>
  <c r="Y43" i="13"/>
  <c r="AK65" i="10"/>
  <c r="H7" i="13"/>
  <c r="H6" i="13" s="1"/>
  <c r="Y5" i="13" l="1"/>
  <c r="AA16" i="13" s="1"/>
  <c r="B78" i="14"/>
  <c r="I79" i="14"/>
  <c r="I78" i="14"/>
  <c r="I77" i="14"/>
  <c r="I76" i="14"/>
  <c r="I75" i="14"/>
  <c r="I74" i="14"/>
  <c r="I73" i="14"/>
  <c r="I72" i="14"/>
  <c r="I71" i="14"/>
  <c r="I66" i="14"/>
  <c r="I64" i="14"/>
  <c r="H79" i="14"/>
  <c r="H78" i="14"/>
  <c r="H77" i="14"/>
  <c r="H76" i="14"/>
  <c r="H75" i="14"/>
  <c r="H74" i="14"/>
  <c r="H73" i="14"/>
  <c r="H72" i="14"/>
  <c r="H71" i="14"/>
  <c r="H66" i="14"/>
  <c r="H64" i="14"/>
  <c r="G79" i="14"/>
  <c r="G78" i="14"/>
  <c r="G77" i="14"/>
  <c r="G76" i="14"/>
  <c r="G75" i="14"/>
  <c r="G74" i="14"/>
  <c r="G73" i="14"/>
  <c r="G72" i="14"/>
  <c r="G71" i="14"/>
  <c r="G66" i="14"/>
  <c r="G64" i="14"/>
  <c r="F79" i="14"/>
  <c r="F78" i="14"/>
  <c r="F77" i="14"/>
  <c r="F76" i="14"/>
  <c r="F75" i="14"/>
  <c r="F74" i="14"/>
  <c r="F73" i="14"/>
  <c r="F72" i="14"/>
  <c r="F71" i="14"/>
  <c r="F66" i="14"/>
  <c r="F64" i="14"/>
  <c r="E79" i="14"/>
  <c r="E78" i="14"/>
  <c r="E77" i="14"/>
  <c r="E76" i="14"/>
  <c r="E75" i="14"/>
  <c r="E74" i="14"/>
  <c r="E73" i="14"/>
  <c r="E72" i="14"/>
  <c r="E71" i="14"/>
  <c r="E66" i="14"/>
  <c r="E64" i="14"/>
  <c r="D79" i="14"/>
  <c r="D78" i="14"/>
  <c r="D77" i="14"/>
  <c r="D76" i="14"/>
  <c r="D75" i="14"/>
  <c r="D74" i="14"/>
  <c r="D73" i="14"/>
  <c r="D72" i="14"/>
  <c r="D71" i="14"/>
  <c r="D66" i="14"/>
  <c r="D64" i="14"/>
  <c r="C79" i="14"/>
  <c r="C78" i="14"/>
  <c r="C77" i="14"/>
  <c r="C76" i="14"/>
  <c r="C75" i="14"/>
  <c r="C74" i="14"/>
  <c r="C73" i="14"/>
  <c r="C72" i="14"/>
  <c r="C71" i="14"/>
  <c r="C66" i="14"/>
  <c r="C64" i="14"/>
  <c r="B79" i="14"/>
  <c r="B77" i="14"/>
  <c r="B76" i="14"/>
  <c r="B75" i="14"/>
  <c r="B74" i="14"/>
  <c r="B73" i="14"/>
  <c r="B72" i="14"/>
  <c r="B71" i="14"/>
  <c r="B66" i="14"/>
  <c r="B64" i="14"/>
  <c r="M79" i="14"/>
  <c r="M78" i="14"/>
  <c r="M80" i="14" s="1"/>
  <c r="M77" i="14"/>
  <c r="M76" i="14"/>
  <c r="M75" i="14"/>
  <c r="M74" i="14"/>
  <c r="M73" i="14"/>
  <c r="M72" i="14"/>
  <c r="M71" i="14"/>
  <c r="M66" i="14"/>
  <c r="M64" i="14"/>
  <c r="L79" i="14"/>
  <c r="L78" i="14"/>
  <c r="L81" i="14" s="1"/>
  <c r="L77" i="14"/>
  <c r="L76" i="14"/>
  <c r="L75" i="14"/>
  <c r="L74" i="14"/>
  <c r="L73" i="14"/>
  <c r="L72" i="14"/>
  <c r="L71" i="14"/>
  <c r="L66" i="14"/>
  <c r="L64" i="14"/>
  <c r="K79" i="14"/>
  <c r="K78" i="14"/>
  <c r="K81" i="14" s="1"/>
  <c r="K77" i="14"/>
  <c r="K76" i="14"/>
  <c r="K75" i="14"/>
  <c r="K74" i="14"/>
  <c r="K73" i="14"/>
  <c r="K72" i="14"/>
  <c r="K71" i="14"/>
  <c r="K66" i="14"/>
  <c r="K64" i="14"/>
  <c r="J64" i="14"/>
  <c r="J107" i="14"/>
  <c r="L95" i="14"/>
  <c r="L97" i="14"/>
  <c r="L99" i="14" s="1"/>
  <c r="L103" i="14" s="1"/>
  <c r="L104" i="14"/>
  <c r="L102" i="14"/>
  <c r="J79" i="14"/>
  <c r="J78" i="14"/>
  <c r="J77" i="14"/>
  <c r="J76" i="14"/>
  <c r="J75" i="14"/>
  <c r="J74" i="14"/>
  <c r="J73" i="14"/>
  <c r="J72" i="14"/>
  <c r="J71" i="14"/>
  <c r="J66" i="14"/>
  <c r="L80" i="14"/>
  <c r="M81" i="14"/>
  <c r="K80" i="14" l="1"/>
  <c r="K30" i="10" l="1"/>
  <c r="K27" i="10" l="1"/>
  <c r="K28" i="10" s="1"/>
  <c r="J28" i="10" s="1"/>
  <c r="F7" i="10" l="1"/>
  <c r="AV13" i="10" l="1"/>
  <c r="AU13" i="10"/>
  <c r="AT13" i="10"/>
  <c r="AS13" i="10"/>
  <c r="AM28" i="10" l="1"/>
  <c r="AO28" i="10" l="1"/>
  <c r="AN28" i="10"/>
  <c r="AT21" i="10" l="1"/>
  <c r="K9" i="10" l="1"/>
  <c r="C9" i="10" s="1"/>
  <c r="H44" i="10" l="1"/>
  <c r="AJ21" i="10" l="1"/>
  <c r="AU21" i="10"/>
  <c r="AK21" i="10"/>
  <c r="AI21" i="10" l="1"/>
  <c r="AP21" i="10"/>
  <c r="AO21" i="10"/>
  <c r="AS24" i="10" l="1"/>
  <c r="AS21" i="10" s="1"/>
  <c r="AN24" i="10"/>
  <c r="AN21" i="10" s="1"/>
  <c r="DX3" i="13"/>
  <c r="DX4" i="13"/>
  <c r="DX5" i="13"/>
  <c r="DS3" i="13"/>
  <c r="DS4" i="13"/>
  <c r="DS5" i="13"/>
  <c r="DN3" i="13"/>
  <c r="DN4" i="13"/>
  <c r="DN5" i="13"/>
  <c r="DI3" i="13"/>
  <c r="DI4" i="13"/>
  <c r="DI5" i="13"/>
  <c r="DD3" i="13"/>
  <c r="DD4" i="13"/>
  <c r="DD5" i="13"/>
  <c r="CY3" i="13"/>
  <c r="CY4" i="13"/>
  <c r="CY5" i="13"/>
  <c r="CT3" i="13"/>
  <c r="CT4" i="13"/>
  <c r="CT5" i="13"/>
  <c r="CO3" i="13"/>
  <c r="CO4" i="13"/>
  <c r="CO5" i="13"/>
  <c r="CJ3" i="13"/>
  <c r="CJ4" i="13"/>
  <c r="CJ5" i="13"/>
  <c r="CE3" i="13"/>
  <c r="CE4" i="13"/>
  <c r="CE5" i="13"/>
  <c r="BZ3" i="13"/>
  <c r="BZ4" i="13"/>
  <c r="BZ5" i="13"/>
  <c r="BU3" i="13"/>
  <c r="BU4" i="13"/>
  <c r="BU5" i="13"/>
  <c r="BV5" i="13"/>
  <c r="BV4" i="13"/>
  <c r="BP3" i="13"/>
  <c r="BP4" i="13"/>
  <c r="BP5" i="13"/>
  <c r="BK3" i="13"/>
  <c r="BK4" i="13"/>
  <c r="BK5" i="13"/>
  <c r="BF3" i="13"/>
  <c r="BF4" i="13"/>
  <c r="BF5" i="13"/>
  <c r="BA3" i="13"/>
  <c r="BA4" i="13"/>
  <c r="BA5" i="13"/>
  <c r="AV3" i="13"/>
  <c r="AV4" i="13"/>
  <c r="AV5" i="13"/>
  <c r="AQ3" i="13"/>
  <c r="AQ4" i="13"/>
  <c r="AQ5" i="13"/>
  <c r="AL3" i="13"/>
  <c r="AL4" i="13"/>
  <c r="AL5" i="13"/>
  <c r="R3" i="13"/>
  <c r="R4" i="13"/>
  <c r="R5" i="13"/>
  <c r="M3" i="13"/>
  <c r="M4" i="13"/>
  <c r="M5" i="13"/>
  <c r="H3" i="13"/>
  <c r="H4" i="13"/>
  <c r="H5" i="13"/>
  <c r="C3" i="13"/>
  <c r="C4" i="13"/>
  <c r="C5" i="13"/>
  <c r="B98" i="14" l="1"/>
  <c r="B100" i="14"/>
  <c r="J118" i="14" l="1"/>
  <c r="J117" i="14"/>
  <c r="J116" i="14"/>
  <c r="J115" i="14"/>
  <c r="J114" i="14"/>
  <c r="J113" i="14"/>
  <c r="J112" i="14"/>
  <c r="J111" i="14"/>
  <c r="J110" i="14"/>
  <c r="J109" i="14"/>
  <c r="J108" i="14"/>
  <c r="AJ24" i="10" l="1"/>
  <c r="DZ3" i="13" l="1"/>
  <c r="EA3" i="13"/>
  <c r="EB3" i="13"/>
  <c r="DZ4" i="13"/>
  <c r="EA4" i="13"/>
  <c r="EB4" i="13"/>
  <c r="DZ5" i="13"/>
  <c r="EA5" i="13"/>
  <c r="EB5" i="13"/>
  <c r="DY5" i="13"/>
  <c r="DY4" i="13"/>
  <c r="DY3" i="13"/>
  <c r="DU3" i="13"/>
  <c r="DV3" i="13"/>
  <c r="DW3" i="13"/>
  <c r="DU4" i="13"/>
  <c r="DV4" i="13"/>
  <c r="DW4" i="13"/>
  <c r="DU5" i="13"/>
  <c r="DV5" i="13"/>
  <c r="DW5" i="13"/>
  <c r="DT5" i="13"/>
  <c r="DT4" i="13"/>
  <c r="DT3" i="13"/>
  <c r="AB5" i="10" l="1"/>
  <c r="DP3" i="13"/>
  <c r="DQ3" i="13"/>
  <c r="DR3" i="13"/>
  <c r="DP4" i="13"/>
  <c r="DQ4" i="13"/>
  <c r="DR4" i="13"/>
  <c r="DP5" i="13"/>
  <c r="DQ5" i="13"/>
  <c r="DR5" i="13"/>
  <c r="DK3" i="13"/>
  <c r="DL3" i="13"/>
  <c r="DM3" i="13"/>
  <c r="DK4" i="13"/>
  <c r="DL4" i="13"/>
  <c r="DM4" i="13"/>
  <c r="DK5" i="13"/>
  <c r="DL5" i="13"/>
  <c r="DM5" i="13"/>
  <c r="DO5" i="13"/>
  <c r="DO4" i="13"/>
  <c r="DO3" i="13"/>
  <c r="DJ5" i="13"/>
  <c r="DJ4" i="13"/>
  <c r="DJ3" i="13"/>
  <c r="E122" i="14"/>
  <c r="E123" i="14" s="1"/>
  <c r="A7" i="13"/>
  <c r="BF7" i="13" l="1"/>
  <c r="BF6" i="13" s="1"/>
  <c r="AL7" i="13"/>
  <c r="AL6" i="13" s="1"/>
  <c r="M7" i="13"/>
  <c r="M6" i="13" s="1"/>
  <c r="R7" i="13"/>
  <c r="R6" i="13" s="1"/>
  <c r="DF3" i="13"/>
  <c r="DG3" i="13"/>
  <c r="DH3" i="13"/>
  <c r="DF4" i="13"/>
  <c r="DG4" i="13"/>
  <c r="DH4" i="13"/>
  <c r="DF5" i="13"/>
  <c r="DG5" i="13"/>
  <c r="DH5" i="13"/>
  <c r="DE5" i="13"/>
  <c r="DE4" i="13"/>
  <c r="DE3" i="13"/>
  <c r="BR3" i="13"/>
  <c r="BS3" i="13"/>
  <c r="BT3" i="13"/>
  <c r="BR4" i="13"/>
  <c r="BS4" i="13"/>
  <c r="BT4" i="13"/>
  <c r="BR5" i="13"/>
  <c r="BS5" i="13"/>
  <c r="BT5" i="13"/>
  <c r="BQ5" i="13"/>
  <c r="BQ4" i="13"/>
  <c r="BQ3" i="13"/>
  <c r="S12" i="10"/>
  <c r="AJ8" i="10"/>
  <c r="AX3" i="13"/>
  <c r="AY3" i="13"/>
  <c r="AZ3" i="13"/>
  <c r="AX4" i="13"/>
  <c r="AY4" i="13"/>
  <c r="AZ4" i="13"/>
  <c r="AX5" i="13"/>
  <c r="AY5" i="13"/>
  <c r="AZ5" i="13"/>
  <c r="AW5" i="13"/>
  <c r="AW4" i="13"/>
  <c r="AW3" i="13"/>
  <c r="C8" i="10"/>
  <c r="E3" i="13"/>
  <c r="F3" i="13"/>
  <c r="G3" i="13"/>
  <c r="E4" i="13"/>
  <c r="F4" i="13"/>
  <c r="G4" i="13"/>
  <c r="E5" i="13"/>
  <c r="F5" i="13"/>
  <c r="G5" i="13"/>
  <c r="D5" i="13"/>
  <c r="D4" i="13"/>
  <c r="D3" i="13"/>
  <c r="DA3" i="13"/>
  <c r="DB3" i="13"/>
  <c r="DC3" i="13"/>
  <c r="DA4" i="13"/>
  <c r="DB4" i="13"/>
  <c r="DC4" i="13"/>
  <c r="DA5" i="13"/>
  <c r="DB5" i="13"/>
  <c r="DC5" i="13"/>
  <c r="CZ5" i="13"/>
  <c r="CZ4" i="13"/>
  <c r="CZ3" i="13"/>
  <c r="CV3" i="13"/>
  <c r="CW3" i="13"/>
  <c r="CX3" i="13"/>
  <c r="CV4" i="13"/>
  <c r="CW4" i="13"/>
  <c r="CX4" i="13"/>
  <c r="CV5" i="13"/>
  <c r="CW5" i="13"/>
  <c r="CX5" i="13"/>
  <c r="CU5" i="13"/>
  <c r="CU4" i="13"/>
  <c r="CU3" i="13"/>
  <c r="C25" i="10"/>
  <c r="C104" i="14" l="1"/>
  <c r="D104" i="14"/>
  <c r="E104" i="14"/>
  <c r="F104" i="14"/>
  <c r="G104" i="14"/>
  <c r="H104" i="14"/>
  <c r="I104" i="14"/>
  <c r="J104" i="14"/>
  <c r="K104" i="14"/>
  <c r="M104" i="14"/>
  <c r="B104" i="14"/>
  <c r="B95" i="14"/>
  <c r="C102" i="14"/>
  <c r="D102" i="14"/>
  <c r="E102" i="14"/>
  <c r="F102" i="14"/>
  <c r="G102" i="14"/>
  <c r="H102" i="14"/>
  <c r="I102" i="14"/>
  <c r="J102" i="14"/>
  <c r="K102" i="14"/>
  <c r="M102" i="14"/>
  <c r="B102" i="14"/>
  <c r="C98" i="14"/>
  <c r="D98" i="14"/>
  <c r="E98" i="14"/>
  <c r="F98" i="14"/>
  <c r="G98" i="14"/>
  <c r="H98" i="14"/>
  <c r="I98" i="14"/>
  <c r="J98" i="14"/>
  <c r="K98" i="14"/>
  <c r="L98" i="14"/>
  <c r="M98" i="14"/>
  <c r="M34" i="10"/>
  <c r="CQ3" i="13" l="1"/>
  <c r="CR3" i="13"/>
  <c r="CS3" i="13"/>
  <c r="CQ4" i="13"/>
  <c r="CR4" i="13"/>
  <c r="CS4" i="13"/>
  <c r="CQ5" i="13"/>
  <c r="CR5" i="13"/>
  <c r="CS5" i="13"/>
  <c r="CP5" i="13"/>
  <c r="CP4" i="13"/>
  <c r="CP3" i="13"/>
  <c r="CL3" i="13" l="1"/>
  <c r="CM3" i="13"/>
  <c r="CN3" i="13"/>
  <c r="CL4" i="13"/>
  <c r="CM4" i="13"/>
  <c r="CN4" i="13"/>
  <c r="CL5" i="13"/>
  <c r="CM5" i="13"/>
  <c r="CN5" i="13"/>
  <c r="CK5" i="13"/>
  <c r="CK4" i="13"/>
  <c r="CK3" i="13"/>
  <c r="CD5" i="13" l="1"/>
  <c r="M35" i="10" l="1"/>
  <c r="I44" i="10" l="1"/>
  <c r="CG3" i="13" l="1"/>
  <c r="CH3" i="13"/>
  <c r="CI3" i="13"/>
  <c r="CG4" i="13"/>
  <c r="CH4" i="13"/>
  <c r="CI4" i="13"/>
  <c r="CG5" i="13"/>
  <c r="CH5" i="13"/>
  <c r="CI5" i="13"/>
  <c r="CF5" i="13"/>
  <c r="CF4" i="13"/>
  <c r="CF3" i="13"/>
  <c r="CB3" i="13"/>
  <c r="CC3" i="13"/>
  <c r="CD3" i="13"/>
  <c r="CB4" i="13"/>
  <c r="CC4" i="13"/>
  <c r="CD4" i="13"/>
  <c r="CB5" i="13"/>
  <c r="CC5" i="13"/>
  <c r="CA5" i="13"/>
  <c r="CA4" i="13"/>
  <c r="CA3" i="13"/>
  <c r="BW3" i="13"/>
  <c r="BX3" i="13"/>
  <c r="BW4" i="13"/>
  <c r="BX4" i="13"/>
  <c r="BW5" i="13"/>
  <c r="BX5" i="13"/>
  <c r="BV3" i="13"/>
  <c r="BM3" i="13"/>
  <c r="BN3" i="13"/>
  <c r="BO3" i="13"/>
  <c r="BM4" i="13"/>
  <c r="BN4" i="13"/>
  <c r="BO4" i="13"/>
  <c r="BM5" i="13"/>
  <c r="BN5" i="13"/>
  <c r="BO5" i="13"/>
  <c r="BL5" i="13"/>
  <c r="BL4" i="13"/>
  <c r="BL3" i="13"/>
  <c r="BG7" i="13"/>
  <c r="BG6" i="13" s="1"/>
  <c r="BH7" i="13"/>
  <c r="BH6" i="13" s="1"/>
  <c r="BI7" i="13"/>
  <c r="BI6" i="13" s="1"/>
  <c r="BH3" i="13"/>
  <c r="BI3" i="13"/>
  <c r="BJ3" i="13"/>
  <c r="BH4" i="13"/>
  <c r="BI4" i="13"/>
  <c r="BJ4" i="13"/>
  <c r="BH5" i="13"/>
  <c r="BI5" i="13"/>
  <c r="BJ5" i="13"/>
  <c r="BG5" i="13"/>
  <c r="BG4" i="13"/>
  <c r="BG3" i="13"/>
  <c r="BC3" i="13"/>
  <c r="BD3" i="13"/>
  <c r="BE3" i="13"/>
  <c r="BC4" i="13"/>
  <c r="BD4" i="13"/>
  <c r="BE4" i="13"/>
  <c r="BC5" i="13"/>
  <c r="BD5" i="13"/>
  <c r="BE5" i="13"/>
  <c r="BB5" i="13"/>
  <c r="BB4" i="13"/>
  <c r="BB3" i="13"/>
  <c r="AS3" i="13"/>
  <c r="AT3" i="13"/>
  <c r="AU3" i="13"/>
  <c r="AS4" i="13"/>
  <c r="AT4" i="13"/>
  <c r="AU4" i="13"/>
  <c r="AS5" i="13"/>
  <c r="AT5" i="13"/>
  <c r="AU5" i="13"/>
  <c r="AR5" i="13"/>
  <c r="AR4" i="13"/>
  <c r="AR3" i="13"/>
  <c r="EH3" i="13" l="1"/>
  <c r="C94" i="14" l="1"/>
  <c r="D94" i="14"/>
  <c r="E94" i="14"/>
  <c r="F94" i="14"/>
  <c r="G94" i="14"/>
  <c r="H94" i="14"/>
  <c r="I94" i="14"/>
  <c r="J94" i="14"/>
  <c r="K94" i="14"/>
  <c r="L94" i="14"/>
  <c r="M94" i="14"/>
  <c r="B94" i="14"/>
  <c r="C95" i="14"/>
  <c r="D95" i="14"/>
  <c r="E95" i="14"/>
  <c r="F95" i="14"/>
  <c r="G95" i="14"/>
  <c r="H95" i="14"/>
  <c r="I95" i="14"/>
  <c r="J95" i="14"/>
  <c r="K95" i="14"/>
  <c r="M95" i="14"/>
  <c r="AM7" i="13"/>
  <c r="AM6" i="13" s="1"/>
  <c r="AN7" i="13"/>
  <c r="AN6" i="13" s="1"/>
  <c r="AN3" i="13"/>
  <c r="AO3" i="13"/>
  <c r="AP3" i="13"/>
  <c r="AN4" i="13"/>
  <c r="AO4" i="13"/>
  <c r="AP4" i="13"/>
  <c r="AN5" i="13"/>
  <c r="AO5" i="13"/>
  <c r="AP5" i="13"/>
  <c r="AM5" i="13"/>
  <c r="AM4" i="13"/>
  <c r="AM3" i="13"/>
  <c r="P7" i="13"/>
  <c r="P6" i="13" s="1"/>
  <c r="I7" i="13"/>
  <c r="I6" i="13" s="1"/>
  <c r="J7" i="13"/>
  <c r="J6" i="13" s="1"/>
  <c r="K7" i="13"/>
  <c r="K6" i="13" s="1"/>
  <c r="N7" i="13"/>
  <c r="N6" i="13" s="1"/>
  <c r="O7" i="13"/>
  <c r="O6" i="13" s="1"/>
  <c r="S7" i="13"/>
  <c r="S6" i="13" s="1"/>
  <c r="T7" i="13"/>
  <c r="T6" i="13" s="1"/>
  <c r="U7" i="13"/>
  <c r="U6" i="13" s="1"/>
  <c r="T3" i="13" l="1"/>
  <c r="U3" i="13"/>
  <c r="V3" i="13"/>
  <c r="T4" i="13"/>
  <c r="U4" i="13"/>
  <c r="V4" i="13"/>
  <c r="T5" i="13"/>
  <c r="U5" i="13"/>
  <c r="V5" i="13"/>
  <c r="S5" i="13" l="1"/>
  <c r="S4" i="13"/>
  <c r="S3" i="13"/>
  <c r="O3" i="13"/>
  <c r="P3" i="13"/>
  <c r="Q3" i="13"/>
  <c r="O4" i="13"/>
  <c r="P4" i="13"/>
  <c r="Q4" i="13"/>
  <c r="O5" i="13"/>
  <c r="P5" i="13"/>
  <c r="Q5" i="13"/>
  <c r="N5" i="13"/>
  <c r="N4" i="13"/>
  <c r="N3" i="13"/>
  <c r="J5" i="13"/>
  <c r="K5" i="13"/>
  <c r="L5" i="13"/>
  <c r="J4" i="13"/>
  <c r="K4" i="13"/>
  <c r="L4" i="13"/>
  <c r="K3" i="13"/>
  <c r="L3" i="13"/>
  <c r="J3" i="13"/>
  <c r="I5" i="13"/>
  <c r="I4" i="13"/>
  <c r="I3" i="13"/>
  <c r="C91" i="14" l="1"/>
  <c r="C92" i="14" s="1"/>
  <c r="D91" i="14"/>
  <c r="D92" i="14" s="1"/>
  <c r="E91" i="14"/>
  <c r="E92" i="14" s="1"/>
  <c r="F91" i="14"/>
  <c r="F92" i="14" s="1"/>
  <c r="G91" i="14"/>
  <c r="G92" i="14" s="1"/>
  <c r="H91" i="14"/>
  <c r="H92" i="14" s="1"/>
  <c r="I91" i="14"/>
  <c r="I92" i="14" s="1"/>
  <c r="J91" i="14"/>
  <c r="J92" i="14" s="1"/>
  <c r="K91" i="14"/>
  <c r="K92" i="14" s="1"/>
  <c r="L91" i="14"/>
  <c r="L92" i="14" s="1"/>
  <c r="M91" i="14"/>
  <c r="M92" i="14" s="1"/>
  <c r="B91" i="14"/>
  <c r="C120" i="14"/>
  <c r="D120" i="14"/>
  <c r="E120" i="14"/>
  <c r="F120" i="14"/>
  <c r="G120" i="14"/>
  <c r="H120" i="14"/>
  <c r="I120" i="14"/>
  <c r="J120" i="14"/>
  <c r="K120" i="14"/>
  <c r="L120" i="14"/>
  <c r="M120" i="14"/>
  <c r="C121" i="14"/>
  <c r="D121" i="14"/>
  <c r="E121" i="14"/>
  <c r="F121" i="14"/>
  <c r="G121" i="14"/>
  <c r="H121" i="14"/>
  <c r="I121" i="14"/>
  <c r="J121" i="14"/>
  <c r="K121" i="14"/>
  <c r="L121" i="14"/>
  <c r="M121" i="14"/>
  <c r="C122" i="14"/>
  <c r="C123" i="14" s="1"/>
  <c r="D122" i="14"/>
  <c r="D123" i="14" s="1"/>
  <c r="F122" i="14"/>
  <c r="F123" i="14" s="1"/>
  <c r="G122" i="14"/>
  <c r="G123" i="14" s="1"/>
  <c r="H122" i="14"/>
  <c r="H123" i="14" s="1"/>
  <c r="I122" i="14"/>
  <c r="I123" i="14" s="1"/>
  <c r="J122" i="14"/>
  <c r="J123" i="14" s="1"/>
  <c r="K122" i="14"/>
  <c r="K123" i="14" s="1"/>
  <c r="L122" i="14"/>
  <c r="L123" i="14" s="1"/>
  <c r="M122" i="14"/>
  <c r="M123" i="14" s="1"/>
  <c r="C124" i="14"/>
  <c r="D124" i="14"/>
  <c r="E124" i="14"/>
  <c r="F124" i="14"/>
  <c r="G124" i="14"/>
  <c r="H124" i="14"/>
  <c r="I124" i="14"/>
  <c r="J124" i="14"/>
  <c r="K124" i="14"/>
  <c r="L124" i="14"/>
  <c r="M124" i="14"/>
  <c r="E126" i="14"/>
  <c r="F126" i="14"/>
  <c r="H126" i="14"/>
  <c r="I126" i="14"/>
  <c r="M126" i="14"/>
  <c r="B124" i="14"/>
  <c r="B122" i="14"/>
  <c r="B123" i="14" s="1"/>
  <c r="B121" i="14"/>
  <c r="L126" i="14" l="1"/>
  <c r="D126" i="14"/>
  <c r="J126" i="14"/>
  <c r="K126" i="14"/>
  <c r="C126" i="14"/>
  <c r="G126" i="14"/>
  <c r="J81" i="14"/>
  <c r="J125" i="14"/>
  <c r="F81" i="14"/>
  <c r="F125" i="14"/>
  <c r="B92" i="14"/>
  <c r="B126" i="14"/>
  <c r="B81" i="14"/>
  <c r="B125" i="14"/>
  <c r="M125" i="14"/>
  <c r="I81" i="14"/>
  <c r="I125" i="14"/>
  <c r="E81" i="14"/>
  <c r="E125" i="14"/>
  <c r="L125" i="14"/>
  <c r="H81" i="14"/>
  <c r="H125" i="14"/>
  <c r="D81" i="14"/>
  <c r="D125" i="14"/>
  <c r="K125" i="14"/>
  <c r="G81" i="14"/>
  <c r="G125" i="14"/>
  <c r="C81" i="14"/>
  <c r="C125" i="14"/>
  <c r="I80" i="14"/>
  <c r="H80" i="14"/>
  <c r="E80" i="14"/>
  <c r="D80" i="14"/>
  <c r="C80" i="14"/>
  <c r="J80" i="14"/>
  <c r="F80" i="14"/>
  <c r="G80" i="14"/>
  <c r="B80" i="14"/>
  <c r="AJ35" i="10"/>
  <c r="S68" i="10" l="1"/>
  <c r="U68" i="10"/>
  <c r="V68" i="10"/>
  <c r="S69" i="10"/>
  <c r="U70" i="10"/>
  <c r="U69" i="10" s="1"/>
  <c r="V70" i="10"/>
  <c r="V69" i="10" s="1"/>
  <c r="S71" i="10"/>
  <c r="T71" i="10"/>
  <c r="U73" i="10"/>
  <c r="U75" i="10" s="1"/>
  <c r="V73" i="10"/>
  <c r="V75" i="10" s="1"/>
  <c r="U74" i="10"/>
  <c r="V74" i="10"/>
  <c r="S75" i="10"/>
  <c r="S76" i="10"/>
  <c r="U76" i="10"/>
  <c r="V76" i="10"/>
  <c r="V71" i="10" l="1"/>
  <c r="U71" i="10"/>
  <c r="L55" i="10" l="1"/>
  <c r="L56" i="10"/>
  <c r="L57" i="10"/>
  <c r="C58" i="10" s="1"/>
  <c r="L54" i="10"/>
  <c r="L64" i="10"/>
  <c r="L60" i="10"/>
  <c r="L61" i="10"/>
  <c r="L62" i="10"/>
  <c r="L63" i="10"/>
  <c r="L59" i="10"/>
  <c r="F58" i="10" l="1"/>
  <c r="AL24" i="10"/>
  <c r="AL21" i="10" s="1"/>
  <c r="C59" i="10" l="1"/>
  <c r="F59" i="10" l="1"/>
  <c r="AK61" i="10"/>
  <c r="AK53" i="10"/>
  <c r="AK54" i="10"/>
  <c r="AK55" i="10"/>
  <c r="AK56" i="10"/>
  <c r="AK66" i="10"/>
  <c r="AK57" i="10"/>
  <c r="AK58" i="10"/>
  <c r="AK60" i="10"/>
  <c r="AV24" i="10" l="1"/>
  <c r="AV21" i="10" s="1"/>
  <c r="AQ24" i="10"/>
  <c r="AQ21" i="10" s="1"/>
  <c r="AK24" i="10" l="1"/>
  <c r="AU24" i="10"/>
  <c r="AP24" i="10"/>
  <c r="C7" i="10" l="1"/>
  <c r="EH4" i="13" l="1"/>
  <c r="EH5" i="13"/>
  <c r="C21" i="10" l="1"/>
  <c r="P56" i="10" l="1"/>
  <c r="P53" i="10"/>
  <c r="C11" i="10" l="1"/>
  <c r="AT24" i="10"/>
  <c r="AO24" i="10"/>
  <c r="B20" i="12"/>
  <c r="E20" i="12" s="1"/>
  <c r="B19" i="12"/>
  <c r="E19" i="12" s="1"/>
  <c r="B4" i="12"/>
  <c r="B17" i="12"/>
  <c r="B16" i="12"/>
  <c r="B2" i="12"/>
  <c r="AJ34" i="10" l="1"/>
  <c r="F13" i="10"/>
  <c r="M11" i="10"/>
  <c r="C16" i="10"/>
  <c r="S31" i="10"/>
  <c r="AB9" i="10"/>
  <c r="T25" i="10"/>
  <c r="AG5" i="10"/>
  <c r="F23" i="10"/>
  <c r="AB3" i="10"/>
  <c r="T24" i="10"/>
  <c r="N3" i="10"/>
  <c r="AG4" i="10"/>
  <c r="F22" i="10"/>
  <c r="Z10" i="10"/>
  <c r="C18" i="10"/>
  <c r="T23" i="10"/>
  <c r="F25" i="10"/>
  <c r="F21" i="10"/>
  <c r="Z8" i="10"/>
  <c r="C17" i="10"/>
  <c r="T31" i="10"/>
  <c r="M12" i="10"/>
  <c r="F24" i="10"/>
  <c r="AB4" i="10"/>
  <c r="AF6" i="10" s="1"/>
  <c r="AJ9" i="10"/>
  <c r="E4" i="12"/>
  <c r="AR28" i="10" l="1"/>
  <c r="G18" i="10"/>
  <c r="H14" i="10"/>
  <c r="F17" i="10"/>
  <c r="C19" i="10"/>
  <c r="K12" i="12"/>
  <c r="AJ33" i="10"/>
  <c r="AJ30" i="10"/>
  <c r="AJ31" i="10"/>
  <c r="F14" i="10"/>
  <c r="B1" i="12"/>
  <c r="AJ32" i="10" l="1"/>
  <c r="C14" i="10"/>
  <c r="K10" i="12"/>
  <c r="S2" i="10" l="1"/>
  <c r="K21" i="10" l="1"/>
  <c r="P12" i="10" s="1"/>
  <c r="N4" i="10"/>
  <c r="K16" i="10" l="1"/>
  <c r="K17" i="10" l="1"/>
  <c r="K7" i="10"/>
  <c r="K5" i="10"/>
  <c r="K33" i="10"/>
  <c r="K37" i="10" l="1"/>
  <c r="T18" i="10"/>
  <c r="K5" i="12" s="1"/>
  <c r="E97" i="14"/>
  <c r="E99" i="14" s="1"/>
  <c r="E103" i="14" s="1"/>
  <c r="I97" i="14"/>
  <c r="I99" i="14" s="1"/>
  <c r="I103" i="14" s="1"/>
  <c r="M97" i="14"/>
  <c r="M99" i="14" s="1"/>
  <c r="M103" i="14" s="1"/>
  <c r="C97" i="14"/>
  <c r="C99" i="14" s="1"/>
  <c r="C103" i="14" s="1"/>
  <c r="G97" i="14"/>
  <c r="G99" i="14" s="1"/>
  <c r="G103" i="14" s="1"/>
  <c r="K97" i="14"/>
  <c r="K99" i="14" s="1"/>
  <c r="K103" i="14" s="1"/>
  <c r="H97" i="14"/>
  <c r="H99" i="14" s="1"/>
  <c r="H103" i="14" s="1"/>
  <c r="F97" i="14"/>
  <c r="F99" i="14" s="1"/>
  <c r="F103" i="14" s="1"/>
  <c r="J97" i="14"/>
  <c r="J99" i="14" s="1"/>
  <c r="J103" i="14" s="1"/>
  <c r="B97" i="14"/>
  <c r="B99" i="14" s="1"/>
  <c r="B103" i="14" s="1"/>
  <c r="D97" i="14"/>
  <c r="D99" i="14" s="1"/>
  <c r="D103" i="14" s="1"/>
  <c r="S6" i="10"/>
  <c r="S5" i="10"/>
  <c r="S4" i="10"/>
  <c r="S3" i="10"/>
  <c r="S11" i="10"/>
  <c r="S10" i="10"/>
  <c r="S9" i="10"/>
  <c r="AF5" i="10" l="1"/>
  <c r="F31" i="10" l="1"/>
  <c r="K12" i="10" l="1"/>
  <c r="G10" i="10" l="1"/>
  <c r="T15" i="10"/>
  <c r="K2" i="12" s="1"/>
  <c r="K11" i="10"/>
  <c r="M15" i="10" l="1"/>
  <c r="Q15" i="10"/>
  <c r="H2" i="12" s="1"/>
  <c r="R15" i="10"/>
  <c r="I2" i="12" s="1"/>
  <c r="S15" i="10"/>
  <c r="J2" i="12" s="1"/>
  <c r="M30" i="10"/>
  <c r="J30" i="10" l="1"/>
  <c r="W15" i="10"/>
  <c r="AJ6" i="10" l="1"/>
  <c r="AJ10" i="10" s="1"/>
  <c r="K13" i="10" l="1"/>
  <c r="K4" i="10" l="1"/>
  <c r="K6" i="10" s="1"/>
  <c r="F76" i="10" l="1"/>
  <c r="F75" i="10"/>
  <c r="F74" i="10"/>
  <c r="AI43" i="5"/>
  <c r="AD43" i="5"/>
  <c r="Y43" i="5"/>
  <c r="T43" i="5"/>
  <c r="O43" i="5"/>
  <c r="J43" i="5"/>
  <c r="E43" i="5"/>
  <c r="AK41" i="5"/>
  <c r="AI41" i="5"/>
  <c r="AF41" i="5"/>
  <c r="AD41" i="5"/>
  <c r="AA41" i="5"/>
  <c r="Y41" i="5"/>
  <c r="V41" i="5"/>
  <c r="T41" i="5"/>
  <c r="Q41" i="5"/>
  <c r="O41" i="5"/>
  <c r="L41" i="5"/>
  <c r="J41" i="5"/>
  <c r="G41" i="5"/>
  <c r="E41" i="5"/>
  <c r="AK40" i="5"/>
  <c r="AI40" i="5"/>
  <c r="AF40" i="5"/>
  <c r="AD40" i="5"/>
  <c r="AA40" i="5"/>
  <c r="Y40" i="5"/>
  <c r="V40" i="5"/>
  <c r="T40" i="5"/>
  <c r="Q40" i="5"/>
  <c r="O40" i="5"/>
  <c r="L40" i="5"/>
  <c r="J40" i="5"/>
  <c r="G40" i="5"/>
  <c r="E40" i="5"/>
  <c r="Y13" i="5"/>
  <c r="O13" i="5"/>
  <c r="J13" i="5"/>
  <c r="Q12" i="5"/>
  <c r="AI10" i="5"/>
  <c r="Y10" i="5"/>
  <c r="T10" i="5"/>
  <c r="O10" i="5"/>
  <c r="J10" i="5"/>
  <c r="E10" i="5"/>
  <c r="G44" i="5" l="1"/>
  <c r="Q44" i="5"/>
  <c r="V44" i="5"/>
  <c r="AA44" i="5"/>
  <c r="AF44" i="5"/>
  <c r="AK44" i="5"/>
  <c r="G45" i="5"/>
  <c r="Q45" i="5"/>
  <c r="V45" i="5"/>
  <c r="AA45" i="5"/>
  <c r="AF45" i="5"/>
  <c r="AK45" i="5"/>
  <c r="L44" i="5"/>
  <c r="L45" i="5"/>
  <c r="N15" i="10" l="1"/>
  <c r="O15" i="10" l="1"/>
  <c r="AC4" i="10" l="1"/>
  <c r="AF7" i="10"/>
  <c r="AC5" i="10" l="1"/>
  <c r="K11" i="12" l="1"/>
  <c r="E1" i="12" l="1"/>
  <c r="F44" i="10" l="1"/>
  <c r="K45" i="10" l="1"/>
  <c r="K46" i="10"/>
  <c r="K47" i="10"/>
  <c r="K50" i="10"/>
  <c r="K48" i="10"/>
  <c r="K49" i="10"/>
  <c r="U5" i="12" l="1"/>
  <c r="AJ53" i="10"/>
  <c r="U59" i="10"/>
  <c r="T5" i="12"/>
  <c r="H43" i="10" l="1"/>
  <c r="AN22" i="10" l="1"/>
  <c r="AI22" i="10"/>
  <c r="AT22" i="10"/>
  <c r="R65" i="10"/>
  <c r="Q65" i="10"/>
  <c r="U65" i="10"/>
  <c r="V65" i="10"/>
  <c r="AS22" i="10"/>
  <c r="F49" i="10"/>
  <c r="AJ43" i="10" s="1"/>
  <c r="T65" i="10"/>
  <c r="S65" i="10"/>
  <c r="U66" i="10" l="1"/>
  <c r="S66" i="10"/>
  <c r="Q66" i="10"/>
  <c r="AH35" i="10" l="1"/>
  <c r="K22" i="10"/>
  <c r="AF2" i="10" s="1"/>
  <c r="AG2" i="10" l="1"/>
  <c r="AF4" i="10"/>
  <c r="AF3" i="10" l="1"/>
  <c r="AJ4" i="10" l="1"/>
  <c r="AG3" i="10"/>
  <c r="AC3" i="10"/>
  <c r="AB8" i="10"/>
  <c r="C12" i="10" s="1"/>
  <c r="K15" i="10"/>
  <c r="C13" i="10" l="1"/>
  <c r="G11" i="10" l="1"/>
  <c r="M18" i="10"/>
  <c r="AB10" i="10"/>
  <c r="N18" i="10"/>
  <c r="S18" i="10"/>
  <c r="R18" i="10"/>
  <c r="Q18" i="10"/>
  <c r="G8" i="10"/>
  <c r="AI37" i="10"/>
  <c r="AJ37" i="10"/>
  <c r="AH37" i="10"/>
  <c r="AJ2" i="10"/>
  <c r="G22" i="10" l="1"/>
  <c r="G24" i="10"/>
  <c r="G23" i="10"/>
  <c r="G21" i="10"/>
  <c r="W18" i="10"/>
  <c r="J5" i="12"/>
  <c r="H5" i="12"/>
  <c r="I5" i="12"/>
  <c r="O18" i="10"/>
  <c r="T14" i="10" l="1"/>
  <c r="K1" i="12" s="1"/>
  <c r="T16" i="10" l="1"/>
  <c r="K3" i="12" l="1"/>
  <c r="T20" i="10"/>
  <c r="K7" i="12" s="1"/>
  <c r="AJ22" i="13" l="1" a="1"/>
  <c r="AJ22" i="13" s="1"/>
  <c r="AI8" i="13" s="1"/>
  <c r="AJ23" i="13" a="1"/>
  <c r="AJ23" i="13" s="1"/>
  <c r="AJ8" i="13" s="1"/>
  <c r="Y23" i="13" a="1"/>
  <c r="Y23" i="13" s="1"/>
  <c r="Z8" i="13" s="1"/>
  <c r="Y22" i="13" a="1"/>
  <c r="AA22" i="13" s="1"/>
  <c r="Y10" i="13" s="1"/>
  <c r="AJ21" i="13" a="1"/>
  <c r="AJ21" i="13" s="1"/>
  <c r="AH8" i="13" s="1"/>
  <c r="Y21" i="13" a="1"/>
  <c r="Y21" i="13" s="1"/>
  <c r="X8" i="13" s="1"/>
  <c r="AJ20" i="13" a="1"/>
  <c r="AJ20" i="13" s="1"/>
  <c r="AG8" i="13" s="1"/>
  <c r="Y20" i="13" a="1"/>
  <c r="Y20" i="13" s="1"/>
  <c r="W8" i="13" s="1"/>
  <c r="AD37" i="13" a="1"/>
  <c r="AE37" i="13" s="1"/>
  <c r="AE9" i="13" s="1"/>
  <c r="AD36" i="13" a="1"/>
  <c r="AF36" i="13" s="1"/>
  <c r="AD10" i="13" s="1"/>
  <c r="AD35" i="13" a="1"/>
  <c r="AD35" i="13" s="1"/>
  <c r="AC8" i="13" s="1"/>
  <c r="AD34" i="13" a="1"/>
  <c r="AD34" i="13" s="1"/>
  <c r="AB8" i="13" s="1"/>
  <c r="AL22" i="13" l="1"/>
  <c r="AI10" i="13" s="1"/>
  <c r="Z20" i="13"/>
  <c r="W9" i="13" s="1"/>
  <c r="AA20" i="13"/>
  <c r="W10" i="13" s="1"/>
  <c r="AL20" i="13"/>
  <c r="AG10" i="13" s="1"/>
  <c r="AA21" i="13"/>
  <c r="X10" i="13" s="1"/>
  <c r="Z21" i="13"/>
  <c r="X9" i="13" s="1"/>
  <c r="AK22" i="13"/>
  <c r="AI9" i="13" s="1"/>
  <c r="AI7" i="13" s="1"/>
  <c r="AK20" i="13"/>
  <c r="AG9" i="13" s="1"/>
  <c r="AK21" i="13"/>
  <c r="AH9" i="13" s="1"/>
  <c r="AL23" i="13"/>
  <c r="AJ10" i="13" s="1"/>
  <c r="AK23" i="13"/>
  <c r="AJ9" i="13" s="1"/>
  <c r="AL21" i="13"/>
  <c r="AH10" i="13" s="1"/>
  <c r="AE34" i="13"/>
  <c r="AB9" i="13" s="1"/>
  <c r="AF35" i="13"/>
  <c r="AC10" i="13" s="1"/>
  <c r="AE35" i="13"/>
  <c r="AC9" i="13" s="1"/>
  <c r="AE36" i="13"/>
  <c r="AD9" i="13" s="1"/>
  <c r="AF37" i="13"/>
  <c r="AE10" i="13" s="1"/>
  <c r="AD37" i="13"/>
  <c r="AE8" i="13" s="1"/>
  <c r="AD36" i="13"/>
  <c r="AD8" i="13" s="1"/>
  <c r="AF34" i="13"/>
  <c r="AB10" i="13" s="1"/>
  <c r="Z22" i="13"/>
  <c r="Y9" i="13" s="1"/>
  <c r="Y22" i="13"/>
  <c r="Y8" i="13" s="1"/>
  <c r="Z23" i="13"/>
  <c r="Z9" i="13" s="1"/>
  <c r="AA23" i="13"/>
  <c r="Z10" i="13" s="1"/>
  <c r="AG7" i="13" l="1"/>
  <c r="AB7" i="13"/>
  <c r="X7" i="13"/>
  <c r="AC7" i="13"/>
  <c r="W7" i="13"/>
  <c r="AH7" i="13"/>
  <c r="AD7" i="13"/>
  <c r="AJ7" i="13"/>
  <c r="AE7" i="13"/>
  <c r="Z7" i="13"/>
  <c r="Y7" i="13"/>
  <c r="AO51" i="10" l="1"/>
  <c r="AO50" i="10" l="1"/>
  <c r="EE4" i="13" l="1"/>
  <c r="EE5" i="13"/>
  <c r="EE3" i="13"/>
  <c r="U63" i="10" l="1"/>
  <c r="S63" i="10"/>
  <c r="Q63" i="10"/>
  <c r="V63" i="10" l="1"/>
  <c r="U64" i="10" s="1"/>
  <c r="S22" i="10"/>
  <c r="T63" i="10"/>
  <c r="S64" i="10" s="1"/>
  <c r="R22" i="10"/>
  <c r="R63" i="10"/>
  <c r="Q64" i="10" s="1"/>
  <c r="Q22" i="10"/>
  <c r="T22" i="10" l="1"/>
  <c r="T27" i="10" s="1"/>
  <c r="T28" i="10" l="1"/>
  <c r="K15" i="12" s="1"/>
  <c r="T26" i="10"/>
  <c r="T29" i="10"/>
  <c r="K16" i="12" s="1"/>
  <c r="K14" i="12"/>
  <c r="T30" i="10" l="1"/>
  <c r="K17" i="12" s="1"/>
  <c r="E2" i="12"/>
  <c r="AO65" i="10" l="1"/>
  <c r="AN65" i="10"/>
  <c r="AM65" i="10"/>
  <c r="AM61" i="10" l="1"/>
  <c r="AN61" i="10" l="1"/>
  <c r="AO61" i="10" l="1"/>
  <c r="H58" i="10" l="1"/>
  <c r="I58" i="10" s="1"/>
  <c r="H59" i="10" l="1"/>
  <c r="I59" i="10" s="1"/>
  <c r="AO35" i="10" l="1"/>
  <c r="K52" i="10" l="1"/>
  <c r="E17" i="12"/>
  <c r="K51" i="10"/>
  <c r="E16" i="12"/>
  <c r="C51" i="10" l="1"/>
  <c r="AU14" i="10"/>
  <c r="C52" i="10"/>
  <c r="AV14" i="10"/>
  <c r="B14" i="12" l="1"/>
  <c r="E14" i="12" s="1"/>
  <c r="F52" i="10"/>
  <c r="F51" i="10"/>
  <c r="B13" i="12"/>
  <c r="E13" i="12" s="1"/>
  <c r="AS14" i="10" l="1"/>
  <c r="AT14" i="10"/>
  <c r="AN35" i="10" l="1"/>
  <c r="AM33" i="10" l="1"/>
  <c r="AM35" i="10"/>
  <c r="S23" i="10" l="1"/>
  <c r="AJ54" i="10"/>
  <c r="AJ47" i="10" s="1"/>
  <c r="U6" i="12"/>
  <c r="P5" i="12"/>
  <c r="Q59" i="10"/>
  <c r="AI53" i="10"/>
  <c r="R23" i="10"/>
  <c r="S5" i="12"/>
  <c r="R5" i="12"/>
  <c r="S59" i="10"/>
  <c r="R6" i="12"/>
  <c r="T59" i="10"/>
  <c r="S6" i="12"/>
  <c r="AI54" i="10"/>
  <c r="AI47" i="10" l="1"/>
  <c r="S60" i="10"/>
  <c r="J10" i="12"/>
  <c r="I10" i="12"/>
  <c r="P6" i="12" l="1"/>
  <c r="R59" i="10"/>
  <c r="T6" i="12"/>
  <c r="V59" i="10"/>
  <c r="Q60" i="10" l="1"/>
  <c r="U60" i="10"/>
  <c r="R3" i="12" l="1"/>
  <c r="P4" i="12"/>
  <c r="R4" i="12"/>
  <c r="T4" i="12"/>
  <c r="T3" i="12"/>
  <c r="P3" i="12"/>
  <c r="R11" i="12" l="1"/>
  <c r="S61" i="10"/>
  <c r="Q61" i="10"/>
  <c r="P11" i="12"/>
  <c r="U61" i="10"/>
  <c r="T11" i="12"/>
  <c r="P12" i="12"/>
  <c r="R61" i="10"/>
  <c r="R12" i="12"/>
  <c r="T61" i="10"/>
  <c r="T12" i="12"/>
  <c r="V61" i="10"/>
  <c r="Q53" i="10" l="1"/>
  <c r="Q54" i="10" s="1"/>
  <c r="U62" i="10"/>
  <c r="V53" i="10"/>
  <c r="Q62" i="10"/>
  <c r="R53" i="10"/>
  <c r="R54" i="10" s="1"/>
  <c r="R56" i="10" s="1"/>
  <c r="S53" i="10"/>
  <c r="S54" i="10" s="1"/>
  <c r="Z43" i="10" s="1"/>
  <c r="S62" i="10"/>
  <c r="T53" i="10"/>
  <c r="T54" i="10" s="1"/>
  <c r="T56" i="10" s="1"/>
  <c r="AB43" i="10" s="1"/>
  <c r="U53" i="10"/>
  <c r="U54" i="10" s="1"/>
  <c r="Z42" i="10" s="1"/>
  <c r="V57" i="10" l="1"/>
  <c r="V54" i="10"/>
  <c r="V56" i="10" s="1"/>
  <c r="AB42" i="10" s="1"/>
  <c r="H51" i="10" l="1"/>
  <c r="I51" i="10" s="1"/>
  <c r="H52" i="10"/>
  <c r="I52" i="10" s="1"/>
  <c r="AM2" i="10" l="1"/>
  <c r="C45" i="10" s="1"/>
  <c r="M52" i="10"/>
  <c r="AM4" i="10"/>
  <c r="M51" i="10"/>
  <c r="AM3" i="10"/>
  <c r="B6" i="12" l="1"/>
  <c r="C46" i="10"/>
  <c r="C47" i="10"/>
  <c r="B7" i="12" l="1"/>
  <c r="B8" i="12"/>
  <c r="AN29" i="10"/>
  <c r="AM5" i="10" l="1"/>
  <c r="C48" i="10" s="1"/>
  <c r="B9" i="12"/>
  <c r="H48" i="10"/>
  <c r="AM6" i="10"/>
  <c r="H61" i="10"/>
  <c r="AM7" i="10"/>
  <c r="C50" i="10" l="1"/>
  <c r="AH55" i="10"/>
  <c r="Q7" i="12"/>
  <c r="C49" i="10"/>
  <c r="D9" i="12"/>
  <c r="H55" i="10"/>
  <c r="F55" i="10"/>
  <c r="AH44" i="10"/>
  <c r="P7" i="12"/>
  <c r="AO34" i="10"/>
  <c r="P9" i="12" l="1"/>
  <c r="AM34" i="10"/>
  <c r="S7" i="12"/>
  <c r="AI55" i="10"/>
  <c r="T7" i="12"/>
  <c r="R7" i="12"/>
  <c r="AT2" i="10"/>
  <c r="F9" i="12"/>
  <c r="AH45" i="10"/>
  <c r="AO29" i="10"/>
  <c r="B11" i="12"/>
  <c r="H50" i="10"/>
  <c r="AJ55" i="10"/>
  <c r="U7" i="12"/>
  <c r="B10" i="12"/>
  <c r="H49" i="10"/>
  <c r="P17" i="12"/>
  <c r="AN34" i="10"/>
  <c r="P15" i="12"/>
  <c r="AN49" i="10" l="1"/>
  <c r="AN33" i="10"/>
  <c r="AO33" i="10"/>
  <c r="T9" i="12"/>
  <c r="AJ44" i="10"/>
  <c r="AM29" i="10" s="1"/>
  <c r="H57" i="10"/>
  <c r="D11" i="12"/>
  <c r="F57" i="10"/>
  <c r="T15" i="12"/>
  <c r="AT3" i="10"/>
  <c r="R9" i="12"/>
  <c r="T17" i="12"/>
  <c r="D10" i="12"/>
  <c r="AI44" i="10"/>
  <c r="H56" i="10"/>
  <c r="F56" i="10"/>
  <c r="R15" i="12"/>
  <c r="R17" i="12"/>
  <c r="AT4" i="10"/>
  <c r="P13" i="12"/>
  <c r="AN51" i="10" l="1"/>
  <c r="AN50" i="10"/>
  <c r="P8" i="12"/>
  <c r="Q34" i="10"/>
  <c r="K25" i="10"/>
  <c r="AJ45" i="10"/>
  <c r="F11" i="12"/>
  <c r="AH56" i="10"/>
  <c r="AH48" i="10" s="1"/>
  <c r="Q8" i="12"/>
  <c r="Q24" i="10"/>
  <c r="AI45" i="10"/>
  <c r="F10" i="12"/>
  <c r="AM41" i="10" l="1"/>
  <c r="P18" i="12"/>
  <c r="P16" i="12"/>
  <c r="T13" i="12"/>
  <c r="R13" i="12"/>
  <c r="AT5" i="10"/>
  <c r="H11" i="12"/>
  <c r="Q33" i="10"/>
  <c r="P10" i="12" l="1"/>
  <c r="T8" i="12"/>
  <c r="S34" i="10"/>
  <c r="R8" i="12"/>
  <c r="R34" i="10"/>
  <c r="S8" i="12"/>
  <c r="AI56" i="10"/>
  <c r="AI48" i="10" s="1"/>
  <c r="R24" i="10"/>
  <c r="AJ56" i="10"/>
  <c r="AJ48" i="10" s="1"/>
  <c r="U8" i="12"/>
  <c r="S24" i="10"/>
  <c r="AO41" i="10" l="1"/>
  <c r="I11" i="12"/>
  <c r="R33" i="10"/>
  <c r="T18" i="12"/>
  <c r="R10" i="12"/>
  <c r="E9" i="10"/>
  <c r="AH36" i="10"/>
  <c r="P14" i="12"/>
  <c r="R18" i="12"/>
  <c r="AT7" i="10"/>
  <c r="R16" i="12"/>
  <c r="AQ28" i="10"/>
  <c r="U24" i="10"/>
  <c r="J11" i="12"/>
  <c r="S33" i="10"/>
  <c r="T10" i="12"/>
  <c r="T16" i="12"/>
  <c r="AT6" i="10"/>
  <c r="AN41" i="10"/>
  <c r="M37" i="10" l="1"/>
  <c r="O37" i="10" s="1"/>
  <c r="T14" i="12"/>
  <c r="R14" i="12"/>
  <c r="K41" i="10" l="1"/>
  <c r="M41" i="10" s="1"/>
  <c r="K39" i="10"/>
  <c r="M39" i="10" s="1"/>
  <c r="AN71" i="10" s="1"/>
  <c r="K40" i="10"/>
  <c r="M40" i="10" s="1"/>
  <c r="AN36" i="10" l="1"/>
  <c r="AN39" i="10" l="1"/>
  <c r="AO39" i="10"/>
  <c r="AO62" i="10"/>
  <c r="AN62" i="10"/>
  <c r="AM62" i="10"/>
  <c r="AM36" i="10"/>
  <c r="AM63" i="10" l="1"/>
  <c r="AN63" i="10"/>
  <c r="AO37" i="10"/>
  <c r="AO63" i="10"/>
  <c r="AN37" i="10"/>
  <c r="AO36" i="10"/>
  <c r="AN38" i="10" l="1"/>
  <c r="AM39" i="10"/>
  <c r="AM37" i="10"/>
  <c r="AM45" i="10"/>
  <c r="AO38" i="10" l="1"/>
  <c r="AO45" i="10"/>
  <c r="AN72" i="10" s="1"/>
  <c r="AM38" i="10" l="1"/>
  <c r="AN45" i="10"/>
  <c r="AM59" i="10" l="1"/>
  <c r="AM60" i="10"/>
  <c r="AH42" i="10" s="1"/>
  <c r="AN59" i="10" l="1"/>
  <c r="AO59" i="10"/>
  <c r="AN60" i="10"/>
  <c r="AI42" i="10" s="1"/>
  <c r="T37" i="13" l="1" a="1"/>
  <c r="V37" i="13" s="1"/>
  <c r="T36" i="13" a="1"/>
  <c r="U36" i="13" s="1"/>
  <c r="T35" i="13" a="1"/>
  <c r="V35" i="13" s="1"/>
  <c r="T36" i="13" l="1"/>
  <c r="T37" i="13"/>
  <c r="U35" i="13"/>
  <c r="V36" i="13"/>
  <c r="U37" i="13"/>
  <c r="T35" i="13"/>
  <c r="O21" i="13" a="1"/>
  <c r="O21" i="13" s="1"/>
  <c r="Q21" i="13" l="1"/>
  <c r="P21" i="13"/>
  <c r="J37" i="13" a="1"/>
  <c r="J37" i="13" s="1"/>
  <c r="K37" i="13" l="1"/>
  <c r="L37" i="13"/>
  <c r="AN37" i="13" a="1"/>
  <c r="AN37" i="13" s="1"/>
  <c r="AO8" i="13" s="1"/>
  <c r="AO49" i="13" l="1"/>
  <c r="AP37" i="13"/>
  <c r="AO10" i="13" s="1"/>
  <c r="AO51" i="13" s="1"/>
  <c r="AO37" i="13"/>
  <c r="AO9" i="13" s="1"/>
  <c r="AO50" i="13" s="1"/>
  <c r="AO7" i="13" l="1"/>
  <c r="AO6" i="13" s="1"/>
  <c r="AN54" i="10" l="1"/>
  <c r="AO54" i="10"/>
  <c r="AN55" i="10" l="1"/>
  <c r="AO55" i="10"/>
  <c r="S4" i="12" l="1"/>
  <c r="U4" i="12"/>
  <c r="AU6" i="10" l="1"/>
  <c r="AU3" i="10"/>
  <c r="AU4" i="10"/>
  <c r="U3" i="12"/>
  <c r="S3" i="12"/>
  <c r="AI57" i="10" l="1"/>
  <c r="S11" i="12"/>
  <c r="R25" i="10"/>
  <c r="M14" i="10"/>
  <c r="U11" i="12"/>
  <c r="S25" i="10"/>
  <c r="AJ57" i="10"/>
  <c r="AP3" i="10"/>
  <c r="AQ3" i="10" s="1"/>
  <c r="AP4" i="10"/>
  <c r="AQ4" i="10" s="1"/>
  <c r="S18" i="12"/>
  <c r="AI58" i="10"/>
  <c r="S12" i="12"/>
  <c r="AU7" i="10"/>
  <c r="AP6" i="10"/>
  <c r="AQ6" i="10" s="1"/>
  <c r="U18" i="12"/>
  <c r="U12" i="12"/>
  <c r="N14" i="10"/>
  <c r="N16" i="10" s="1"/>
  <c r="N20" i="10" s="1"/>
  <c r="AJ58" i="10"/>
  <c r="AJ49" i="10" s="1"/>
  <c r="AO73" i="10" s="1"/>
  <c r="AI49" i="10" l="1"/>
  <c r="R27" i="10"/>
  <c r="R28" i="10"/>
  <c r="I15" i="12" s="1"/>
  <c r="I12" i="12"/>
  <c r="R14" i="10"/>
  <c r="J12" i="12"/>
  <c r="S28" i="10"/>
  <c r="J15" i="12" s="1"/>
  <c r="S27" i="10"/>
  <c r="S14" i="10"/>
  <c r="AM50" i="10"/>
  <c r="AP50" i="10" s="1"/>
  <c r="AN53" i="10"/>
  <c r="O14" i="10"/>
  <c r="M16" i="10"/>
  <c r="S17" i="12"/>
  <c r="AI61" i="10"/>
  <c r="S16" i="12"/>
  <c r="U17" i="12"/>
  <c r="AO53" i="10"/>
  <c r="AM51" i="10"/>
  <c r="AP51" i="10" s="1"/>
  <c r="U15" i="12"/>
  <c r="S26" i="10"/>
  <c r="J13" i="12" s="1"/>
  <c r="AJ60" i="10"/>
  <c r="U16" i="12"/>
  <c r="AJ61" i="10"/>
  <c r="AI60" i="10"/>
  <c r="S15" i="12"/>
  <c r="R26" i="10"/>
  <c r="I13" i="12" s="1"/>
  <c r="AI50" i="10" l="1"/>
  <c r="S9" i="12"/>
  <c r="AI65" i="10"/>
  <c r="S16" i="10"/>
  <c r="W14" i="10"/>
  <c r="J1" i="12"/>
  <c r="U9" i="12"/>
  <c r="AJ65" i="10"/>
  <c r="S29" i="10"/>
  <c r="J16" i="12" s="1"/>
  <c r="J14" i="12"/>
  <c r="R16" i="10"/>
  <c r="I1" i="12"/>
  <c r="G9" i="10"/>
  <c r="O16" i="10"/>
  <c r="O20" i="10" s="1"/>
  <c r="M20" i="10"/>
  <c r="AJ50" i="10"/>
  <c r="AO74" i="10" s="1"/>
  <c r="I14" i="12"/>
  <c r="R29" i="10"/>
  <c r="I16" i="12" s="1"/>
  <c r="AJ66" i="10"/>
  <c r="U10" i="12"/>
  <c r="AI66" i="10"/>
  <c r="S10" i="12"/>
  <c r="AJ63" i="10" l="1"/>
  <c r="AJ73" i="10" s="1"/>
  <c r="U13" i="12"/>
  <c r="AQ51" i="10"/>
  <c r="AN56" i="10"/>
  <c r="AO56" i="10"/>
  <c r="R30" i="10"/>
  <c r="I17" i="12" s="1"/>
  <c r="I3" i="12"/>
  <c r="R20" i="10"/>
  <c r="I7" i="12" s="1"/>
  <c r="S30" i="10"/>
  <c r="J17" i="12" s="1"/>
  <c r="W16" i="10"/>
  <c r="S20" i="10"/>
  <c r="J7" i="12" s="1"/>
  <c r="J3" i="12"/>
  <c r="AQ50" i="10"/>
  <c r="AI63" i="10"/>
  <c r="AI73" i="10" s="1"/>
  <c r="S13" i="12"/>
  <c r="AI64" i="10"/>
  <c r="AI74" i="10" s="1"/>
  <c r="S14" i="12"/>
  <c r="AO75" i="10"/>
  <c r="AQ74" i="10" s="1"/>
  <c r="AJ64" i="10"/>
  <c r="U14" i="12"/>
  <c r="AI75" i="10" l="1"/>
  <c r="AI68" i="10"/>
  <c r="AJ62" i="10"/>
  <c r="AJ74" i="10"/>
  <c r="AJ75" i="10" s="1"/>
  <c r="AO72" i="10" s="1"/>
  <c r="AN58" i="10"/>
  <c r="AJ69" i="10"/>
  <c r="AI69" i="10"/>
  <c r="AJ68" i="10"/>
  <c r="AJ71" i="10" l="1"/>
  <c r="AJ51" i="10"/>
  <c r="AO71" i="10" s="1"/>
  <c r="AQ71" i="10" s="1"/>
  <c r="AI51" i="10"/>
  <c r="AO58" i="10" l="1"/>
  <c r="AO60" i="10" l="1"/>
  <c r="AJ42" i="10" s="1"/>
  <c r="AO42" i="10" l="1"/>
  <c r="AM54" i="10" l="1"/>
  <c r="AM55" i="10" l="1"/>
  <c r="AI38" i="10" l="1"/>
  <c r="AI39" i="10" s="1"/>
  <c r="AJ38" i="10"/>
  <c r="AJ39" i="10" s="1"/>
  <c r="AH38" i="10"/>
  <c r="AH39" i="10" s="1"/>
  <c r="AH58" i="10" l="1"/>
  <c r="Q12" i="12"/>
  <c r="Q4" i="12"/>
  <c r="Q25" i="10" l="1"/>
  <c r="H12" i="12" s="1"/>
  <c r="Q11" i="12"/>
  <c r="AH57" i="10"/>
  <c r="AH49" i="10" s="1"/>
  <c r="Q3" i="12"/>
  <c r="Q18" i="12" l="1"/>
  <c r="AH54" i="10"/>
  <c r="Q6" i="12"/>
  <c r="AU5" i="10"/>
  <c r="AH53" i="10"/>
  <c r="Q5" i="12"/>
  <c r="Q23" i="10"/>
  <c r="AO49" i="10"/>
  <c r="AU2" i="10"/>
  <c r="AH60" i="10" l="1"/>
  <c r="Q26" i="10"/>
  <c r="H13" i="12" s="1"/>
  <c r="Q15" i="12"/>
  <c r="AP2" i="10"/>
  <c r="AQ2" i="10" s="1"/>
  <c r="AM53" i="10"/>
  <c r="AM49" i="10"/>
  <c r="AP49" i="10" s="1"/>
  <c r="AH47" i="10"/>
  <c r="Q57" i="10"/>
  <c r="Q28" i="10"/>
  <c r="H15" i="12" s="1"/>
  <c r="H10" i="12"/>
  <c r="Q14" i="10"/>
  <c r="Q27" i="10"/>
  <c r="AH61" i="10"/>
  <c r="AH50" i="10" s="1"/>
  <c r="Q16" i="12"/>
  <c r="Q17" i="12"/>
  <c r="H1" i="12" l="1"/>
  <c r="Q16" i="10"/>
  <c r="AH65" i="10"/>
  <c r="Q9" i="12"/>
  <c r="AH66" i="10"/>
  <c r="Q10" i="12"/>
  <c r="AP7" i="10"/>
  <c r="AQ7" i="10" s="1"/>
  <c r="AP5" i="10"/>
  <c r="AQ5" i="10" s="1"/>
  <c r="H14" i="12"/>
  <c r="Q29" i="10"/>
  <c r="H16" i="12" s="1"/>
  <c r="Q14" i="12" l="1"/>
  <c r="AH64" i="10"/>
  <c r="AH74" i="10" s="1"/>
  <c r="Q13" i="12"/>
  <c r="AH63" i="10"/>
  <c r="AH73" i="10" s="1"/>
  <c r="AH75" i="10" s="1"/>
  <c r="AQ49" i="10"/>
  <c r="Q30" i="10"/>
  <c r="Q20" i="10"/>
  <c r="H7" i="12" s="1"/>
  <c r="H3" i="12"/>
  <c r="AM56" i="10"/>
  <c r="F18" i="10" l="1"/>
  <c r="H17" i="12"/>
  <c r="AN44" i="10"/>
  <c r="AN46" i="10" s="1"/>
  <c r="AM44" i="10"/>
  <c r="AM46" i="10" s="1"/>
  <c r="AO44" i="10"/>
  <c r="AO46" i="10" s="1"/>
  <c r="AH68" i="10"/>
  <c r="AH69" i="10"/>
  <c r="AM58" i="10" l="1"/>
  <c r="AH51" i="10"/>
  <c r="AN69" i="10" l="1"/>
  <c r="AI41" i="10" s="1"/>
  <c r="AM69" i="10"/>
  <c r="AH41" i="10" s="1"/>
  <c r="AO69" i="10" l="1"/>
  <c r="AJ41" i="10" s="1"/>
  <c r="AM66" i="10" l="1"/>
  <c r="AO66" i="10" l="1"/>
  <c r="AN66" i="10"/>
  <c r="AM64" i="10" l="1"/>
  <c r="AN64" i="10" l="1"/>
  <c r="AO64" i="10"/>
  <c r="AM68" i="10"/>
  <c r="AH40" i="10" s="1"/>
  <c r="AN68" i="10" l="1"/>
  <c r="AI40" i="10" s="1"/>
  <c r="AO68" i="10"/>
  <c r="AJ40" i="10" s="1"/>
</calcChain>
</file>

<file path=xl/sharedStrings.xml><?xml version="1.0" encoding="utf-8"?>
<sst xmlns="http://schemas.openxmlformats.org/spreadsheetml/2006/main" count="1252" uniqueCount="711">
  <si>
    <t>м3</t>
  </si>
  <si>
    <t>м-3</t>
  </si>
  <si>
    <t>г</t>
  </si>
  <si>
    <t>м2</t>
  </si>
  <si>
    <t>г/м2</t>
  </si>
  <si>
    <t>keV</t>
  </si>
  <si>
    <r>
      <t>ζ</t>
    </r>
    <r>
      <rPr>
        <vertAlign val="subscript"/>
        <sz val="12"/>
        <rFont val="Times New Roman"/>
        <family val="1"/>
        <charset val="204"/>
      </rPr>
      <t>тракт</t>
    </r>
    <r>
      <rPr>
        <sz val="12"/>
        <rFont val="Times New Roman"/>
        <family val="1"/>
        <charset val="204"/>
      </rPr>
      <t xml:space="preserve"> =</t>
    </r>
  </si>
  <si>
    <t>Па</t>
  </si>
  <si>
    <t>=</t>
  </si>
  <si>
    <t>м3 Па/с</t>
  </si>
  <si>
    <r>
      <t>F</t>
    </r>
    <r>
      <rPr>
        <vertAlign val="subscript"/>
        <sz val="12"/>
        <rFont val="Times New Roman"/>
        <family val="1"/>
        <charset val="204"/>
      </rPr>
      <t>CX</t>
    </r>
    <r>
      <rPr>
        <sz val="12"/>
        <rFont val="Times New Roman"/>
        <family val="1"/>
        <charset val="204"/>
      </rPr>
      <t>(E</t>
    </r>
    <r>
      <rPr>
        <vertAlign val="subscript"/>
        <sz val="12"/>
        <rFont val="Times New Roman"/>
        <family val="1"/>
        <charset val="204"/>
      </rPr>
      <t>NBI</t>
    </r>
    <r>
      <rPr>
        <sz val="12"/>
        <rFont val="Times New Roman"/>
        <family val="1"/>
        <charset val="204"/>
      </rPr>
      <t xml:space="preserve">) = </t>
    </r>
  </si>
  <si>
    <t>-</t>
  </si>
  <si>
    <t>k(nbi)</t>
  </si>
  <si>
    <t>k(pellet)</t>
  </si>
  <si>
    <t>k(puff)</t>
  </si>
  <si>
    <t>NBI</t>
  </si>
  <si>
    <t>%</t>
  </si>
  <si>
    <t>MW</t>
  </si>
  <si>
    <t>H</t>
  </si>
  <si>
    <t>D</t>
  </si>
  <si>
    <t>T</t>
  </si>
  <si>
    <r>
      <rPr>
        <b/>
        <sz val="12"/>
        <color indexed="8"/>
        <rFont val="Times New Roman"/>
        <family val="1"/>
        <charset val="204"/>
      </rPr>
      <t>n</t>
    </r>
    <r>
      <rPr>
        <sz val="12"/>
        <color indexed="8"/>
        <rFont val="Times New Roman"/>
        <family val="1"/>
        <charset val="204"/>
      </rPr>
      <t xml:space="preserve"> плотность плазмы</t>
    </r>
  </si>
  <si>
    <r>
      <rPr>
        <b/>
        <sz val="12"/>
        <color indexed="8"/>
        <rFont val="Times New Roman"/>
        <family val="1"/>
        <charset val="204"/>
      </rPr>
      <t>E</t>
    </r>
    <r>
      <rPr>
        <b/>
        <sz val="8"/>
        <color indexed="8"/>
        <rFont val="Times New Roman"/>
        <family val="1"/>
        <charset val="204"/>
      </rPr>
      <t>NBI</t>
    </r>
  </si>
  <si>
    <r>
      <t xml:space="preserve">мощность NBI </t>
    </r>
    <r>
      <rPr>
        <b/>
        <sz val="12"/>
        <color indexed="8"/>
        <rFont val="Times New Roman"/>
        <family val="1"/>
        <charset val="204"/>
      </rPr>
      <t>Pnbi</t>
    </r>
  </si>
  <si>
    <r>
      <t xml:space="preserve">Термоядерная мощность </t>
    </r>
    <r>
      <rPr>
        <b/>
        <sz val="12"/>
        <color indexed="8"/>
        <rFont val="Times New Roman"/>
        <family val="1"/>
        <charset val="204"/>
      </rPr>
      <t>Pf</t>
    </r>
  </si>
  <si>
    <t>ms</t>
  </si>
  <si>
    <t>расстояние от инжектора</t>
  </si>
  <si>
    <t>м</t>
  </si>
  <si>
    <t>секунд</t>
  </si>
  <si>
    <t>часов</t>
  </si>
  <si>
    <t>шт</t>
  </si>
  <si>
    <t>объем вакуумной камеры</t>
  </si>
  <si>
    <t>переработки сверхтяжеловодных отходов</t>
  </si>
  <si>
    <t>установка разделения изотопов водорода</t>
  </si>
  <si>
    <t>установка каталитического разложения химических соединений водорода</t>
  </si>
  <si>
    <t>Плотность (при н. у.)</t>
  </si>
  <si>
    <t xml:space="preserve">максимальное количество трития в одном месте </t>
  </si>
  <si>
    <t>количество инжекторов</t>
  </si>
  <si>
    <t>ТИН-СТ</t>
  </si>
  <si>
    <t>MВт</t>
  </si>
  <si>
    <t>R</t>
  </si>
  <si>
    <t>r</t>
  </si>
  <si>
    <t>S</t>
  </si>
  <si>
    <t>V</t>
  </si>
  <si>
    <t>m</t>
  </si>
  <si>
    <t>m2</t>
  </si>
  <si>
    <t>m3</t>
  </si>
  <si>
    <t>really</t>
  </si>
  <si>
    <t>ITER</t>
  </si>
  <si>
    <t>Parameter Inductive</t>
  </si>
  <si>
    <t>I (MA) 15</t>
  </si>
  <si>
    <t>B (T) 5.3</t>
  </si>
  <si>
    <t>a (m) 2</t>
  </si>
  <si>
    <t>R (m) 6.2</t>
  </si>
  <si>
    <t>Ti(0) (keV) 23</t>
  </si>
  <si>
    <t>q95 3.0</t>
  </si>
  <si>
    <t>_x0006_ne_x0007_/nG 0.85</t>
  </si>
  <si>
    <t>Pfus (MW) 400</t>
  </si>
  <si>
    <t>Pα (MW) 80</t>
  </si>
  <si>
    <t>Pheat (MW) 120</t>
  </si>
  <si>
    <t>Q = Pfus/Paux 10</t>
  </si>
  <si>
    <t>Prad,total (MW) 60</t>
  </si>
  <si>
    <t xml:space="preserve"> площадь стенок вак. камеры S=</t>
  </si>
  <si>
    <t>мсек</t>
  </si>
  <si>
    <t>МВт</t>
  </si>
  <si>
    <t>кэВ</t>
  </si>
  <si>
    <t>г/см³</t>
  </si>
  <si>
    <t>Установка</t>
  </si>
  <si>
    <t>Параметр</t>
  </si>
  <si>
    <t>NSTX</t>
  </si>
  <si>
    <t>NSTX-U</t>
  </si>
  <si>
    <t>NHTX</t>
  </si>
  <si>
    <t>ST-CTF</t>
  </si>
  <si>
    <t>a, м</t>
  </si>
  <si>
    <t>R, м</t>
  </si>
  <si>
    <t>R/a</t>
  </si>
  <si>
    <t>ĸ</t>
  </si>
  <si>
    <t>δ</t>
  </si>
  <si>
    <t>50/30</t>
  </si>
  <si>
    <t>65/30</t>
  </si>
  <si>
    <t>1,1 (1,1)</t>
  </si>
  <si>
    <t>T, кэВ</t>
  </si>
  <si>
    <t>0,67 (~1)</t>
  </si>
  <si>
    <t>4.9 (5,7*)</t>
  </si>
  <si>
    <t>4,8 (5,1-6,2)</t>
  </si>
  <si>
    <t>4,5 (4,5-5)</t>
  </si>
  <si>
    <t>3,7 (4-6)</t>
  </si>
  <si>
    <t>0.92</t>
  </si>
  <si>
    <t>16,2 (14*)</t>
  </si>
  <si>
    <t>14,6 (10-16)</t>
  </si>
  <si>
    <t>13,1 (12-16)</t>
  </si>
  <si>
    <t>16,6(18-28)</t>
  </si>
  <si>
    <t>11,6 (~10)</t>
  </si>
  <si>
    <t>0,96 (0,72*)</t>
  </si>
  <si>
    <t>1,5 (1,0)</t>
  </si>
  <si>
    <t>3,2 (3-3,5)</t>
  </si>
  <si>
    <t>9,1 (8-10)</t>
  </si>
  <si>
    <t>Параметры</t>
  </si>
  <si>
    <t>TFTR</t>
  </si>
  <si>
    <t>JET</t>
  </si>
  <si>
    <t>JT-60U</t>
  </si>
  <si>
    <t xml:space="preserve">NSTX </t>
  </si>
  <si>
    <t>Alcator C - Mod</t>
  </si>
  <si>
    <t xml:space="preserve">ТИН-СТ </t>
  </si>
  <si>
    <t>«Быстрые» ионы</t>
  </si>
  <si>
    <t>Альфа – частицы</t>
  </si>
  <si>
    <t>Источник</t>
  </si>
  <si>
    <t>Синтез</t>
  </si>
  <si>
    <t>ICRH</t>
  </si>
  <si>
    <t>0,4*</t>
  </si>
  <si>
    <t>4*</t>
  </si>
  <si>
    <t>0,5*</t>
  </si>
  <si>
    <t>11*</t>
  </si>
  <si>
    <t>~7</t>
  </si>
  <si>
    <t>1*</t>
  </si>
  <si>
    <t>0,2-0,8</t>
  </si>
  <si>
    <t xml:space="preserve">макс количество трития в одном месте </t>
  </si>
  <si>
    <t>ТИН-ДЕМО</t>
  </si>
  <si>
    <r>
      <t xml:space="preserve">Время удержания частиц </t>
    </r>
    <r>
      <rPr>
        <b/>
        <sz val="12"/>
        <color indexed="8"/>
        <rFont val="Times New Roman"/>
        <family val="1"/>
        <charset val="204"/>
      </rPr>
      <t>τе</t>
    </r>
  </si>
  <si>
    <t>D2</t>
  </si>
  <si>
    <t>T2</t>
  </si>
  <si>
    <t>Т-15</t>
  </si>
  <si>
    <t>Гц</t>
  </si>
  <si>
    <t>количество инжекторов нейтральных частиц</t>
  </si>
  <si>
    <t>количество пеллет-инжекторов</t>
  </si>
  <si>
    <t>частота работы инжектора</t>
  </si>
  <si>
    <t>нейтронный поток (мощность)</t>
  </si>
  <si>
    <t>МВт/м2</t>
  </si>
  <si>
    <t xml:space="preserve">(т.п.)  </t>
  </si>
  <si>
    <t xml:space="preserve">+ </t>
  </si>
  <si>
    <t>Характеристики ТИН и ИТЭР</t>
  </si>
  <si>
    <t>FNS-ST</t>
  </si>
  <si>
    <t>DEMO-FNS</t>
  </si>
  <si>
    <t>Major radius  R, m</t>
  </si>
  <si>
    <t>0.5</t>
  </si>
  <si>
    <t>DT-fusion option</t>
  </si>
  <si>
    <t>Beam driven fusion</t>
  </si>
  <si>
    <t>Beam driven and thermonuclear fusion ~50:50%</t>
  </si>
  <si>
    <t>Thermonuclear fusion</t>
  </si>
  <si>
    <t>~100%</t>
  </si>
  <si>
    <t>Heat transfer from alphas to plasma</t>
  </si>
  <si>
    <t>no</t>
  </si>
  <si>
    <t>yes</t>
  </si>
  <si>
    <t>Divertor configuration</t>
  </si>
  <si>
    <t>DN</t>
  </si>
  <si>
    <t>SN</t>
  </si>
  <si>
    <t>Toroidal field  at the VV center, T</t>
  </si>
  <si>
    <t>Fusion power, MW</t>
  </si>
  <si>
    <t>30 - 40</t>
  </si>
  <si>
    <t>~ 8 - 10</t>
  </si>
  <si>
    <t>50 - 70</t>
  </si>
  <si>
    <t>Fusion energy gain factor Q</t>
  </si>
  <si>
    <t>~ 0.2</t>
  </si>
  <si>
    <t>~ 1</t>
  </si>
  <si>
    <t>~ 10</t>
  </si>
  <si>
    <t>Shielding at high field side, m</t>
  </si>
  <si>
    <t>No shield</t>
  </si>
  <si>
    <t>~ 50 cm</t>
  </si>
  <si>
    <t>Type of magnetic system</t>
  </si>
  <si>
    <t>Cu</t>
  </si>
  <si>
    <t>LTS</t>
  </si>
  <si>
    <t>0.2</t>
  </si>
  <si>
    <t>~ 2</t>
  </si>
  <si>
    <t>0.3</t>
  </si>
  <si>
    <t>SABR</t>
  </si>
  <si>
    <t>установка</t>
  </si>
  <si>
    <t>флюэнс (плотность потока)</t>
  </si>
  <si>
    <t>флюэнс нейтронов</t>
  </si>
  <si>
    <t>мм</t>
  </si>
  <si>
    <t>Условные обозначения:</t>
  </si>
  <si>
    <t>Продолжительность ЦИКЛа переработки топлива:</t>
  </si>
  <si>
    <t xml:space="preserve">ДЕМО-ТИН </t>
  </si>
  <si>
    <t xml:space="preserve">ИТЭР </t>
  </si>
  <si>
    <t xml:space="preserve">Тип d-t реакции синтеза </t>
  </si>
  <si>
    <t xml:space="preserve">Реакции пучок-плазма (п-п) </t>
  </si>
  <si>
    <t xml:space="preserve">Реакции в термализованной плазме (т.п.) </t>
  </si>
  <si>
    <t xml:space="preserve">(п-п) </t>
  </si>
  <si>
    <t xml:space="preserve">Передача энергии α-частиц плазме </t>
  </si>
  <si>
    <t xml:space="preserve">нет </t>
  </si>
  <si>
    <t xml:space="preserve">да </t>
  </si>
  <si>
    <t xml:space="preserve">Конфигурация плазмы  </t>
  </si>
  <si>
    <t xml:space="preserve">DN </t>
  </si>
  <si>
    <t xml:space="preserve">SN </t>
  </si>
  <si>
    <t xml:space="preserve">30 - 40 </t>
  </si>
  <si>
    <t xml:space="preserve">~ 8 - 10 </t>
  </si>
  <si>
    <t xml:space="preserve">50 - 70 </t>
  </si>
  <si>
    <t xml:space="preserve">Фактор термоядерного усиления, Q </t>
  </si>
  <si>
    <t xml:space="preserve">~ 0,2 </t>
  </si>
  <si>
    <t xml:space="preserve">~ 1 </t>
  </si>
  <si>
    <t xml:space="preserve">~ 10 </t>
  </si>
  <si>
    <t xml:space="preserve">Наличие защиты на внутреннем обводе, м </t>
  </si>
  <si>
    <t xml:space="preserve">Без защиты </t>
  </si>
  <si>
    <t xml:space="preserve">~ 50 см </t>
  </si>
  <si>
    <t xml:space="preserve">60 – 80 см </t>
  </si>
  <si>
    <t xml:space="preserve">Тип ОТП </t>
  </si>
  <si>
    <t xml:space="preserve">тёплая </t>
  </si>
  <si>
    <t xml:space="preserve">сверхпров. </t>
  </si>
  <si>
    <t xml:space="preserve">~ 2 </t>
  </si>
  <si>
    <t>60 – 80cm</t>
  </si>
  <si>
    <r>
      <t xml:space="preserve">Большой радиус тора </t>
    </r>
    <r>
      <rPr>
        <b/>
        <i/>
        <sz val="12"/>
        <color indexed="8"/>
        <rFont val="Times New Roman"/>
        <family val="1"/>
        <charset val="204"/>
      </rPr>
      <t>R</t>
    </r>
    <r>
      <rPr>
        <b/>
        <vertAlign val="subscript"/>
        <sz val="12"/>
        <color indexed="8"/>
        <rFont val="Times New Roman"/>
        <family val="1"/>
        <charset val="204"/>
      </rPr>
      <t>0</t>
    </r>
    <r>
      <rPr>
        <b/>
        <sz val="12"/>
        <color indexed="8"/>
        <rFont val="Times New Roman"/>
        <family val="1"/>
        <charset val="204"/>
      </rPr>
      <t xml:space="preserve">, м </t>
    </r>
  </si>
  <si>
    <r>
      <t xml:space="preserve">Тороидальное поле на оси плазмы </t>
    </r>
    <r>
      <rPr>
        <b/>
        <i/>
        <sz val="12"/>
        <color indexed="8"/>
        <rFont val="Times New Roman"/>
        <family val="1"/>
        <charset val="204"/>
      </rPr>
      <t>B</t>
    </r>
    <r>
      <rPr>
        <b/>
        <vertAlign val="subscript"/>
        <sz val="12"/>
        <color indexed="8"/>
        <rFont val="Times New Roman"/>
        <family val="1"/>
        <charset val="204"/>
      </rPr>
      <t>t0</t>
    </r>
    <r>
      <rPr>
        <b/>
        <sz val="12"/>
        <color indexed="8"/>
        <rFont val="Times New Roman"/>
        <family val="1"/>
        <charset val="204"/>
      </rPr>
      <t xml:space="preserve">, Тл </t>
    </r>
  </si>
  <si>
    <r>
      <t xml:space="preserve">Мощность синтеза </t>
    </r>
    <r>
      <rPr>
        <b/>
        <i/>
        <sz val="12"/>
        <color indexed="8"/>
        <rFont val="Times New Roman"/>
        <family val="1"/>
        <charset val="204"/>
      </rPr>
      <t>P</t>
    </r>
    <r>
      <rPr>
        <b/>
        <vertAlign val="subscript"/>
        <sz val="12"/>
        <color indexed="8"/>
        <rFont val="Times New Roman"/>
        <family val="1"/>
        <charset val="204"/>
      </rPr>
      <t>FUS</t>
    </r>
    <r>
      <rPr>
        <b/>
        <sz val="12"/>
        <color indexed="8"/>
        <rFont val="Times New Roman"/>
        <family val="1"/>
        <charset val="204"/>
      </rPr>
      <t xml:space="preserve">, МВт </t>
    </r>
  </si>
  <si>
    <r>
      <t>B</t>
    </r>
    <r>
      <rPr>
        <b/>
        <i/>
        <vertAlign val="subscript"/>
        <sz val="12"/>
        <color indexed="36"/>
        <rFont val="Times New Roman"/>
        <family val="1"/>
        <charset val="204"/>
      </rPr>
      <t xml:space="preserve">t </t>
    </r>
    <r>
      <rPr>
        <b/>
        <i/>
        <sz val="12"/>
        <color indexed="36"/>
        <rFont val="Times New Roman"/>
        <family val="1"/>
        <charset val="204"/>
      </rPr>
      <t>, Tл</t>
    </r>
  </si>
  <si>
    <r>
      <t xml:space="preserve">Мощность нагрева плазмы </t>
    </r>
    <r>
      <rPr>
        <b/>
        <i/>
        <sz val="12"/>
        <color indexed="8"/>
        <rFont val="Times New Roman"/>
        <family val="1"/>
        <charset val="204"/>
      </rPr>
      <t>P</t>
    </r>
    <r>
      <rPr>
        <b/>
        <vertAlign val="subscript"/>
        <sz val="12"/>
        <color indexed="8"/>
        <rFont val="Times New Roman"/>
        <family val="1"/>
        <charset val="204"/>
      </rPr>
      <t>AUX</t>
    </r>
    <r>
      <rPr>
        <b/>
        <sz val="12"/>
        <color indexed="8"/>
        <rFont val="Times New Roman"/>
        <family val="1"/>
        <charset val="204"/>
      </rPr>
      <t xml:space="preserve">, МВт </t>
    </r>
  </si>
  <si>
    <r>
      <t xml:space="preserve">n, </t>
    </r>
    <r>
      <rPr>
        <sz val="12"/>
        <color indexed="36"/>
        <rFont val="Times New Roman"/>
        <family val="1"/>
        <charset val="204"/>
      </rPr>
      <t>×</t>
    </r>
    <r>
      <rPr>
        <b/>
        <i/>
        <sz val="12"/>
        <color indexed="36"/>
        <rFont val="Times New Roman"/>
        <family val="1"/>
        <charset val="204"/>
      </rPr>
      <t>10</t>
    </r>
    <r>
      <rPr>
        <b/>
        <i/>
        <vertAlign val="superscript"/>
        <sz val="12"/>
        <color indexed="36"/>
        <rFont val="Times New Roman"/>
        <family val="1"/>
        <charset val="204"/>
      </rPr>
      <t>20</t>
    </r>
    <r>
      <rPr>
        <b/>
        <i/>
        <sz val="12"/>
        <color indexed="36"/>
        <rFont val="Times New Roman"/>
        <family val="1"/>
        <charset val="204"/>
      </rPr>
      <t xml:space="preserve"> м</t>
    </r>
    <r>
      <rPr>
        <b/>
        <i/>
        <vertAlign val="superscript"/>
        <sz val="12"/>
        <color indexed="36"/>
        <rFont val="Times New Roman"/>
        <family val="1"/>
        <charset val="204"/>
      </rPr>
      <t>-3</t>
    </r>
  </si>
  <si>
    <r>
      <t>E</t>
    </r>
    <r>
      <rPr>
        <b/>
        <i/>
        <vertAlign val="subscript"/>
        <sz val="12"/>
        <color indexed="36"/>
        <rFont val="Times New Roman"/>
        <family val="1"/>
        <charset val="204"/>
      </rPr>
      <t>b</t>
    </r>
    <r>
      <rPr>
        <b/>
        <i/>
        <sz val="12"/>
        <color indexed="36"/>
        <rFont val="Times New Roman"/>
        <family val="1"/>
        <charset val="204"/>
      </rPr>
      <t>, кэВ</t>
    </r>
  </si>
  <si>
    <r>
      <t>P</t>
    </r>
    <r>
      <rPr>
        <b/>
        <i/>
        <vertAlign val="subscript"/>
        <sz val="12"/>
        <color indexed="36"/>
        <rFont val="Times New Roman"/>
        <family val="1"/>
        <charset val="204"/>
      </rPr>
      <t>heat</t>
    </r>
    <r>
      <rPr>
        <b/>
        <i/>
        <sz val="12"/>
        <color indexed="36"/>
        <rFont val="Times New Roman"/>
        <family val="1"/>
        <charset val="204"/>
      </rPr>
      <t xml:space="preserve"> /P</t>
    </r>
    <r>
      <rPr>
        <b/>
        <i/>
        <vertAlign val="subscript"/>
        <sz val="12"/>
        <color indexed="36"/>
        <rFont val="Times New Roman"/>
        <family val="1"/>
        <charset val="204"/>
      </rPr>
      <t>NBI</t>
    </r>
    <r>
      <rPr>
        <b/>
        <i/>
        <sz val="12"/>
        <color indexed="36"/>
        <rFont val="Times New Roman"/>
        <family val="1"/>
        <charset val="204"/>
      </rPr>
      <t>,  МВт</t>
    </r>
  </si>
  <si>
    <r>
      <t>Удельная нейтронная нагрузка Г</t>
    </r>
    <r>
      <rPr>
        <b/>
        <vertAlign val="subscript"/>
        <sz val="12"/>
        <color indexed="8"/>
        <rFont val="Times New Roman"/>
        <family val="1"/>
        <charset val="204"/>
      </rPr>
      <t>n</t>
    </r>
    <r>
      <rPr>
        <b/>
        <sz val="12"/>
        <color indexed="8"/>
        <rFont val="Times New Roman"/>
        <family val="1"/>
        <charset val="204"/>
      </rPr>
      <t>, МВт/м</t>
    </r>
    <r>
      <rPr>
        <b/>
        <vertAlign val="superscript"/>
        <sz val="12"/>
        <color indexed="8"/>
        <rFont val="Times New Roman"/>
        <family val="1"/>
        <charset val="204"/>
      </rPr>
      <t>2</t>
    </r>
    <r>
      <rPr>
        <b/>
        <sz val="12"/>
        <color indexed="8"/>
        <rFont val="Times New Roman"/>
        <family val="1"/>
        <charset val="204"/>
      </rPr>
      <t xml:space="preserve"> </t>
    </r>
  </si>
  <si>
    <r>
      <t>Флюенс нейтронов, МВт</t>
    </r>
    <r>
      <rPr>
        <b/>
        <vertAlign val="superscript"/>
        <sz val="12"/>
        <color indexed="8"/>
        <rFont val="Times New Roman"/>
        <family val="1"/>
        <charset val="204"/>
      </rPr>
      <t>.</t>
    </r>
    <r>
      <rPr>
        <b/>
        <sz val="12"/>
        <color indexed="8"/>
        <rFont val="Times New Roman"/>
        <family val="1"/>
        <charset val="204"/>
      </rPr>
      <t>лет/м</t>
    </r>
    <r>
      <rPr>
        <b/>
        <vertAlign val="superscript"/>
        <sz val="12"/>
        <color indexed="8"/>
        <rFont val="Times New Roman"/>
        <family val="1"/>
        <charset val="204"/>
      </rPr>
      <t>2</t>
    </r>
    <r>
      <rPr>
        <b/>
        <sz val="12"/>
        <color indexed="8"/>
        <rFont val="Times New Roman"/>
        <family val="1"/>
        <charset val="204"/>
      </rPr>
      <t xml:space="preserve"> </t>
    </r>
  </si>
  <si>
    <r>
      <t xml:space="preserve">~ 2 </t>
    </r>
    <r>
      <rPr>
        <b/>
        <vertAlign val="superscript"/>
        <sz val="12"/>
        <color indexed="8"/>
        <rFont val="Times New Roman"/>
        <family val="1"/>
        <charset val="204"/>
      </rPr>
      <t>(*)</t>
    </r>
    <r>
      <rPr>
        <b/>
        <sz val="12"/>
        <color indexed="8"/>
        <rFont val="Times New Roman"/>
        <family val="1"/>
        <charset val="204"/>
      </rPr>
      <t xml:space="preserve"> </t>
    </r>
  </si>
  <si>
    <r>
      <t>Z</t>
    </r>
    <r>
      <rPr>
        <b/>
        <i/>
        <vertAlign val="subscript"/>
        <sz val="12"/>
        <color indexed="36"/>
        <rFont val="Times New Roman"/>
        <family val="1"/>
        <charset val="204"/>
      </rPr>
      <t>eff</t>
    </r>
  </si>
  <si>
    <r>
      <t>β</t>
    </r>
    <r>
      <rPr>
        <b/>
        <i/>
        <vertAlign val="subscript"/>
        <sz val="12"/>
        <color indexed="36"/>
        <rFont val="Times New Roman"/>
        <family val="1"/>
        <charset val="204"/>
      </rPr>
      <t>N</t>
    </r>
  </si>
  <si>
    <r>
      <t>β</t>
    </r>
    <r>
      <rPr>
        <b/>
        <i/>
        <vertAlign val="subscript"/>
        <sz val="12"/>
        <color indexed="36"/>
        <rFont val="Times New Roman"/>
        <family val="1"/>
        <charset val="204"/>
      </rPr>
      <t>p</t>
    </r>
  </si>
  <si>
    <r>
      <t>β</t>
    </r>
    <r>
      <rPr>
        <b/>
        <i/>
        <vertAlign val="subscript"/>
        <sz val="12"/>
        <color indexed="36"/>
        <rFont val="Times New Roman"/>
        <family val="1"/>
        <charset val="204"/>
      </rPr>
      <t>t</t>
    </r>
    <r>
      <rPr>
        <b/>
        <i/>
        <sz val="12"/>
        <color indexed="36"/>
        <rFont val="Times New Roman"/>
        <family val="1"/>
        <charset val="204"/>
      </rPr>
      <t>,%</t>
    </r>
  </si>
  <si>
    <r>
      <t>q</t>
    </r>
    <r>
      <rPr>
        <b/>
        <i/>
        <vertAlign val="subscript"/>
        <sz val="12"/>
        <color indexed="36"/>
        <rFont val="Times New Roman"/>
        <family val="1"/>
        <charset val="204"/>
      </rPr>
      <t>95</t>
    </r>
  </si>
  <si>
    <r>
      <t>I</t>
    </r>
    <r>
      <rPr>
        <b/>
        <i/>
        <vertAlign val="subscript"/>
        <sz val="12"/>
        <color indexed="36"/>
        <rFont val="Times New Roman"/>
        <family val="1"/>
        <charset val="204"/>
      </rPr>
      <t>p</t>
    </r>
    <r>
      <rPr>
        <b/>
        <i/>
        <sz val="12"/>
        <color indexed="36"/>
        <rFont val="Times New Roman"/>
        <family val="1"/>
        <charset val="204"/>
      </rPr>
      <t>, МА</t>
    </r>
  </si>
  <si>
    <r>
      <t>I</t>
    </r>
    <r>
      <rPr>
        <b/>
        <i/>
        <vertAlign val="subscript"/>
        <sz val="12"/>
        <color indexed="36"/>
        <rFont val="Times New Roman"/>
        <family val="1"/>
        <charset val="204"/>
      </rPr>
      <t>bs</t>
    </r>
    <r>
      <rPr>
        <b/>
        <i/>
        <sz val="12"/>
        <color indexed="36"/>
        <rFont val="Times New Roman"/>
        <family val="1"/>
        <charset val="204"/>
      </rPr>
      <t>, МА</t>
    </r>
  </si>
  <si>
    <r>
      <t>I</t>
    </r>
    <r>
      <rPr>
        <b/>
        <i/>
        <vertAlign val="subscript"/>
        <sz val="12"/>
        <color indexed="36"/>
        <rFont val="Times New Roman"/>
        <family val="1"/>
        <charset val="204"/>
      </rPr>
      <t>cd</t>
    </r>
    <r>
      <rPr>
        <b/>
        <i/>
        <sz val="12"/>
        <color indexed="36"/>
        <rFont val="Times New Roman"/>
        <family val="1"/>
        <charset val="204"/>
      </rPr>
      <t>, МА</t>
    </r>
  </si>
  <si>
    <r>
      <t>τ</t>
    </r>
    <r>
      <rPr>
        <b/>
        <i/>
        <vertAlign val="subscript"/>
        <sz val="12"/>
        <color indexed="36"/>
        <rFont val="Times New Roman"/>
        <family val="1"/>
        <charset val="204"/>
      </rPr>
      <t>E</t>
    </r>
    <r>
      <rPr>
        <b/>
        <i/>
        <sz val="12"/>
        <color indexed="36"/>
        <rFont val="Times New Roman"/>
        <family val="1"/>
        <charset val="204"/>
      </rPr>
      <t>, мс</t>
    </r>
  </si>
  <si>
    <r>
      <t>τ</t>
    </r>
    <r>
      <rPr>
        <b/>
        <i/>
        <vertAlign val="subscript"/>
        <sz val="12"/>
        <color indexed="36"/>
        <rFont val="Times New Roman"/>
        <family val="1"/>
        <charset val="204"/>
      </rPr>
      <t>sc</t>
    </r>
    <r>
      <rPr>
        <b/>
        <i/>
        <sz val="12"/>
        <color indexed="36"/>
        <rFont val="Times New Roman"/>
        <family val="1"/>
        <charset val="204"/>
      </rPr>
      <t>, мс</t>
    </r>
  </si>
  <si>
    <r>
      <t>n</t>
    </r>
    <r>
      <rPr>
        <b/>
        <i/>
        <vertAlign val="subscript"/>
        <sz val="12"/>
        <color indexed="36"/>
        <rFont val="Times New Roman"/>
        <family val="1"/>
        <charset val="204"/>
      </rPr>
      <t>f</t>
    </r>
    <r>
      <rPr>
        <b/>
        <i/>
        <sz val="12"/>
        <color indexed="36"/>
        <rFont val="Times New Roman"/>
        <family val="1"/>
        <charset val="204"/>
      </rPr>
      <t xml:space="preserve">, </t>
    </r>
    <r>
      <rPr>
        <sz val="12"/>
        <color indexed="36"/>
        <rFont val="Times New Roman"/>
        <family val="1"/>
        <charset val="204"/>
      </rPr>
      <t>×</t>
    </r>
    <r>
      <rPr>
        <b/>
        <i/>
        <sz val="12"/>
        <color indexed="36"/>
        <rFont val="Times New Roman"/>
        <family val="1"/>
        <charset val="204"/>
      </rPr>
      <t>10</t>
    </r>
    <r>
      <rPr>
        <b/>
        <i/>
        <vertAlign val="superscript"/>
        <sz val="12"/>
        <color indexed="36"/>
        <rFont val="Times New Roman"/>
        <family val="1"/>
        <charset val="204"/>
      </rPr>
      <t>18</t>
    </r>
    <r>
      <rPr>
        <b/>
        <i/>
        <sz val="12"/>
        <color indexed="36"/>
        <rFont val="Times New Roman"/>
        <family val="1"/>
        <charset val="204"/>
      </rPr>
      <t xml:space="preserve"> м</t>
    </r>
    <r>
      <rPr>
        <b/>
        <i/>
        <vertAlign val="superscript"/>
        <sz val="12"/>
        <color indexed="36"/>
        <rFont val="Times New Roman"/>
        <family val="1"/>
        <charset val="204"/>
      </rPr>
      <t>-3</t>
    </r>
  </si>
  <si>
    <r>
      <t xml:space="preserve">Auxiliary heating power </t>
    </r>
    <r>
      <rPr>
        <b/>
        <i/>
        <sz val="12"/>
        <color indexed="8"/>
        <rFont val="Times New Roman"/>
        <family val="1"/>
        <charset val="204"/>
      </rPr>
      <t>P</t>
    </r>
    <r>
      <rPr>
        <b/>
        <vertAlign val="subscript"/>
        <sz val="12"/>
        <color indexed="8"/>
        <rFont val="Times New Roman"/>
        <family val="1"/>
        <charset val="204"/>
      </rPr>
      <t>AUX</t>
    </r>
    <r>
      <rPr>
        <b/>
        <sz val="12"/>
        <color indexed="8"/>
        <rFont val="Times New Roman"/>
        <family val="1"/>
        <charset val="204"/>
      </rPr>
      <t>, МВт</t>
    </r>
  </si>
  <si>
    <r>
      <t>&lt;E</t>
    </r>
    <r>
      <rPr>
        <b/>
        <i/>
        <vertAlign val="subscript"/>
        <sz val="12"/>
        <color indexed="36"/>
        <rFont val="Times New Roman"/>
        <family val="1"/>
        <charset val="204"/>
      </rPr>
      <t>f</t>
    </r>
    <r>
      <rPr>
        <b/>
        <i/>
        <sz val="12"/>
        <color indexed="36"/>
        <rFont val="Times New Roman"/>
        <family val="1"/>
        <charset val="204"/>
      </rPr>
      <t>&gt;, кэВ</t>
    </r>
  </si>
  <si>
    <r>
      <t>E</t>
    </r>
    <r>
      <rPr>
        <b/>
        <i/>
        <vertAlign val="subscript"/>
        <sz val="12"/>
        <color indexed="36"/>
        <rFont val="Times New Roman"/>
        <family val="1"/>
        <charset val="204"/>
      </rPr>
      <t>с</t>
    </r>
    <r>
      <rPr>
        <b/>
        <i/>
        <sz val="12"/>
        <color indexed="36"/>
        <rFont val="Times New Roman"/>
        <family val="1"/>
        <charset val="204"/>
      </rPr>
      <t>, кэВ</t>
    </r>
  </si>
  <si>
    <r>
      <t>P</t>
    </r>
    <r>
      <rPr>
        <b/>
        <i/>
        <vertAlign val="subscript"/>
        <sz val="12"/>
        <color indexed="36"/>
        <rFont val="Times New Roman"/>
        <family val="1"/>
        <charset val="204"/>
      </rPr>
      <t>fb</t>
    </r>
    <r>
      <rPr>
        <b/>
        <i/>
        <sz val="12"/>
        <color indexed="36"/>
        <rFont val="Times New Roman"/>
        <family val="1"/>
        <charset val="204"/>
      </rPr>
      <t>, МВт</t>
    </r>
  </si>
  <si>
    <r>
      <t>P</t>
    </r>
    <r>
      <rPr>
        <b/>
        <i/>
        <vertAlign val="subscript"/>
        <sz val="12"/>
        <color indexed="36"/>
        <rFont val="Times New Roman"/>
        <family val="1"/>
        <charset val="204"/>
      </rPr>
      <t>fm</t>
    </r>
    <r>
      <rPr>
        <b/>
        <i/>
        <sz val="12"/>
        <color indexed="36"/>
        <rFont val="Times New Roman"/>
        <family val="1"/>
        <charset val="204"/>
      </rPr>
      <t>, МВт</t>
    </r>
  </si>
  <si>
    <r>
      <t>Neutron loading Г</t>
    </r>
    <r>
      <rPr>
        <b/>
        <vertAlign val="subscript"/>
        <sz val="12"/>
        <color indexed="8"/>
        <rFont val="Times New Roman"/>
        <family val="1"/>
        <charset val="204"/>
      </rPr>
      <t>n</t>
    </r>
    <r>
      <rPr>
        <b/>
        <sz val="12"/>
        <color indexed="8"/>
        <rFont val="Times New Roman"/>
        <family val="1"/>
        <charset val="204"/>
      </rPr>
      <t>, MW/m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</si>
  <si>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r>
      <t>υ*</t>
    </r>
    <r>
      <rPr>
        <b/>
        <i/>
        <vertAlign val="superscript"/>
        <sz val="12"/>
        <color indexed="36"/>
        <rFont val="Times New Roman"/>
        <family val="1"/>
        <charset val="204"/>
      </rPr>
      <t>,e</t>
    </r>
  </si>
  <si>
    <r>
      <t>Neutron fluence, MWy/m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</si>
  <si>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r>
      <t>ρ*</t>
    </r>
    <r>
      <rPr>
        <b/>
        <i/>
        <vertAlign val="superscript"/>
        <sz val="12"/>
        <color indexed="36"/>
        <rFont val="Times New Roman"/>
        <family val="1"/>
        <charset val="204"/>
      </rPr>
      <t>,i</t>
    </r>
    <r>
      <rPr>
        <b/>
        <i/>
        <sz val="12"/>
        <color indexed="36"/>
        <rFont val="Times New Roman"/>
        <family val="1"/>
        <charset val="204"/>
      </rPr>
      <t xml:space="preserve">    </t>
    </r>
  </si>
  <si>
    <r>
      <t>α</t>
    </r>
    <r>
      <rPr>
        <b/>
        <i/>
        <vertAlign val="subscript"/>
        <sz val="12"/>
        <color indexed="36"/>
        <rFont val="Times New Roman"/>
        <family val="1"/>
        <charset val="204"/>
      </rPr>
      <t>th</t>
    </r>
    <r>
      <rPr>
        <b/>
        <i/>
        <sz val="12"/>
        <color indexed="36"/>
        <rFont val="Times New Roman"/>
        <family val="1"/>
        <charset val="204"/>
      </rPr>
      <t>, %</t>
    </r>
  </si>
  <si>
    <r>
      <t>&lt;v</t>
    </r>
    <r>
      <rPr>
        <b/>
        <i/>
        <vertAlign val="subscript"/>
        <sz val="12"/>
        <color indexed="36"/>
        <rFont val="Times New Roman"/>
        <family val="1"/>
        <charset val="204"/>
      </rPr>
      <t>f</t>
    </r>
    <r>
      <rPr>
        <b/>
        <i/>
        <sz val="12"/>
        <color indexed="36"/>
        <rFont val="Times New Roman"/>
        <family val="1"/>
        <charset val="204"/>
      </rPr>
      <t xml:space="preserve">  &gt; /v</t>
    </r>
    <r>
      <rPr>
        <b/>
        <i/>
        <vertAlign val="subscript"/>
        <sz val="12"/>
        <color indexed="36"/>
        <rFont val="Times New Roman"/>
        <family val="1"/>
        <charset val="204"/>
      </rPr>
      <t>а</t>
    </r>
  </si>
  <si>
    <r>
      <t>t</t>
    </r>
    <r>
      <rPr>
        <b/>
        <i/>
        <vertAlign val="subscript"/>
        <sz val="12"/>
        <color indexed="36"/>
        <rFont val="Times New Roman"/>
        <family val="1"/>
        <charset val="204"/>
      </rPr>
      <t>sс</t>
    </r>
    <r>
      <rPr>
        <b/>
        <sz val="12"/>
        <color indexed="36"/>
        <rFont val="Times New Roman"/>
        <family val="1"/>
        <charset val="204"/>
      </rPr>
      <t>, мс</t>
    </r>
  </si>
  <si>
    <r>
      <t>P</t>
    </r>
    <r>
      <rPr>
        <b/>
        <i/>
        <vertAlign val="subscript"/>
        <sz val="12"/>
        <color indexed="36"/>
        <rFont val="Times New Roman"/>
        <family val="1"/>
        <charset val="204"/>
      </rPr>
      <t>f</t>
    </r>
    <r>
      <rPr>
        <b/>
        <sz val="12"/>
        <color indexed="36"/>
        <rFont val="Times New Roman"/>
        <family val="1"/>
        <charset val="204"/>
      </rPr>
      <t>(0), МВт/м</t>
    </r>
    <r>
      <rPr>
        <b/>
        <vertAlign val="superscript"/>
        <sz val="12"/>
        <color indexed="36"/>
        <rFont val="Times New Roman"/>
        <family val="1"/>
        <charset val="204"/>
      </rPr>
      <t>3</t>
    </r>
  </si>
  <si>
    <r>
      <t>n</t>
    </r>
    <r>
      <rPr>
        <b/>
        <i/>
        <vertAlign val="subscript"/>
        <sz val="12"/>
        <color indexed="36"/>
        <rFont val="Times New Roman"/>
        <family val="1"/>
        <charset val="204"/>
      </rPr>
      <t>f</t>
    </r>
    <r>
      <rPr>
        <b/>
        <sz val="12"/>
        <color indexed="36"/>
        <rFont val="Times New Roman"/>
        <family val="1"/>
        <charset val="204"/>
      </rPr>
      <t>(0)/</t>
    </r>
    <r>
      <rPr>
        <b/>
        <i/>
        <sz val="12"/>
        <color indexed="36"/>
        <rFont val="Times New Roman"/>
        <family val="1"/>
        <charset val="204"/>
      </rPr>
      <t>n</t>
    </r>
    <r>
      <rPr>
        <b/>
        <sz val="12"/>
        <color indexed="36"/>
        <rFont val="Times New Roman"/>
        <family val="1"/>
        <charset val="204"/>
      </rPr>
      <t>(0), %</t>
    </r>
  </si>
  <si>
    <r>
      <t>β</t>
    </r>
    <r>
      <rPr>
        <b/>
        <i/>
        <vertAlign val="subscript"/>
        <sz val="12"/>
        <color indexed="36"/>
        <rFont val="Times New Roman"/>
        <family val="1"/>
        <charset val="204"/>
      </rPr>
      <t>f</t>
    </r>
    <r>
      <rPr>
        <b/>
        <i/>
        <sz val="12"/>
        <color indexed="36"/>
        <rFont val="Times New Roman"/>
        <family val="1"/>
        <charset val="204"/>
      </rPr>
      <t xml:space="preserve"> </t>
    </r>
    <r>
      <rPr>
        <b/>
        <sz val="12"/>
        <color indexed="36"/>
        <rFont val="Times New Roman"/>
        <family val="1"/>
        <charset val="204"/>
      </rPr>
      <t>(0), %</t>
    </r>
  </si>
  <si>
    <r>
      <t xml:space="preserve">&lt; </t>
    </r>
    <r>
      <rPr>
        <b/>
        <i/>
        <sz val="12"/>
        <color indexed="36"/>
        <rFont val="Times New Roman"/>
        <family val="1"/>
        <charset val="204"/>
      </rPr>
      <t>β</t>
    </r>
    <r>
      <rPr>
        <b/>
        <i/>
        <vertAlign val="subscript"/>
        <sz val="12"/>
        <color indexed="36"/>
        <rFont val="Times New Roman"/>
        <family val="1"/>
        <charset val="204"/>
      </rPr>
      <t>f</t>
    </r>
    <r>
      <rPr>
        <b/>
        <sz val="12"/>
        <color indexed="36"/>
        <rFont val="Times New Roman"/>
        <family val="1"/>
        <charset val="204"/>
      </rPr>
      <t xml:space="preserve"> &gt;, %</t>
    </r>
  </si>
  <si>
    <r>
      <t>v</t>
    </r>
    <r>
      <rPr>
        <b/>
        <i/>
        <vertAlign val="subscript"/>
        <sz val="12"/>
        <color indexed="36"/>
        <rFont val="Times New Roman"/>
        <family val="1"/>
        <charset val="204"/>
      </rPr>
      <t>f</t>
    </r>
    <r>
      <rPr>
        <b/>
        <sz val="12"/>
        <color indexed="36"/>
        <rFont val="Times New Roman"/>
        <family val="1"/>
        <charset val="204"/>
      </rPr>
      <t>(0)/</t>
    </r>
    <r>
      <rPr>
        <b/>
        <i/>
        <sz val="12"/>
        <color indexed="36"/>
        <rFont val="Times New Roman"/>
        <family val="1"/>
        <charset val="204"/>
      </rPr>
      <t>v</t>
    </r>
    <r>
      <rPr>
        <b/>
        <i/>
        <vertAlign val="subscript"/>
        <sz val="12"/>
        <color indexed="36"/>
        <rFont val="Times New Roman"/>
        <family val="1"/>
        <charset val="204"/>
      </rPr>
      <t>a</t>
    </r>
    <r>
      <rPr>
        <b/>
        <sz val="12"/>
        <color indexed="36"/>
        <rFont val="Times New Roman"/>
        <family val="1"/>
        <charset val="204"/>
      </rPr>
      <t>(0)</t>
    </r>
  </si>
  <si>
    <t>JT-60(SA)</t>
  </si>
  <si>
    <t>дней</t>
  </si>
  <si>
    <t>Токамак</t>
  </si>
  <si>
    <t>время остановки тритийвоспроизводящего бланкета (должно храниться в геттере топлива)</t>
  </si>
  <si>
    <t>нет данных</t>
  </si>
  <si>
    <t>известные данные</t>
  </si>
  <si>
    <t>выдуманные данные</t>
  </si>
  <si>
    <t>Плотность льда DT (при н. у.)</t>
  </si>
  <si>
    <t xml:space="preserve">дней </t>
  </si>
  <si>
    <t>// для Ве</t>
  </si>
  <si>
    <t>(до 90)</t>
  </si>
  <si>
    <t>производительность системы разделения изотопов</t>
  </si>
  <si>
    <t>концентрация трития в металле стенки nТ=</t>
  </si>
  <si>
    <t xml:space="preserve">м3 Па/за ЦИКЛ </t>
  </si>
  <si>
    <t>коэффициенты несоответствия:</t>
  </si>
  <si>
    <t>c</t>
  </si>
  <si>
    <t>доля трития в топливной смеси</t>
  </si>
  <si>
    <t>tritium fraction</t>
  </si>
  <si>
    <t>TauE, ms</t>
  </si>
  <si>
    <t>Te(0),keV</t>
  </si>
  <si>
    <t>Ti(0),keV</t>
  </si>
  <si>
    <t>Total fusion, MW</t>
  </si>
  <si>
    <t>Plasma-plasma fusion,MW</t>
  </si>
  <si>
    <t>Beam fusion, MW</t>
  </si>
  <si>
    <t>total absorbed power, MW</t>
  </si>
  <si>
    <r>
      <t>Neutrons,   10</t>
    </r>
    <r>
      <rPr>
        <b/>
        <vertAlign val="superscript"/>
        <sz val="11"/>
        <color rgb="FFFF0000"/>
        <rFont val="Times New Roman"/>
        <family val="1"/>
        <charset val="204"/>
      </rPr>
      <t>19</t>
    </r>
    <r>
      <rPr>
        <b/>
        <sz val="11"/>
        <color rgb="FFFF0000"/>
        <rFont val="Times New Roman"/>
        <family val="1"/>
        <charset val="204"/>
      </rPr>
      <t>s</t>
    </r>
    <r>
      <rPr>
        <b/>
        <vertAlign val="superscript"/>
        <sz val="11"/>
        <color rgb="FFFF0000"/>
        <rFont val="Times New Roman"/>
        <family val="1"/>
        <charset val="204"/>
      </rPr>
      <t>-1</t>
    </r>
  </si>
  <si>
    <t>дата: 4 августа 2017 г., 11:00</t>
  </si>
  <si>
    <t>тема: Re: по поводу просьб Кутеева</t>
  </si>
  <si>
    <t xml:space="preserve">от: Alexei Dnestrovskij &lt;dnestrov0@gmail.com&gt;
</t>
  </si>
  <si>
    <t>Днестровский А.Ю.</t>
  </si>
  <si>
    <r>
      <t xml:space="preserve">Расчеты плазмы ТИН: </t>
    </r>
    <r>
      <rPr>
        <b/>
        <sz val="11"/>
        <color theme="1"/>
        <rFont val="Times New Roman"/>
        <family val="1"/>
        <charset val="204"/>
      </rPr>
      <t>дейтериевый пучок</t>
    </r>
    <r>
      <rPr>
        <sz val="11"/>
        <color theme="1"/>
        <rFont val="Times New Roman"/>
        <family val="1"/>
        <charset val="204"/>
      </rPr>
      <t xml:space="preserve">, </t>
    </r>
    <r>
      <rPr>
        <sz val="11"/>
        <color rgb="FFFF0000"/>
        <rFont val="Times New Roman"/>
        <family val="1"/>
        <charset val="204"/>
      </rPr>
      <t>Д-Т плазма с вариацией доли трития</t>
    </r>
    <r>
      <rPr>
        <sz val="11"/>
        <color theme="1"/>
        <rFont val="Times New Roman"/>
        <family val="1"/>
        <charset val="204"/>
      </rPr>
      <t>.</t>
    </r>
  </si>
  <si>
    <t>10^21</t>
  </si>
  <si>
    <t>системы принципиально отсутствуют</t>
  </si>
  <si>
    <t xml:space="preserve"> и 85  "-"</t>
  </si>
  <si>
    <t>"+"</t>
  </si>
  <si>
    <t>доля протия в плазме</t>
  </si>
  <si>
    <t>доля потока, падающего на первую стенку, достигающая инжекторов NBI</t>
  </si>
  <si>
    <t>Эффективность доставки частиц в плазму для различных систем инжекции</t>
  </si>
  <si>
    <t>размеры патрубка (высота)</t>
  </si>
  <si>
    <t>(ширина)</t>
  </si>
  <si>
    <t>(В СТАЦИОНАРЕ)</t>
  </si>
  <si>
    <t>Поток газа в нейтрализатор (для создания эффективной газовой мишени)</t>
  </si>
  <si>
    <t>// Крылов</t>
  </si>
  <si>
    <t>// Ширнин</t>
  </si>
  <si>
    <t>// Мирнов</t>
  </si>
  <si>
    <t>41.3</t>
  </si>
  <si>
    <t>Д-Т пучок (1:1), Д-Т плазма (1:1)</t>
  </si>
  <si>
    <t>ТИН 2017 год. Финальный отчет</t>
  </si>
  <si>
    <t>ДЕМО-ТИН</t>
  </si>
  <si>
    <t>k(pellet)HFS</t>
  </si>
  <si>
    <t>k(pellet)LFS</t>
  </si>
  <si>
    <t>Плотности изотопов водорода в твердом состоянии:</t>
  </si>
  <si>
    <t>Н2</t>
  </si>
  <si>
    <t xml:space="preserve">Гц </t>
  </si>
  <si>
    <t>Enbi</t>
  </si>
  <si>
    <r>
      <t xml:space="preserve">объем </t>
    </r>
    <r>
      <rPr>
        <b/>
        <sz val="12"/>
        <color theme="1"/>
        <rFont val="Times New Roman"/>
        <family val="1"/>
        <charset val="204"/>
      </rPr>
      <t>вакуумной камеры</t>
    </r>
  </si>
  <si>
    <r>
      <t xml:space="preserve"> площадь стенок </t>
    </r>
    <r>
      <rPr>
        <b/>
        <sz val="12"/>
        <color theme="1"/>
        <rFont val="Times New Roman"/>
        <family val="1"/>
        <charset val="204"/>
      </rPr>
      <t>вакуумной камеры</t>
    </r>
    <r>
      <rPr>
        <sz val="12"/>
        <color theme="1"/>
        <rFont val="Times New Roman"/>
        <family val="1"/>
        <charset val="204"/>
      </rPr>
      <t xml:space="preserve"> S=</t>
    </r>
  </si>
  <si>
    <t xml:space="preserve">поток DT, который может быть захвачен из вакуумной камеры Li </t>
  </si>
  <si>
    <t>при 1000К</t>
  </si>
  <si>
    <t>минимально допустимая доля изотопа в пеллете</t>
  </si>
  <si>
    <t xml:space="preserve">атомов/с </t>
  </si>
  <si>
    <t>объем дивертора</t>
  </si>
  <si>
    <t>при 600К</t>
  </si>
  <si>
    <t>доля примеси Ne</t>
  </si>
  <si>
    <t>mu</t>
  </si>
  <si>
    <r>
      <t xml:space="preserve">доля </t>
    </r>
    <r>
      <rPr>
        <b/>
        <sz val="12"/>
        <color rgb="FFFF0000"/>
        <rFont val="Times New Roman"/>
        <family val="1"/>
        <charset val="204"/>
      </rPr>
      <t>Не</t>
    </r>
    <r>
      <rPr>
        <sz val="12"/>
        <color rgb="FFFF0000"/>
        <rFont val="Times New Roman"/>
        <family val="1"/>
        <charset val="204"/>
      </rPr>
      <t xml:space="preserve"> в плазме</t>
    </r>
  </si>
  <si>
    <r>
      <t xml:space="preserve">доля </t>
    </r>
    <r>
      <rPr>
        <b/>
        <sz val="12"/>
        <color rgb="FFFF0000"/>
        <rFont val="Times New Roman"/>
        <family val="1"/>
        <charset val="204"/>
      </rPr>
      <t>протия</t>
    </r>
    <r>
      <rPr>
        <sz val="12"/>
        <color rgb="FFFF0000"/>
        <rFont val="Times New Roman"/>
        <family val="1"/>
        <charset val="204"/>
      </rPr>
      <t xml:space="preserve"> в плазме</t>
    </r>
  </si>
  <si>
    <t>НАИБОЛЕЕ АКТУАЛЬНЫЕ ПАРАМЕТРЫ УСТАНОВКИ!</t>
  </si>
  <si>
    <t>// ITER</t>
  </si>
  <si>
    <t>количество пеллет-инжекторов:</t>
  </si>
  <si>
    <t>частота работы инжектора:</t>
  </si>
  <si>
    <t>размер топливной пеллеты (диаметр):</t>
  </si>
  <si>
    <t>время остановки тритийвоспроизводящего бланкета</t>
  </si>
  <si>
    <r>
      <t xml:space="preserve">Поток газа в источник ионов </t>
    </r>
    <r>
      <rPr>
        <b/>
        <sz val="12"/>
        <color theme="1"/>
        <rFont val="Times New Roman"/>
        <family val="1"/>
        <charset val="204"/>
      </rPr>
      <t>(одного инжектора)</t>
    </r>
  </si>
  <si>
    <t>Z_Ne</t>
  </si>
  <si>
    <t>Z_eff</t>
  </si>
  <si>
    <r>
      <t xml:space="preserve">объем </t>
    </r>
    <r>
      <rPr>
        <b/>
        <sz val="12"/>
        <color theme="1"/>
        <rFont val="Times New Roman"/>
        <family val="1"/>
        <charset val="204"/>
      </rPr>
      <t>CORE</t>
    </r>
  </si>
  <si>
    <r>
      <t xml:space="preserve">объем </t>
    </r>
    <r>
      <rPr>
        <b/>
        <sz val="12"/>
        <color theme="1"/>
        <rFont val="Times New Roman"/>
        <family val="1"/>
        <charset val="204"/>
      </rPr>
      <t>EDGE</t>
    </r>
  </si>
  <si>
    <r>
      <t xml:space="preserve"> площадь первой стенки S</t>
    </r>
    <r>
      <rPr>
        <sz val="8"/>
        <color theme="1"/>
        <rFont val="Times New Roman"/>
        <family val="1"/>
        <charset val="204"/>
      </rPr>
      <t>FW</t>
    </r>
    <r>
      <rPr>
        <sz val="12"/>
        <color theme="1"/>
        <rFont val="Times New Roman"/>
        <family val="1"/>
        <charset val="204"/>
      </rPr>
      <t>=</t>
    </r>
  </si>
  <si>
    <r>
      <t>объем камеры внутри первой стенки V</t>
    </r>
    <r>
      <rPr>
        <sz val="8"/>
        <color theme="1"/>
        <rFont val="Times New Roman"/>
        <family val="1"/>
        <charset val="204"/>
      </rPr>
      <t>FW=</t>
    </r>
  </si>
  <si>
    <r>
      <t>n</t>
    </r>
    <r>
      <rPr>
        <b/>
        <sz val="8"/>
        <color indexed="8"/>
        <rFont val="Times New Roman"/>
        <family val="1"/>
        <charset val="204"/>
      </rPr>
      <t>е_sep</t>
    </r>
  </si>
  <si>
    <r>
      <t>n</t>
    </r>
    <r>
      <rPr>
        <b/>
        <sz val="8"/>
        <color indexed="8"/>
        <rFont val="Times New Roman"/>
        <family val="1"/>
        <charset val="204"/>
      </rPr>
      <t>е_div</t>
    </r>
  </si>
  <si>
    <r>
      <t xml:space="preserve">плотность плазмы (общая) </t>
    </r>
    <r>
      <rPr>
        <b/>
        <sz val="12"/>
        <color indexed="8"/>
        <rFont val="Times New Roman"/>
        <family val="1"/>
        <charset val="204"/>
      </rPr>
      <t>&lt;ne&gt;</t>
    </r>
    <r>
      <rPr>
        <sz val="12"/>
        <color indexed="8"/>
        <rFont val="Times New Roman"/>
        <family val="1"/>
        <charset val="204"/>
      </rPr>
      <t>=</t>
    </r>
  </si>
  <si>
    <r>
      <t xml:space="preserve">давление нейтралов в диверторе </t>
    </r>
    <r>
      <rPr>
        <b/>
        <sz val="12"/>
        <color theme="1"/>
        <rFont val="Times New Roman"/>
        <family val="1"/>
        <charset val="204"/>
      </rPr>
      <t>p</t>
    </r>
    <r>
      <rPr>
        <b/>
        <sz val="10"/>
        <color theme="1"/>
        <rFont val="Times New Roman"/>
        <family val="1"/>
        <charset val="204"/>
      </rPr>
      <t>n=</t>
    </r>
  </si>
  <si>
    <r>
      <t xml:space="preserve">Термоядерная мощность </t>
    </r>
    <r>
      <rPr>
        <b/>
        <sz val="12"/>
        <color indexed="8"/>
        <rFont val="Times New Roman"/>
        <family val="1"/>
        <charset val="204"/>
      </rPr>
      <t>Pf=</t>
    </r>
  </si>
  <si>
    <r>
      <t>P</t>
    </r>
    <r>
      <rPr>
        <b/>
        <sz val="10"/>
        <color theme="1"/>
        <rFont val="Times New Roman"/>
        <family val="1"/>
        <charset val="204"/>
      </rPr>
      <t>SOL</t>
    </r>
    <r>
      <rPr>
        <b/>
        <sz val="12"/>
        <color theme="1"/>
        <rFont val="Times New Roman"/>
        <family val="1"/>
        <charset val="204"/>
      </rPr>
      <t>=</t>
    </r>
  </si>
  <si>
    <r>
      <t xml:space="preserve">Энергетическое время удержания </t>
    </r>
    <r>
      <rPr>
        <b/>
        <sz val="12"/>
        <color indexed="8"/>
        <rFont val="Times New Roman"/>
        <family val="1"/>
        <charset val="204"/>
      </rPr>
      <t>τе=</t>
    </r>
  </si>
  <si>
    <r>
      <t>c</t>
    </r>
    <r>
      <rPr>
        <b/>
        <vertAlign val="subscript"/>
        <sz val="12"/>
        <color theme="1"/>
        <rFont val="Times New Roman"/>
        <family val="1"/>
        <charset val="204"/>
      </rPr>
      <t>p</t>
    </r>
    <r>
      <rPr>
        <b/>
        <sz val="12"/>
        <color theme="1"/>
        <rFont val="Times New Roman"/>
        <family val="1"/>
        <charset val="204"/>
      </rPr>
      <t xml:space="preserve">= </t>
    </r>
    <r>
      <rPr>
        <b/>
        <sz val="12"/>
        <color rgb="FF000000"/>
        <rFont val="Times New Roman"/>
        <family val="1"/>
        <charset val="204"/>
      </rPr>
      <t>τ</t>
    </r>
    <r>
      <rPr>
        <b/>
        <vertAlign val="subscript"/>
        <sz val="12"/>
        <color rgb="FF000000"/>
        <rFont val="Times New Roman"/>
        <family val="1"/>
        <charset val="204"/>
      </rPr>
      <t>p/</t>
    </r>
    <r>
      <rPr>
        <b/>
        <sz val="12"/>
        <color rgb="FF000000"/>
        <rFont val="Times New Roman"/>
        <family val="1"/>
        <charset val="204"/>
      </rPr>
      <t>τ</t>
    </r>
    <r>
      <rPr>
        <b/>
        <vertAlign val="subscript"/>
        <sz val="12"/>
        <color rgb="FF000000"/>
        <rFont val="Times New Roman"/>
        <family val="1"/>
        <charset val="204"/>
      </rPr>
      <t>E</t>
    </r>
  </si>
  <si>
    <t>n_T+n_D =</t>
  </si>
  <si>
    <r>
      <t xml:space="preserve">доля </t>
    </r>
    <r>
      <rPr>
        <b/>
        <sz val="12"/>
        <color theme="1"/>
        <rFont val="Times New Roman"/>
        <family val="1"/>
        <charset val="204"/>
      </rPr>
      <t>CORE</t>
    </r>
  </si>
  <si>
    <r>
      <t xml:space="preserve">доля </t>
    </r>
    <r>
      <rPr>
        <b/>
        <sz val="12"/>
        <color theme="1"/>
        <rFont val="Times New Roman"/>
        <family val="1"/>
        <charset val="204"/>
      </rPr>
      <t>EDGE</t>
    </r>
  </si>
  <si>
    <t>Pdiv</t>
  </si>
  <si>
    <r>
      <t>P</t>
    </r>
    <r>
      <rPr>
        <sz val="8"/>
        <color theme="1"/>
        <rFont val="Times New Roman"/>
        <family val="1"/>
        <charset val="204"/>
      </rPr>
      <t>FW</t>
    </r>
  </si>
  <si>
    <r>
      <t xml:space="preserve">ПОТРЕБНОСТЬ В </t>
    </r>
    <r>
      <rPr>
        <b/>
        <sz val="12"/>
        <color rgb="FFFF0000"/>
        <rFont val="Times New Roman"/>
        <family val="1"/>
        <charset val="204"/>
      </rPr>
      <t>Т</t>
    </r>
  </si>
  <si>
    <r>
      <t xml:space="preserve">ПОТРЕБНОСТЬ В </t>
    </r>
    <r>
      <rPr>
        <b/>
        <sz val="12"/>
        <color rgb="FF0070C0"/>
        <rFont val="Times New Roman"/>
        <family val="1"/>
        <charset val="204"/>
      </rPr>
      <t>D</t>
    </r>
  </si>
  <si>
    <t xml:space="preserve">Часть ионов, превратившихся в быстрые атомы </t>
  </si>
  <si>
    <t>Эффективность тракта</t>
  </si>
  <si>
    <t>содержание в откачиваемой смеси молекул, содержащих изотопы Н:</t>
  </si>
  <si>
    <t>k(NBIs)</t>
  </si>
  <si>
    <t>площадь сепаратрисы</t>
  </si>
  <si>
    <t xml:space="preserve">м3    </t>
  </si>
  <si>
    <r>
      <t>HFS_</t>
    </r>
    <r>
      <rPr>
        <b/>
        <sz val="12"/>
        <color theme="1"/>
        <rFont val="Times New Roman"/>
        <family val="1"/>
        <charset val="204"/>
      </rPr>
      <t>D</t>
    </r>
    <r>
      <rPr>
        <b/>
        <sz val="8"/>
        <color theme="1"/>
        <rFont val="Times New Roman"/>
        <family val="1"/>
        <charset val="204"/>
      </rPr>
      <t>2</t>
    </r>
  </si>
  <si>
    <r>
      <t>HFS_</t>
    </r>
    <r>
      <rPr>
        <b/>
        <sz val="12"/>
        <color theme="1"/>
        <rFont val="Times New Roman"/>
        <family val="1"/>
        <charset val="204"/>
      </rPr>
      <t>T</t>
    </r>
    <r>
      <rPr>
        <b/>
        <sz val="8"/>
        <color theme="1"/>
        <rFont val="Times New Roman"/>
        <family val="1"/>
        <charset val="204"/>
      </rPr>
      <t>2</t>
    </r>
  </si>
  <si>
    <r>
      <t>LFS_</t>
    </r>
    <r>
      <rPr>
        <b/>
        <sz val="12"/>
        <color theme="1"/>
        <rFont val="Times New Roman"/>
        <family val="1"/>
        <charset val="204"/>
      </rPr>
      <t>T</t>
    </r>
    <r>
      <rPr>
        <b/>
        <sz val="8"/>
        <color theme="1"/>
        <rFont val="Times New Roman"/>
        <family val="1"/>
        <charset val="204"/>
      </rPr>
      <t>2</t>
    </r>
  </si>
  <si>
    <r>
      <t>LFS_</t>
    </r>
    <r>
      <rPr>
        <b/>
        <sz val="12"/>
        <color theme="1"/>
        <rFont val="Times New Roman"/>
        <family val="1"/>
        <charset val="204"/>
      </rPr>
      <t>D</t>
    </r>
    <r>
      <rPr>
        <b/>
        <sz val="8"/>
        <color theme="1"/>
        <rFont val="Times New Roman"/>
        <family val="1"/>
        <charset val="204"/>
      </rPr>
      <t>2</t>
    </r>
  </si>
  <si>
    <t>поток частиц на FW:</t>
  </si>
  <si>
    <t>1/c</t>
  </si>
  <si>
    <t>Гrefl ~ 0,5 Г</t>
  </si>
  <si>
    <r>
      <rPr>
        <b/>
        <sz val="12"/>
        <color theme="1"/>
        <rFont val="Times New Roman"/>
        <family val="1"/>
        <charset val="204"/>
      </rPr>
      <t>Гabs = Гdes</t>
    </r>
    <r>
      <rPr>
        <sz val="12"/>
        <color theme="1"/>
        <rFont val="Times New Roman"/>
        <family val="1"/>
        <charset val="204"/>
      </rPr>
      <t xml:space="preserve"> - поглощаемые стенкой частицы</t>
    </r>
  </si>
  <si>
    <r>
      <rPr>
        <b/>
        <sz val="12"/>
        <color theme="1"/>
        <rFont val="Times New Roman"/>
        <family val="1"/>
        <charset val="204"/>
      </rPr>
      <t>Г</t>
    </r>
    <r>
      <rPr>
        <sz val="12"/>
        <color theme="1"/>
        <rFont val="Times New Roman"/>
        <family val="1"/>
        <charset val="204"/>
      </rPr>
      <t xml:space="preserve"> - суммарный поток на FW и в дивертор:</t>
    </r>
  </si>
  <si>
    <t xml:space="preserve">потери массы </t>
  </si>
  <si>
    <t>% в процессе экструзии пеллет</t>
  </si>
  <si>
    <t>% в процессе транспорировки пеллет</t>
  </si>
  <si>
    <t>создание</t>
  </si>
  <si>
    <t>транспорт</t>
  </si>
  <si>
    <t>SOL</t>
  </si>
  <si>
    <t>edge</t>
  </si>
  <si>
    <t>исходно</t>
  </si>
  <si>
    <t>было:</t>
  </si>
  <si>
    <t>стало:</t>
  </si>
  <si>
    <t>нарушение баланса потоков</t>
  </si>
  <si>
    <r>
      <rPr>
        <b/>
        <sz val="12"/>
        <color theme="1"/>
        <rFont val="Times New Roman"/>
        <family val="1"/>
        <charset val="204"/>
      </rPr>
      <t xml:space="preserve">TBR (не </t>
    </r>
    <r>
      <rPr>
        <sz val="12"/>
        <color theme="1"/>
        <rFont val="Times New Roman"/>
        <family val="1"/>
        <charset val="204"/>
      </rPr>
      <t>TBRL)</t>
    </r>
  </si>
  <si>
    <t>мм³</t>
  </si>
  <si>
    <t xml:space="preserve"> частота инжекции</t>
  </si>
  <si>
    <t>1 шаг</t>
  </si>
  <si>
    <t>30 шаг</t>
  </si>
  <si>
    <t>A</t>
  </si>
  <si>
    <t>B</t>
  </si>
  <si>
    <t>C</t>
  </si>
  <si>
    <t xml:space="preserve">μ </t>
  </si>
  <si>
    <t xml:space="preserve">qpk, MW m−2 </t>
  </si>
  <si>
    <t xml:space="preserve">Te_sep, eV </t>
  </si>
  <si>
    <t xml:space="preserve">Ti_sep, eV </t>
  </si>
  <si>
    <t>n_He_sep</t>
  </si>
  <si>
    <t>T_He_sep</t>
  </si>
  <si>
    <t>&lt;n_He&gt;</t>
  </si>
  <si>
    <t>&lt;n_Ne&gt;</t>
  </si>
  <si>
    <t>Z_He</t>
  </si>
  <si>
    <t>Z_D+T</t>
  </si>
  <si>
    <t>S_He(fus)</t>
  </si>
  <si>
    <t>Z_Be</t>
  </si>
  <si>
    <t xml:space="preserve">МВт </t>
  </si>
  <si>
    <t>1/с</t>
  </si>
  <si>
    <t>Z_eff_*</t>
  </si>
  <si>
    <r>
      <t>P</t>
    </r>
    <r>
      <rPr>
        <sz val="12"/>
        <color theme="1"/>
        <rFont val="Times New Roman"/>
        <family val="1"/>
        <charset val="204"/>
      </rPr>
      <t>imp</t>
    </r>
    <r>
      <rPr>
        <b/>
        <sz val="12"/>
        <color theme="1"/>
        <rFont val="Times New Roman"/>
        <family val="1"/>
        <charset val="204"/>
      </rPr>
      <t xml:space="preserve"> (МВт)</t>
    </r>
  </si>
  <si>
    <t>&lt;n_Be&gt;</t>
  </si>
  <si>
    <t>// 1%</t>
  </si>
  <si>
    <t xml:space="preserve">Tsep, eV </t>
  </si>
  <si>
    <t>S_He_sep</t>
  </si>
  <si>
    <t>n_D+n_T</t>
  </si>
  <si>
    <t>&lt;--</t>
  </si>
  <si>
    <r>
      <t>P</t>
    </r>
    <r>
      <rPr>
        <sz val="12"/>
        <color theme="1"/>
        <rFont val="Times New Roman"/>
        <family val="1"/>
        <charset val="204"/>
      </rPr>
      <t>cycl</t>
    </r>
    <r>
      <rPr>
        <b/>
        <sz val="12"/>
        <color theme="1"/>
        <rFont val="Times New Roman"/>
        <family val="1"/>
        <charset val="204"/>
      </rPr>
      <t xml:space="preserve"> (МВт)</t>
    </r>
  </si>
  <si>
    <t>τp</t>
  </si>
  <si>
    <t>tau_He</t>
  </si>
  <si>
    <r>
      <t>tau_</t>
    </r>
    <r>
      <rPr>
        <vertAlign val="subscript"/>
        <sz val="12"/>
        <color theme="1"/>
        <rFont val="Times New Roman"/>
        <family val="1"/>
        <charset val="204"/>
      </rPr>
      <t xml:space="preserve">NB </t>
    </r>
  </si>
  <si>
    <t>Snb</t>
  </si>
  <si>
    <t>Ssep</t>
  </si>
  <si>
    <t>Sout</t>
  </si>
  <si>
    <t>Stot</t>
  </si>
  <si>
    <t>Ntot</t>
  </si>
  <si>
    <t>Nsep</t>
  </si>
  <si>
    <t>tau</t>
  </si>
  <si>
    <t>// Ntot/Stot</t>
  </si>
  <si>
    <r>
      <rPr>
        <b/>
        <sz val="12"/>
        <color theme="1"/>
        <rFont val="Times New Roman"/>
        <family val="1"/>
        <charset val="204"/>
      </rPr>
      <t>&lt; 1</t>
    </r>
    <r>
      <rPr>
        <sz val="12"/>
        <color theme="1"/>
        <rFont val="Times New Roman"/>
        <family val="1"/>
        <charset val="204"/>
      </rPr>
      <t xml:space="preserve"> </t>
    </r>
  </si>
  <si>
    <r>
      <t>(n_D+n_T)</t>
    </r>
    <r>
      <rPr>
        <b/>
        <sz val="9"/>
        <color theme="1"/>
        <rFont val="Times New Roman"/>
        <family val="1"/>
        <charset val="204"/>
      </rPr>
      <t>sep</t>
    </r>
  </si>
  <si>
    <r>
      <t xml:space="preserve">поток частиц через сепратрису </t>
    </r>
    <r>
      <rPr>
        <b/>
        <sz val="12"/>
        <rFont val="Times New Roman"/>
        <family val="1"/>
        <charset val="204"/>
      </rPr>
      <t>Sout:</t>
    </r>
  </si>
  <si>
    <t>инжекторов в работе</t>
  </si>
  <si>
    <r>
      <t>P</t>
    </r>
    <r>
      <rPr>
        <b/>
        <sz val="8"/>
        <color theme="1"/>
        <rFont val="Times New Roman"/>
        <family val="1"/>
        <charset val="204"/>
      </rPr>
      <t>EC</t>
    </r>
    <r>
      <rPr>
        <b/>
        <sz val="12"/>
        <color theme="1"/>
        <rFont val="Times New Roman"/>
        <family val="1"/>
        <charset val="204"/>
      </rPr>
      <t xml:space="preserve"> = </t>
    </r>
  </si>
  <si>
    <t>Ncore</t>
  </si>
  <si>
    <t>// Ncore+Nsep</t>
  </si>
  <si>
    <t>Stot*</t>
  </si>
  <si>
    <t>// sum(S i*tau i)</t>
  </si>
  <si>
    <t xml:space="preserve">ne_sep, m−3 </t>
  </si>
  <si>
    <t xml:space="preserve">Ssep, s−1 </t>
  </si>
  <si>
    <t xml:space="preserve">S_He_sep, m−3 </t>
  </si>
  <si>
    <t xml:space="preserve">n_He_sep, m−3 </t>
  </si>
  <si>
    <t>AS*Pfus/Cpump</t>
  </si>
  <si>
    <t>баланс для электронов</t>
  </si>
  <si>
    <t xml:space="preserve">Cpump </t>
  </si>
  <si>
    <t xml:space="preserve">// Ntot=V*n(D+T) </t>
  </si>
  <si>
    <t>// Ntot*=V*ne</t>
  </si>
  <si>
    <t>x 10^19</t>
  </si>
  <si>
    <r>
      <t>"недобор/</t>
    </r>
    <r>
      <rPr>
        <b/>
        <sz val="12"/>
        <color rgb="FF00B0F0"/>
        <rFont val="Times New Roman"/>
        <family val="1"/>
        <charset val="204"/>
      </rPr>
      <t>ПЕРЕБОР</t>
    </r>
    <r>
      <rPr>
        <sz val="12"/>
        <color rgb="FF00B0F0"/>
        <rFont val="Times New Roman"/>
        <family val="1"/>
        <charset val="204"/>
      </rPr>
      <t>" по частицам</t>
    </r>
  </si>
  <si>
    <t>&lt;n_D+n_T&gt;</t>
  </si>
  <si>
    <t>&lt;nе&gt;</t>
  </si>
  <si>
    <t xml:space="preserve">[kPa] </t>
  </si>
  <si>
    <t>p_{ped,a}</t>
  </si>
  <si>
    <t xml:space="preserve">C_p </t>
  </si>
  <si>
    <t>[м]</t>
  </si>
  <si>
    <t>a</t>
  </si>
  <si>
    <t>В</t>
  </si>
  <si>
    <t>Ip</t>
  </si>
  <si>
    <t>[MA]</t>
  </si>
  <si>
    <t>[T]</t>
  </si>
  <si>
    <t>eB</t>
  </si>
  <si>
    <t>РЕКОМЕНДУЕМАЯ</t>
  </si>
  <si>
    <r>
      <t>S</t>
    </r>
    <r>
      <rPr>
        <i/>
        <vertAlign val="subscript"/>
        <sz val="11"/>
        <color rgb="FFFF0000"/>
        <rFont val="Times New Roman"/>
        <family val="1"/>
        <charset val="204"/>
      </rPr>
      <t>sep</t>
    </r>
    <r>
      <rPr>
        <i/>
        <sz val="11"/>
        <color rgb="FFFF0000"/>
        <rFont val="Times New Roman"/>
        <family val="1"/>
        <charset val="204"/>
      </rPr>
      <t>·τ</t>
    </r>
    <r>
      <rPr>
        <i/>
        <vertAlign val="subscript"/>
        <sz val="11"/>
        <color rgb="FFFF0000"/>
        <rFont val="Times New Roman"/>
        <family val="1"/>
        <charset val="204"/>
      </rPr>
      <t>sep</t>
    </r>
    <r>
      <rPr>
        <b/>
        <i/>
        <sz val="12"/>
        <color rgb="FFFF0000"/>
        <rFont val="Times New Roman"/>
        <family val="1"/>
        <charset val="204"/>
      </rPr>
      <t/>
    </r>
  </si>
  <si>
    <r>
      <t xml:space="preserve">доля трития в плазме </t>
    </r>
    <r>
      <rPr>
        <b/>
        <sz val="12"/>
        <color rgb="FFFF0000"/>
        <rFont val="Times New Roman"/>
        <family val="1"/>
        <charset val="204"/>
      </rPr>
      <t>fcoreT</t>
    </r>
  </si>
  <si>
    <r>
      <rPr>
        <sz val="12"/>
        <rFont val="Times New Roman"/>
        <family val="1"/>
        <charset val="204"/>
      </rPr>
      <t xml:space="preserve">доля ДЕЙТЕРИЯ в диверторе </t>
    </r>
    <r>
      <rPr>
        <b/>
        <sz val="12"/>
        <rFont val="Times New Roman"/>
        <family val="1"/>
        <charset val="204"/>
      </rPr>
      <t>fdiv(D)</t>
    </r>
  </si>
  <si>
    <t>tau_sep</t>
  </si>
  <si>
    <t>tau*tot</t>
  </si>
  <si>
    <t>tau_pel</t>
  </si>
  <si>
    <r>
      <t xml:space="preserve"> S</t>
    </r>
    <r>
      <rPr>
        <i/>
        <vertAlign val="subscript"/>
        <sz val="11"/>
        <color rgb="FFFF0000"/>
        <rFont val="Times New Roman"/>
        <family val="1"/>
        <charset val="204"/>
      </rPr>
      <t>NB</t>
    </r>
    <r>
      <rPr>
        <i/>
        <vertAlign val="superscript"/>
        <sz val="11"/>
        <color rgb="FF0070C0"/>
        <rFont val="Times New Roman"/>
        <family val="1"/>
        <charset val="204"/>
      </rPr>
      <t>T,D</t>
    </r>
    <r>
      <rPr>
        <i/>
        <sz val="11"/>
        <color rgb="FFFF0000"/>
        <rFont val="Times New Roman"/>
        <family val="1"/>
        <charset val="204"/>
      </rPr>
      <t>·τ</t>
    </r>
    <r>
      <rPr>
        <i/>
        <vertAlign val="subscript"/>
        <sz val="11"/>
        <color rgb="FFFF0000"/>
        <rFont val="Times New Roman"/>
        <family val="1"/>
        <charset val="204"/>
      </rPr>
      <t>NB</t>
    </r>
    <r>
      <rPr>
        <b/>
        <i/>
        <sz val="12"/>
        <color rgb="FFFF0000"/>
        <rFont val="Times New Roman"/>
        <family val="1"/>
        <charset val="204"/>
      </rPr>
      <t/>
    </r>
  </si>
  <si>
    <t xml:space="preserve"> fdiv(D)</t>
  </si>
  <si>
    <t xml:space="preserve"> fdiv(T)</t>
  </si>
  <si>
    <t>Spel</t>
  </si>
  <si>
    <t xml:space="preserve">ne_sep_D </t>
  </si>
  <si>
    <r>
      <t> G</t>
    </r>
    <r>
      <rPr>
        <vertAlign val="subscript"/>
        <sz val="11"/>
        <color rgb="FFFF0000"/>
        <rFont val="Times New Roman"/>
        <family val="1"/>
        <charset val="204"/>
      </rPr>
      <t>ELM</t>
    </r>
    <r>
      <rPr>
        <sz val="11"/>
        <color rgb="FFFF0000"/>
        <rFont val="Times New Roman"/>
        <family val="1"/>
        <charset val="204"/>
      </rPr>
      <t> =</t>
    </r>
  </si>
  <si>
    <t>Tau_p</t>
  </si>
  <si>
    <t>&lt;ne&gt;</t>
  </si>
  <si>
    <t>Psol</t>
  </si>
  <si>
    <r>
      <t>f</t>
    </r>
    <r>
      <rPr>
        <b/>
        <i/>
        <vertAlign val="subscript"/>
        <sz val="12"/>
        <color rgb="FFFF0000"/>
        <rFont val="Times New Roman"/>
        <family val="1"/>
        <charset val="204"/>
      </rPr>
      <t>pel(HFS)</t>
    </r>
  </si>
  <si>
    <r>
      <t>f</t>
    </r>
    <r>
      <rPr>
        <b/>
        <i/>
        <vertAlign val="subscript"/>
        <sz val="12"/>
        <color rgb="FFFF0000"/>
        <rFont val="Times New Roman"/>
        <family val="1"/>
        <charset val="204"/>
      </rPr>
      <t>pel(HFS+LFS)</t>
    </r>
  </si>
  <si>
    <t>D и Т</t>
  </si>
  <si>
    <t xml:space="preserve">1 шаг </t>
  </si>
  <si>
    <t xml:space="preserve">30 шаг </t>
  </si>
  <si>
    <t>SfusT</t>
  </si>
  <si>
    <t>SfusD</t>
  </si>
  <si>
    <t>ST_nb</t>
  </si>
  <si>
    <t>SD_nb</t>
  </si>
  <si>
    <t>ST_pel</t>
  </si>
  <si>
    <t>SD_pel</t>
  </si>
  <si>
    <r>
      <t>S</t>
    </r>
    <r>
      <rPr>
        <vertAlign val="subscript"/>
        <sz val="12"/>
        <color theme="1"/>
        <rFont val="Times New Roman"/>
        <family val="1"/>
        <charset val="204"/>
      </rPr>
      <t>GIS</t>
    </r>
    <r>
      <rPr>
        <sz val="12"/>
        <color theme="1"/>
        <rFont val="Times New Roman"/>
        <family val="1"/>
        <charset val="204"/>
      </rPr>
      <t>T</t>
    </r>
  </si>
  <si>
    <r>
      <t>S</t>
    </r>
    <r>
      <rPr>
        <vertAlign val="subscript"/>
        <sz val="12"/>
        <color rgb="FF0070C0"/>
        <rFont val="Times New Roman"/>
        <family val="1"/>
        <charset val="204"/>
      </rPr>
      <t>GIS</t>
    </r>
    <r>
      <rPr>
        <sz val="12"/>
        <color rgb="FF0070C0"/>
        <rFont val="Times New Roman"/>
        <family val="1"/>
        <charset val="204"/>
      </rPr>
      <t>D</t>
    </r>
  </si>
  <si>
    <t>ST_sep</t>
  </si>
  <si>
    <t>SD_sep</t>
  </si>
  <si>
    <t xml:space="preserve">ST_out=N_T/TauT= </t>
  </si>
  <si>
    <t>SD_out=N_D/TauD=</t>
  </si>
  <si>
    <r>
      <rPr>
        <b/>
        <sz val="12"/>
        <color theme="1"/>
        <rFont val="Times New Roman"/>
        <family val="1"/>
        <charset val="204"/>
      </rPr>
      <t>ST_out</t>
    </r>
    <r>
      <rPr>
        <sz val="12"/>
        <color theme="1"/>
        <rFont val="Times New Roman"/>
        <family val="1"/>
        <charset val="204"/>
      </rPr>
      <t>=S_nb+S_pel+S0_sep-N_fus=</t>
    </r>
  </si>
  <si>
    <r>
      <rPr>
        <b/>
        <sz val="12"/>
        <color rgb="FF0070C0"/>
        <rFont val="Times New Roman"/>
        <family val="1"/>
        <charset val="204"/>
      </rPr>
      <t>SD_out</t>
    </r>
    <r>
      <rPr>
        <sz val="12"/>
        <color rgb="FF0070C0"/>
        <rFont val="Times New Roman"/>
        <family val="1"/>
        <charset val="204"/>
      </rPr>
      <t>=S_nb+S_pel+S0_sep-N_fus=</t>
    </r>
  </si>
  <si>
    <t>ASTRA</t>
  </si>
  <si>
    <t xml:space="preserve">Spuff_T = PnCp-Sout+So_sep   </t>
  </si>
  <si>
    <t xml:space="preserve">Spuff_D = PnCp-Sout+So_sep   </t>
  </si>
  <si>
    <t>Sw</t>
  </si>
  <si>
    <t>TauP</t>
  </si>
  <si>
    <t>tauE</t>
  </si>
  <si>
    <t xml:space="preserve">Tautot </t>
  </si>
  <si>
    <t>TauSEP</t>
  </si>
  <si>
    <t xml:space="preserve">TauPEL </t>
  </si>
  <si>
    <t xml:space="preserve">TauNB </t>
  </si>
  <si>
    <t>Neut</t>
  </si>
  <si>
    <t>Pfus</t>
  </si>
  <si>
    <t>Spel(HFS)</t>
  </si>
  <si>
    <t>Spel(LFS)</t>
  </si>
  <si>
    <r>
      <t> G</t>
    </r>
    <r>
      <rPr>
        <vertAlign val="subscript"/>
        <sz val="11"/>
        <color rgb="FFFF0000"/>
        <rFont val="Times New Roman"/>
        <family val="1"/>
        <charset val="204"/>
      </rPr>
      <t>ELM</t>
    </r>
    <r>
      <rPr>
        <sz val="11"/>
        <color rgb="FFFF0000"/>
        <rFont val="Times New Roman"/>
        <family val="1"/>
        <charset val="204"/>
      </rPr>
      <t> </t>
    </r>
  </si>
  <si>
    <t>plasma</t>
  </si>
  <si>
    <t>divertor</t>
  </si>
  <si>
    <t>плотность</t>
  </si>
  <si>
    <t>catal</t>
  </si>
  <si>
    <t>ISS</t>
  </si>
  <si>
    <t>ИТОГО</t>
  </si>
  <si>
    <t>blanket</t>
  </si>
  <si>
    <t>pumping</t>
  </si>
  <si>
    <t>getter</t>
  </si>
  <si>
    <t>VV</t>
  </si>
  <si>
    <t>storage</t>
  </si>
  <si>
    <t>tauP</t>
  </si>
  <si>
    <t>alpha</t>
  </si>
  <si>
    <t>gamma</t>
  </si>
  <si>
    <t>f_elm</t>
  </si>
  <si>
    <t>fpel(HFS)</t>
  </si>
  <si>
    <t>fpel(HFS+LFS)</t>
  </si>
  <si>
    <t>felm-fpel</t>
  </si>
  <si>
    <r>
      <t>n</t>
    </r>
    <r>
      <rPr>
        <sz val="9"/>
        <color theme="1"/>
        <rFont val="Times New Roman"/>
        <family val="1"/>
        <charset val="204"/>
      </rPr>
      <t xml:space="preserve">e_ped </t>
    </r>
    <r>
      <rPr>
        <sz val="12"/>
        <color theme="1"/>
        <rFont val="Times New Roman"/>
        <family val="1"/>
        <charset val="204"/>
      </rPr>
      <t>/n</t>
    </r>
    <r>
      <rPr>
        <sz val="9"/>
        <color theme="1"/>
        <rFont val="Times New Roman"/>
        <family val="1"/>
        <charset val="204"/>
      </rPr>
      <t>e</t>
    </r>
  </si>
  <si>
    <r>
      <t>δW</t>
    </r>
    <r>
      <rPr>
        <i/>
        <vertAlign val="subscript"/>
        <sz val="12"/>
        <color theme="1"/>
        <rFont val="Times New Roman"/>
        <family val="1"/>
        <charset val="204"/>
      </rPr>
      <t>ELM</t>
    </r>
  </si>
  <si>
    <r>
      <t>S</t>
    </r>
    <r>
      <rPr>
        <i/>
        <vertAlign val="subscript"/>
        <sz val="11"/>
        <color rgb="FFFF0000"/>
        <rFont val="Times New Roman"/>
        <family val="1"/>
        <charset val="204"/>
      </rPr>
      <t>pel_LFS</t>
    </r>
    <r>
      <rPr>
        <i/>
        <vertAlign val="superscript"/>
        <sz val="11"/>
        <color rgb="FFFF0000"/>
        <rFont val="Times New Roman"/>
        <family val="1"/>
        <charset val="204"/>
      </rPr>
      <t>T</t>
    </r>
    <r>
      <rPr>
        <i/>
        <sz val="11"/>
        <color rgb="FFFF0000"/>
        <rFont val="Times New Roman"/>
        <family val="1"/>
        <charset val="204"/>
      </rPr>
      <t>·τ</t>
    </r>
    <r>
      <rPr>
        <i/>
        <vertAlign val="subscript"/>
        <sz val="11"/>
        <color rgb="FFFF0000"/>
        <rFont val="Times New Roman"/>
        <family val="1"/>
        <charset val="204"/>
      </rPr>
      <t>pel</t>
    </r>
  </si>
  <si>
    <t xml:space="preserve">Tped </t>
  </si>
  <si>
    <t>(a∙PSOL/3Tped)∙(1–g)·τpel</t>
  </si>
  <si>
    <t>мембранное разделение</t>
  </si>
  <si>
    <t>откачка суммарная</t>
  </si>
  <si>
    <t>LFS</t>
  </si>
  <si>
    <t>HFS</t>
  </si>
  <si>
    <t xml:space="preserve">tau_NB </t>
  </si>
  <si>
    <t>scan_ne6_n1.5</t>
  </si>
  <si>
    <t>scan_ne6_n2.0</t>
  </si>
  <si>
    <t>scan_ne6_n2.5</t>
  </si>
  <si>
    <t>scan_ne6_n3.0</t>
  </si>
  <si>
    <t>scan_ne7_n1.5</t>
  </si>
  <si>
    <t>scan_ne7_n2.0</t>
  </si>
  <si>
    <t>scan_ne7_n2.5</t>
  </si>
  <si>
    <t>scan_ne7_n3.0</t>
  </si>
  <si>
    <t>scan_ne8_n1.5</t>
  </si>
  <si>
    <t>scan_ne8_n2.0</t>
  </si>
  <si>
    <t>scan_ne8_n2.5</t>
  </si>
  <si>
    <t>scan_ne8_n3.0</t>
  </si>
  <si>
    <t>Имя сохраненного файла</t>
  </si>
  <si>
    <t>fT</t>
  </si>
  <si>
    <t>Средняя доля трития в объеме</t>
  </si>
  <si>
    <t>nr2n</t>
  </si>
  <si>
    <t>Средняя концентрация Ne, (n_neon/ne)</t>
  </si>
  <si>
    <t>Поток нейтралов через сепаратрису, [1e19 s-1]</t>
  </si>
  <si>
    <t>nfac</t>
  </si>
  <si>
    <t>tau_p / tau_E</t>
  </si>
  <si>
    <t>Hfac</t>
  </si>
  <si>
    <t>H-factor = tau_E/tau_scaling</t>
  </si>
  <si>
    <t>D/X</t>
  </si>
  <si>
    <t>Диффзуия частиц / теплопроводность</t>
  </si>
  <si>
    <t>pn</t>
  </si>
  <si>
    <t>Давление нейтралов в диверторе, [Pa]</t>
  </si>
  <si>
    <t>fTpe</t>
  </si>
  <si>
    <t>Доля тритиевых пеллет</t>
  </si>
  <si>
    <t>Нейтронный выход, [1e17 s-1]</t>
  </si>
  <si>
    <t>Sd+t</t>
  </si>
  <si>
    <t>Полный поток D+T, [1e19 s-1]</t>
  </si>
  <si>
    <t>Сумарный поток пеллет D+T, [1e19 s-1]</t>
  </si>
  <si>
    <t>SbD</t>
  </si>
  <si>
    <t>Поток от пучка D, [1e19 s-1]</t>
  </si>
  <si>
    <t>SpD</t>
  </si>
  <si>
    <t>Поток от пеллет D, [1e19 s-1]</t>
  </si>
  <si>
    <t>SwD</t>
  </si>
  <si>
    <t>Поток через сепаратрису D, [1e19 s-1]</t>
  </si>
  <si>
    <t>SbT</t>
  </si>
  <si>
    <t>Поток от пучка T, [1e19 s-1]</t>
  </si>
  <si>
    <t>SpT</t>
  </si>
  <si>
    <t>Поток от пеллет T, [1e19 s-1]</t>
  </si>
  <si>
    <t>SwT</t>
  </si>
  <si>
    <t>Поток через сепаратрису T, [1e19 s-1]</t>
  </si>
  <si>
    <t>flx1</t>
  </si>
  <si>
    <t>Поток через сепаратрису Neon, [1e19 s-1]</t>
  </si>
  <si>
    <t>flx2</t>
  </si>
  <si>
    <t>Поток через сепаратрису Helium [1e19 s-1]</t>
  </si>
  <si>
    <t>SHe</t>
  </si>
  <si>
    <t>Источник гелия из-за D+T-реакции,  [1e19 s-1]</t>
  </si>
  <si>
    <t>Время удержания ионов рабочего газа D+T, [s]</t>
  </si>
  <si>
    <t>ttot</t>
  </si>
  <si>
    <t>Время удержания ионов рабочего газа D+T без учета рециклинга, [s]</t>
  </si>
  <si>
    <t>tbD</t>
  </si>
  <si>
    <t>Время удержания ионов от пучка D, [s]</t>
  </si>
  <si>
    <t>tpD</t>
  </si>
  <si>
    <t>Время удержания ионов от пеллет D, [s]</t>
  </si>
  <si>
    <t>twD</t>
  </si>
  <si>
    <t>Время удержания ионов D из дивертора, [s]</t>
  </si>
  <si>
    <t>tbT</t>
  </si>
  <si>
    <t>Время удержания ионов от пучка T, [s]</t>
  </si>
  <si>
    <t>tpT</t>
  </si>
  <si>
    <t>Время удержания ионов от пеллет T, [s]</t>
  </si>
  <si>
    <t>twT</t>
  </si>
  <si>
    <t>Время удержания ионов T из дивертора, [s]</t>
  </si>
  <si>
    <t>TaPZ</t>
  </si>
  <si>
    <t>Время удержания электронов, [s]</t>
  </si>
  <si>
    <t>TAUE</t>
  </si>
  <si>
    <t>Время удержания энергии [s]</t>
  </si>
  <si>
    <t>Ta98</t>
  </si>
  <si>
    <t>Время удержания по скейлингу [s]</t>
  </si>
  <si>
    <t>tau_NB(D)</t>
  </si>
  <si>
    <t>tau_pel(T)</t>
  </si>
  <si>
    <t>tau_NB(T)</t>
  </si>
  <si>
    <t>tau_pel(D)</t>
  </si>
  <si>
    <t>tau_sep(D)</t>
  </si>
  <si>
    <t>tau_sep(T)</t>
  </si>
  <si>
    <t>tau*tot(D+T)</t>
  </si>
  <si>
    <t>τе</t>
  </si>
  <si>
    <t xml:space="preserve"> total fusion power, [MW]</t>
  </si>
  <si>
    <t>PSOL</t>
  </si>
  <si>
    <t>Heat flux to divertor plasma, [MW]</t>
  </si>
  <si>
    <t>Tes</t>
  </si>
  <si>
    <t>Te на сепаратрисе, [keV]</t>
  </si>
  <si>
    <t>Tis</t>
  </si>
  <si>
    <t>Ti на сепаратрисе, [keV]</t>
  </si>
  <si>
    <t>nes</t>
  </si>
  <si>
    <t>ne на сепаратрисе, [1e19 m-3]</t>
  </si>
  <si>
    <t>nesD</t>
  </si>
  <si>
    <t>ni=nd+nt на сепаратрисе, [1e19 m-3]</t>
  </si>
  <si>
    <t>τp/τe=</t>
  </si>
  <si>
    <t>Te на радиусе пьедестала, [keV]</t>
  </si>
  <si>
    <t>Ti_ped</t>
  </si>
  <si>
    <t>Ti на радиусе пьедестала, [keV]</t>
  </si>
  <si>
    <t>ne_ped</t>
  </si>
  <si>
    <t>ne на радиусе пьедестала, [1e19 m-3]</t>
  </si>
  <si>
    <t>SpumpD</t>
  </si>
  <si>
    <t>SpumpT</t>
  </si>
  <si>
    <t>м3/с</t>
  </si>
  <si>
    <t xml:space="preserve">выделение частиц стенкой: </t>
  </si>
  <si>
    <t xml:space="preserve"> - неизвестный коэффициент</t>
  </si>
  <si>
    <t>S_NB</t>
  </si>
  <si>
    <t>S_pel</t>
  </si>
  <si>
    <t>S_sep</t>
  </si>
  <si>
    <t>TauPe</t>
  </si>
  <si>
    <t>pedestal</t>
  </si>
  <si>
    <t>GIS</t>
  </si>
  <si>
    <t>Spump</t>
  </si>
  <si>
    <t>D/Xe</t>
  </si>
  <si>
    <t>газовых клапанов</t>
  </si>
  <si>
    <t>пеллет-инжекции</t>
  </si>
  <si>
    <t>нейтральной инжекции</t>
  </si>
  <si>
    <t>бланкет + извлечение</t>
  </si>
  <si>
    <t>каталитического разложения</t>
  </si>
  <si>
    <t>разделения изотопов</t>
  </si>
  <si>
    <t>детритизации NBI</t>
  </si>
  <si>
    <t xml:space="preserve">Spuff_T </t>
  </si>
  <si>
    <t xml:space="preserve">Spuff_D </t>
  </si>
  <si>
    <t>tauP=Ntot/Stot</t>
  </si>
  <si>
    <t>Ntot*</t>
  </si>
  <si>
    <t>Tep</t>
  </si>
  <si>
    <t>Tip</t>
  </si>
  <si>
    <t>Pimp</t>
  </si>
  <si>
    <t>Psyn</t>
  </si>
  <si>
    <t>&lt;ni&gt;</t>
  </si>
  <si>
    <t>tHe</t>
  </si>
  <si>
    <t>tAlf</t>
  </si>
  <si>
    <t>&lt;ZBe</t>
  </si>
  <si>
    <t>&lt;ZHe</t>
  </si>
  <si>
    <t>&lt;ZNe</t>
  </si>
  <si>
    <t>&lt;Z&gt;s</t>
  </si>
  <si>
    <t>Zeff</t>
  </si>
  <si>
    <t>&lt;DNe</t>
  </si>
  <si>
    <t>Средняя концентрация электронов, [1e19 m-3]</t>
  </si>
  <si>
    <t>Радиационные потери на излучении частиц (линейчатое + тормозное), [MW]</t>
  </si>
  <si>
    <t>Синхротронные радиационные потери, [MW]</t>
  </si>
  <si>
    <t>Средняя ионов D+T, [1e19 m-3]</t>
  </si>
  <si>
    <t>Время удержания всех ионов гелия, [s]  = N_He / (flx2+SHe)</t>
  </si>
  <si>
    <t>Время удержания ядер He+2, [s] = N_He+2 / (SHe)</t>
  </si>
  <si>
    <t>Парциальное Z_eff_Be</t>
  </si>
  <si>
    <t>Парциальное Z_eff_He</t>
  </si>
  <si>
    <t>Парциальное Z_eff_Ne</t>
  </si>
  <si>
    <t>Средний заряд неона на сепаратрисе</t>
  </si>
  <si>
    <t>Эффективный заряд</t>
  </si>
  <si>
    <t>Средняя концентрация неона</t>
  </si>
  <si>
    <r>
      <t>ni</t>
    </r>
    <r>
      <rPr>
        <sz val="9"/>
        <color theme="1"/>
        <rFont val="Times New Roman"/>
        <family val="1"/>
        <charset val="204"/>
      </rPr>
      <t xml:space="preserve">_sep </t>
    </r>
    <r>
      <rPr>
        <sz val="12"/>
        <color theme="1"/>
        <rFont val="Times New Roman"/>
        <family val="1"/>
        <charset val="204"/>
      </rPr>
      <t>/ni</t>
    </r>
  </si>
  <si>
    <t>tauHe</t>
  </si>
  <si>
    <t>&lt;----</t>
  </si>
  <si>
    <t xml:space="preserve"> *10^19</t>
  </si>
  <si>
    <r>
      <t xml:space="preserve">м-3   </t>
    </r>
    <r>
      <rPr>
        <sz val="12"/>
        <color rgb="FFFF0000"/>
        <rFont val="Times New Roman"/>
        <family val="1"/>
        <charset val="204"/>
      </rPr>
      <t>&lt;-----</t>
    </r>
  </si>
  <si>
    <t>ne_sep</t>
  </si>
  <si>
    <t>ni_sep</t>
  </si>
  <si>
    <t>для электронов</t>
  </si>
  <si>
    <t>моль/с</t>
  </si>
  <si>
    <t>pipilines</t>
  </si>
  <si>
    <t>откачка</t>
  </si>
  <si>
    <t>разделение</t>
  </si>
  <si>
    <t>PIS</t>
  </si>
  <si>
    <t>NBIs</t>
  </si>
  <si>
    <t>ne</t>
  </si>
  <si>
    <t>увеличение времени удержания</t>
  </si>
  <si>
    <t>уменьшение времени удержания</t>
  </si>
  <si>
    <t>scan_ne6_n1.0</t>
  </si>
  <si>
    <t>scan_ne7_n1.0</t>
  </si>
  <si>
    <t>scan_ne8_n1.0</t>
  </si>
  <si>
    <t>ni</t>
  </si>
  <si>
    <t xml:space="preserve"> 1- нормальные ЭЛМы,</t>
  </si>
  <si>
    <t xml:space="preserve"> 0 - конвективные</t>
  </si>
  <si>
    <t>для эл-в</t>
  </si>
  <si>
    <t>ni (initial)</t>
  </si>
  <si>
    <t>коэф-т для f_pel</t>
  </si>
  <si>
    <t>без ELMs</t>
  </si>
  <si>
    <t>(gamma=1)</t>
  </si>
  <si>
    <t xml:space="preserve"> - газонапуск в дивертор</t>
  </si>
  <si>
    <t>коэф-т</t>
  </si>
  <si>
    <t>скорость откачки</t>
  </si>
  <si>
    <t>1- нормальные</t>
  </si>
  <si>
    <t>0 - конвективные</t>
  </si>
  <si>
    <t>Sgis</t>
  </si>
  <si>
    <r>
      <t>τ</t>
    </r>
    <r>
      <rPr>
        <b/>
        <vertAlign val="subscript"/>
        <sz val="12"/>
        <color rgb="FF000000"/>
        <rFont val="Times New Roman"/>
        <family val="1"/>
        <charset val="204"/>
      </rPr>
      <t>p/</t>
    </r>
    <r>
      <rPr>
        <b/>
        <sz val="12"/>
        <color rgb="FF000000"/>
        <rFont val="Times New Roman"/>
        <family val="1"/>
        <charset val="204"/>
      </rPr>
      <t>τ</t>
    </r>
    <r>
      <rPr>
        <b/>
        <vertAlign val="subscript"/>
        <sz val="12"/>
        <color rgb="FF000000"/>
        <rFont val="Times New Roman"/>
        <family val="1"/>
        <charset val="204"/>
      </rPr>
      <t>E</t>
    </r>
  </si>
  <si>
    <t>от требуемого!</t>
  </si>
  <si>
    <t>вклад в Spuff</t>
  </si>
  <si>
    <t>за счет Spis и Snbi</t>
  </si>
  <si>
    <t>S=cp*pn</t>
  </si>
  <si>
    <t>cp=S/pn</t>
  </si>
  <si>
    <t>alpha=0,4</t>
  </si>
  <si>
    <t>alpha=0,2</t>
  </si>
  <si>
    <t>gamma=1</t>
  </si>
  <si>
    <t>Spuff(pel+nb)</t>
  </si>
  <si>
    <t>Siss</t>
  </si>
  <si>
    <t>Cp=Spump/Pn</t>
  </si>
  <si>
    <t>Потоки Т в системах ТЦ</t>
  </si>
  <si>
    <r>
      <t>// Поток D+T через сепаратрису в ДЕМО-ТИН Г</t>
    </r>
    <r>
      <rPr>
        <sz val="8"/>
        <color rgb="FF00B0F0"/>
        <rFont val="Times New Roman"/>
        <family val="1"/>
        <charset val="204"/>
      </rPr>
      <t>D</t>
    </r>
    <r>
      <rPr>
        <sz val="12"/>
        <color rgb="FF00B0F0"/>
        <rFont val="Times New Roman"/>
        <family val="1"/>
        <charset val="204"/>
      </rPr>
      <t xml:space="preserve"> = 3.5×10^21 ат/сек</t>
    </r>
  </si>
  <si>
    <r>
      <t>(</t>
    </r>
    <r>
      <rPr>
        <u/>
        <sz val="12"/>
        <color rgb="FF00B0F0"/>
        <rFont val="Times New Roman"/>
        <family val="1"/>
        <charset val="204"/>
      </rPr>
      <t>В.Ю. Сергеев</t>
    </r>
    <r>
      <rPr>
        <sz val="12"/>
        <color rgb="FF00B0F0"/>
        <rFont val="Times New Roman"/>
        <family val="1"/>
        <charset val="204"/>
      </rPr>
      <t>, Б.В. Кутеев, А.С. Кукушкин, В.С. Петров - семинар ТИН 2018)</t>
    </r>
  </si>
  <si>
    <t>площадь</t>
  </si>
  <si>
    <t>дивертора</t>
  </si>
  <si>
    <t>1/см2</t>
  </si>
  <si>
    <t xml:space="preserve">это для величины газонапуска  </t>
  </si>
  <si>
    <t xml:space="preserve">  2000*10^19</t>
  </si>
  <si>
    <t>τp/τE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</si>
</sst>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"/>
    <numFmt numFmtId="166" formatCode="#,##0.0"/>
    <numFmt numFmtId="167" formatCode="0.E+00"/>
    <numFmt numFmtId="168" formatCode="0.0E+00"/>
    <numFmt numFmtId="169" formatCode="0.0%"/>
  </numFmts>
  <fonts count="9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2"/>
      <color indexed="36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2"/>
      <color indexed="36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vertAlign val="subscript"/>
      <sz val="12"/>
      <color indexed="8"/>
      <name val="Times New Roman"/>
      <family val="1"/>
      <charset val="204"/>
    </font>
    <font>
      <b/>
      <i/>
      <sz val="12"/>
      <color indexed="36"/>
      <name val="Times New Roman"/>
      <family val="1"/>
      <charset val="204"/>
    </font>
    <font>
      <b/>
      <i/>
      <vertAlign val="subscript"/>
      <sz val="12"/>
      <color indexed="36"/>
      <name val="Times New Roman"/>
      <family val="1"/>
      <charset val="204"/>
    </font>
    <font>
      <b/>
      <i/>
      <vertAlign val="superscript"/>
      <sz val="12"/>
      <color indexed="36"/>
      <name val="Times New Roman"/>
      <family val="1"/>
      <charset val="204"/>
    </font>
    <font>
      <b/>
      <vertAlign val="superscript"/>
      <sz val="12"/>
      <color indexed="8"/>
      <name val="Times New Roman"/>
      <family val="1"/>
      <charset val="204"/>
    </font>
    <font>
      <b/>
      <vertAlign val="superscript"/>
      <sz val="12"/>
      <color indexed="36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7030A0"/>
      <name val="Times New Roman"/>
      <family val="1"/>
      <charset val="204"/>
    </font>
    <font>
      <sz val="12"/>
      <color rgb="FF00B0F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B0F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u/>
      <sz val="12"/>
      <color rgb="FF00B0F0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b/>
      <i/>
      <sz val="12"/>
      <color rgb="FF7030A0"/>
      <name val="Times New Roman"/>
      <family val="1"/>
      <charset val="204"/>
    </font>
    <font>
      <i/>
      <sz val="12"/>
      <color rgb="FF7030A0"/>
      <name val="Times New Roman"/>
      <family val="1"/>
      <charset val="204"/>
    </font>
    <font>
      <b/>
      <i/>
      <u/>
      <sz val="12"/>
      <color rgb="FF00B0F0"/>
      <name val="Times New Roman"/>
      <family val="1"/>
      <charset val="204"/>
    </font>
    <font>
      <sz val="12"/>
      <color rgb="FFFF00FF"/>
      <name val="Times New Roman"/>
      <family val="1"/>
      <charset val="204"/>
    </font>
    <font>
      <b/>
      <vertAlign val="superscript"/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rgb="FFFF00FF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  <font>
      <sz val="12"/>
      <color theme="0" tint="-0.14999847407452621"/>
      <name val="Times New Roman"/>
      <family val="1"/>
      <charset val="204"/>
    </font>
    <font>
      <sz val="12"/>
      <color theme="0" tint="-0.249977111117893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2"/>
      <color rgb="FF50005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i/>
      <vertAlign val="superscript"/>
      <sz val="11"/>
      <color rgb="FFFF0000"/>
      <name val="Times New Roman"/>
      <family val="1"/>
      <charset val="204"/>
    </font>
    <font>
      <i/>
      <vertAlign val="subscript"/>
      <sz val="11"/>
      <color rgb="FFFF0000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i/>
      <vertAlign val="superscript"/>
      <sz val="11"/>
      <color rgb="FF0070C0"/>
      <name val="Times New Roman"/>
      <family val="1"/>
      <charset val="204"/>
    </font>
    <font>
      <vertAlign val="subscript"/>
      <sz val="11"/>
      <color rgb="FFFF0000"/>
      <name val="Times New Roman"/>
      <family val="1"/>
      <charset val="204"/>
    </font>
    <font>
      <b/>
      <i/>
      <vertAlign val="subscript"/>
      <sz val="12"/>
      <color rgb="FFFF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rgb="FF0070C0"/>
      <name val="Times New Roman"/>
      <family val="1"/>
      <charset val="204"/>
    </font>
    <font>
      <sz val="11"/>
      <color rgb="FF92D050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sz val="12"/>
      <color theme="0" tint="-0.34998626667073579"/>
      <name val="Times New Roman"/>
      <family val="1"/>
      <charset val="204"/>
    </font>
    <font>
      <i/>
      <sz val="12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u/>
      <sz val="12"/>
      <color rgb="FF00B0F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0" tint="-0.49998474074526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70C0"/>
      <name val="Calibri"/>
      <family val="2"/>
      <charset val="204"/>
    </font>
    <font>
      <sz val="11"/>
      <color rgb="FF0070C0"/>
      <name val="Calibri"/>
      <family val="2"/>
      <charset val="204"/>
      <scheme val="minor"/>
    </font>
    <font>
      <sz val="8"/>
      <color rgb="FF00B0F0"/>
      <name val="Times New Roman"/>
      <family val="1"/>
      <charset val="204"/>
    </font>
    <font>
      <sz val="12"/>
      <color rgb="FF000000"/>
      <name val="Segoe UI"/>
      <family val="2"/>
      <charset val="204"/>
    </font>
    <font>
      <b/>
      <sz val="11"/>
      <color rgb="FFFF00FF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rgb="FF22222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color rgb="FF00FF00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0" tint="-0.34998626667073579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3832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6A4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ABE286"/>
        <bgColor indexed="64"/>
      </patternFill>
    </fill>
    <fill>
      <patternFill patternType="solid">
        <fgColor rgb="FFA481C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16">
    <xf numFmtId="0" fontId="0" fillId="0" borderId="0" xfId="0"/>
    <xf numFmtId="0" fontId="2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0" fontId="21" fillId="0" borderId="0" xfId="0" applyNumberFormat="1" applyFont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21" fillId="0" borderId="0" xfId="0" applyFont="1" applyFill="1" applyAlignment="1">
      <alignment horizontal="center"/>
    </xf>
    <xf numFmtId="0" fontId="19" fillId="0" borderId="0" xfId="0" applyFont="1" applyFill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21" fillId="0" borderId="0" xfId="0" applyFont="1" applyBorder="1" applyAlignment="1">
      <alignment vertical="center"/>
    </xf>
    <xf numFmtId="0" fontId="24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Fill="1"/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2" fontId="2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1" fillId="0" borderId="0" xfId="0" applyFont="1" applyFill="1" applyBorder="1"/>
    <xf numFmtId="0" fontId="22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0" fontId="26" fillId="0" borderId="0" xfId="0" applyFont="1"/>
    <xf numFmtId="4" fontId="21" fillId="0" borderId="0" xfId="0" applyNumberFormat="1" applyFont="1" applyFill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19" fillId="0" borderId="0" xfId="0" applyFont="1" applyAlignment="1">
      <alignment horizontal="right"/>
    </xf>
    <xf numFmtId="11" fontId="21" fillId="0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right" vertical="center"/>
    </xf>
    <xf numFmtId="0" fontId="21" fillId="0" borderId="0" xfId="0" applyFont="1" applyAlignment="1">
      <alignment horizontal="left"/>
    </xf>
    <xf numFmtId="0" fontId="22" fillId="0" borderId="0" xfId="0" applyFont="1" applyFill="1" applyAlignment="1">
      <alignment vertical="center"/>
    </xf>
    <xf numFmtId="0" fontId="23" fillId="0" borderId="0" xfId="0" applyNumberFormat="1" applyFont="1" applyAlignment="1">
      <alignment vertical="center"/>
    </xf>
    <xf numFmtId="0" fontId="21" fillId="2" borderId="0" xfId="0" applyFont="1" applyFill="1" applyAlignment="1">
      <alignment horizontal="center" vertical="center"/>
    </xf>
    <xf numFmtId="4" fontId="19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/>
    </xf>
    <xf numFmtId="11" fontId="25" fillId="0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38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1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3" fontId="19" fillId="0" borderId="0" xfId="0" applyNumberFormat="1" applyFont="1" applyFill="1" applyBorder="1" applyAlignment="1">
      <alignment horizontal="center" vertical="center"/>
    </xf>
    <xf numFmtId="2" fontId="37" fillId="0" borderId="0" xfId="0" applyNumberFormat="1" applyFont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4" fontId="2" fillId="9" borderId="1" xfId="0" applyNumberFormat="1" applyFont="1" applyFill="1" applyBorder="1" applyAlignment="1">
      <alignment horizontal="center"/>
    </xf>
    <xf numFmtId="0" fontId="43" fillId="0" borderId="0" xfId="0" applyFont="1" applyAlignment="1">
      <alignment vertical="center"/>
    </xf>
    <xf numFmtId="0" fontId="29" fillId="0" borderId="0" xfId="0" applyFont="1" applyBorder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right" vertical="center" wrapText="1"/>
    </xf>
    <xf numFmtId="0" fontId="30" fillId="0" borderId="1" xfId="0" applyFont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4" fontId="2" fillId="9" borderId="1" xfId="0" applyNumberFormat="1" applyFont="1" applyFill="1" applyBorder="1" applyAlignment="1">
      <alignment horizontal="center" vertical="center"/>
    </xf>
    <xf numFmtId="16" fontId="22" fillId="0" borderId="1" xfId="0" applyNumberFormat="1" applyFont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37" fillId="0" borderId="0" xfId="0" applyNumberFormat="1" applyFont="1" applyAlignment="1">
      <alignment horizontal="center" vertical="center"/>
    </xf>
    <xf numFmtId="0" fontId="37" fillId="0" borderId="0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8" fillId="0" borderId="0" xfId="0" applyFont="1" applyAlignment="1">
      <alignment horizontal="right" vertical="center"/>
    </xf>
    <xf numFmtId="0" fontId="46" fillId="0" borderId="0" xfId="0" applyFont="1" applyFill="1" applyAlignment="1">
      <alignment vertical="center"/>
    </xf>
    <xf numFmtId="0" fontId="39" fillId="0" borderId="13" xfId="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46" fillId="0" borderId="0" xfId="0" applyFont="1" applyAlignment="1">
      <alignment vertical="center"/>
    </xf>
    <xf numFmtId="0" fontId="41" fillId="7" borderId="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6" fontId="21" fillId="2" borderId="0" xfId="0" applyNumberFormat="1" applyFont="1" applyFill="1" applyAlignment="1">
      <alignment horizontal="center" vertical="center"/>
    </xf>
    <xf numFmtId="3" fontId="21" fillId="2" borderId="0" xfId="0" applyNumberFormat="1" applyFont="1" applyFill="1" applyAlignment="1">
      <alignment horizontal="left" vertical="center"/>
    </xf>
    <xf numFmtId="3" fontId="21" fillId="2" borderId="0" xfId="0" applyNumberFormat="1" applyFont="1" applyFill="1" applyAlignment="1">
      <alignment horizontal="center" vertical="center"/>
    </xf>
    <xf numFmtId="1" fontId="21" fillId="2" borderId="0" xfId="0" applyNumberFormat="1" applyFont="1" applyFill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2" fontId="38" fillId="0" borderId="0" xfId="0" applyNumberFormat="1" applyFont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2" fontId="31" fillId="0" borderId="17" xfId="0" applyNumberFormat="1" applyFont="1" applyBorder="1" applyAlignment="1">
      <alignment horizontal="center" vertical="center" wrapText="1"/>
    </xf>
    <xf numFmtId="2" fontId="20" fillId="0" borderId="18" xfId="0" applyNumberFormat="1" applyFont="1" applyBorder="1" applyAlignment="1">
      <alignment horizontal="center" vertical="center" wrapText="1"/>
    </xf>
    <xf numFmtId="2" fontId="35" fillId="0" borderId="18" xfId="0" applyNumberFormat="1" applyFont="1" applyBorder="1" applyAlignment="1">
      <alignment horizontal="center" vertical="center" wrapText="1"/>
    </xf>
    <xf numFmtId="2" fontId="31" fillId="0" borderId="18" xfId="0" applyNumberFormat="1" applyFont="1" applyBorder="1" applyAlignment="1">
      <alignment horizontal="center" vertical="center" wrapText="1"/>
    </xf>
    <xf numFmtId="0" fontId="22" fillId="0" borderId="5" xfId="0" applyFont="1" applyBorder="1" applyAlignment="1">
      <alignment vertical="center"/>
    </xf>
    <xf numFmtId="2" fontId="31" fillId="2" borderId="17" xfId="0" applyNumberFormat="1" applyFont="1" applyFill="1" applyBorder="1" applyAlignment="1">
      <alignment horizontal="center" vertical="center" wrapText="1"/>
    </xf>
    <xf numFmtId="2" fontId="20" fillId="2" borderId="18" xfId="0" applyNumberFormat="1" applyFont="1" applyFill="1" applyBorder="1" applyAlignment="1">
      <alignment horizontal="center" vertical="center" wrapText="1"/>
    </xf>
    <xf numFmtId="2" fontId="35" fillId="2" borderId="18" xfId="0" applyNumberFormat="1" applyFont="1" applyFill="1" applyBorder="1" applyAlignment="1">
      <alignment horizontal="center" vertical="center" wrapText="1"/>
    </xf>
    <xf numFmtId="2" fontId="31" fillId="2" borderId="18" xfId="0" applyNumberFormat="1" applyFont="1" applyFill="1" applyBorder="1" applyAlignment="1">
      <alignment horizontal="center" vertical="center" wrapText="1"/>
    </xf>
    <xf numFmtId="2" fontId="31" fillId="3" borderId="17" xfId="0" applyNumberFormat="1" applyFont="1" applyFill="1" applyBorder="1" applyAlignment="1">
      <alignment horizontal="center" vertical="center" wrapText="1"/>
    </xf>
    <xf numFmtId="2" fontId="20" fillId="3" borderId="18" xfId="0" applyNumberFormat="1" applyFont="1" applyFill="1" applyBorder="1" applyAlignment="1">
      <alignment horizontal="center" vertical="center" wrapText="1"/>
    </xf>
    <xf numFmtId="2" fontId="35" fillId="3" borderId="18" xfId="0" applyNumberFormat="1" applyFont="1" applyFill="1" applyBorder="1" applyAlignment="1">
      <alignment horizontal="center" vertical="center" wrapText="1"/>
    </xf>
    <xf numFmtId="2" fontId="31" fillId="3" borderId="18" xfId="0" applyNumberFormat="1" applyFont="1" applyFill="1" applyBorder="1" applyAlignment="1">
      <alignment horizontal="center" vertical="center" wrapText="1"/>
    </xf>
    <xf numFmtId="2" fontId="31" fillId="4" borderId="17" xfId="0" applyNumberFormat="1" applyFont="1" applyFill="1" applyBorder="1" applyAlignment="1">
      <alignment horizontal="center" vertical="center" wrapText="1"/>
    </xf>
    <xf numFmtId="2" fontId="20" fillId="4" borderId="18" xfId="0" applyNumberFormat="1" applyFont="1" applyFill="1" applyBorder="1" applyAlignment="1">
      <alignment horizontal="center" vertical="center" wrapText="1"/>
    </xf>
    <xf numFmtId="2" fontId="35" fillId="4" borderId="18" xfId="0" applyNumberFormat="1" applyFont="1" applyFill="1" applyBorder="1" applyAlignment="1">
      <alignment horizontal="center" vertical="center" wrapText="1"/>
    </xf>
    <xf numFmtId="2" fontId="31" fillId="4" borderId="18" xfId="0" applyNumberFormat="1" applyFont="1" applyFill="1" applyBorder="1" applyAlignment="1">
      <alignment horizontal="center" vertical="center" wrapText="1"/>
    </xf>
    <xf numFmtId="0" fontId="21" fillId="9" borderId="0" xfId="0" applyFont="1" applyFill="1" applyAlignment="1">
      <alignment vertical="center"/>
    </xf>
    <xf numFmtId="0" fontId="21" fillId="1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" fontId="2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31" fillId="0" borderId="1" xfId="0" applyNumberFormat="1" applyFont="1" applyBorder="1" applyAlignment="1">
      <alignment horizontal="center" vertical="center" wrapText="1"/>
    </xf>
    <xf numFmtId="2" fontId="20" fillId="0" borderId="1" xfId="0" applyNumberFormat="1" applyFont="1" applyBorder="1" applyAlignment="1">
      <alignment horizontal="center" vertical="center" wrapText="1"/>
    </xf>
    <xf numFmtId="2" fontId="35" fillId="0" borderId="1" xfId="0" applyNumberFormat="1" applyFont="1" applyBorder="1" applyAlignment="1">
      <alignment horizontal="center" vertical="center" wrapText="1"/>
    </xf>
    <xf numFmtId="2" fontId="31" fillId="0" borderId="17" xfId="0" applyNumberFormat="1" applyFont="1" applyFill="1" applyBorder="1" applyAlignment="1">
      <alignment horizontal="center" vertical="center" wrapText="1"/>
    </xf>
    <xf numFmtId="2" fontId="20" fillId="0" borderId="18" xfId="0" applyNumberFormat="1" applyFont="1" applyFill="1" applyBorder="1" applyAlignment="1">
      <alignment horizontal="center" vertical="center" wrapText="1"/>
    </xf>
    <xf numFmtId="2" fontId="35" fillId="0" borderId="18" xfId="0" applyNumberFormat="1" applyFont="1" applyFill="1" applyBorder="1" applyAlignment="1">
      <alignment horizontal="center" vertical="center" wrapText="1"/>
    </xf>
    <xf numFmtId="2" fontId="31" fillId="0" borderId="18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right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2" fontId="26" fillId="0" borderId="0" xfId="0" applyNumberFormat="1" applyFont="1" applyAlignment="1">
      <alignment horizontal="center"/>
    </xf>
    <xf numFmtId="2" fontId="21" fillId="0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33" fillId="0" borderId="0" xfId="0" applyFont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4" fontId="7" fillId="2" borderId="1" xfId="0" applyNumberFormat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2" fontId="26" fillId="0" borderId="0" xfId="0" applyNumberFormat="1" applyFont="1" applyFill="1" applyAlignment="1">
      <alignment horizontal="center"/>
    </xf>
    <xf numFmtId="0" fontId="26" fillId="0" borderId="0" xfId="0" applyFont="1" applyAlignment="1">
      <alignment horizontal="right"/>
    </xf>
    <xf numFmtId="2" fontId="21" fillId="0" borderId="0" xfId="0" applyNumberFormat="1" applyFont="1" applyAlignment="1">
      <alignment horizont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6" fillId="8" borderId="1" xfId="0" applyFont="1" applyFill="1" applyBorder="1" applyAlignment="1">
      <alignment horizontal="center"/>
    </xf>
    <xf numFmtId="2" fontId="23" fillId="0" borderId="0" xfId="0" applyNumberFormat="1" applyFont="1" applyAlignment="1">
      <alignment horizontal="center"/>
    </xf>
    <xf numFmtId="165" fontId="7" fillId="2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64" fontId="19" fillId="4" borderId="1" xfId="0" applyNumberFormat="1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2" fontId="60" fillId="0" borderId="0" xfId="0" applyNumberFormat="1" applyFont="1" applyAlignment="1">
      <alignment horizontal="center" vertical="center" wrapText="1"/>
    </xf>
    <xf numFmtId="2" fontId="21" fillId="0" borderId="0" xfId="0" applyNumberFormat="1" applyFont="1"/>
    <xf numFmtId="164" fontId="19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2" fontId="21" fillId="0" borderId="1" xfId="0" applyNumberFormat="1" applyFont="1" applyFill="1" applyBorder="1" applyAlignment="1">
      <alignment horizontal="center" vertical="center"/>
    </xf>
    <xf numFmtId="11" fontId="2" fillId="11" borderId="1" xfId="0" applyNumberFormat="1" applyFont="1" applyFill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5" fontId="26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167" fontId="23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21" fillId="3" borderId="0" xfId="0" applyNumberFormat="1" applyFont="1" applyFill="1" applyAlignment="1">
      <alignment horizontal="center" vertical="center"/>
    </xf>
    <xf numFmtId="2" fontId="21" fillId="4" borderId="0" xfId="0" applyNumberFormat="1" applyFont="1" applyFill="1" applyAlignment="1">
      <alignment horizontal="center" vertical="center"/>
    </xf>
    <xf numFmtId="2" fontId="21" fillId="6" borderId="0" xfId="0" applyNumberFormat="1" applyFont="1" applyFill="1" applyAlignment="1">
      <alignment horizontal="center" vertical="center"/>
    </xf>
    <xf numFmtId="2" fontId="21" fillId="2" borderId="0" xfId="0" applyNumberFormat="1" applyFont="1" applyFill="1" applyAlignment="1">
      <alignment horizontal="center" vertical="center"/>
    </xf>
    <xf numFmtId="2" fontId="21" fillId="0" borderId="0" xfId="0" applyNumberFormat="1" applyFont="1" applyFill="1" applyAlignment="1">
      <alignment horizontal="center" vertical="center"/>
    </xf>
    <xf numFmtId="2" fontId="21" fillId="9" borderId="5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1" fontId="53" fillId="0" borderId="0" xfId="0" applyNumberFormat="1" applyFont="1" applyAlignment="1">
      <alignment horizontal="center" vertical="center"/>
    </xf>
    <xf numFmtId="164" fontId="53" fillId="0" borderId="0" xfId="0" applyNumberFormat="1" applyFont="1" applyAlignment="1">
      <alignment horizontal="center" vertical="center"/>
    </xf>
    <xf numFmtId="11" fontId="19" fillId="0" borderId="0" xfId="0" applyNumberFormat="1" applyFont="1" applyFill="1" applyAlignment="1">
      <alignment horizontal="center" vertical="center"/>
    </xf>
    <xf numFmtId="11" fontId="34" fillId="0" borderId="0" xfId="0" applyNumberFormat="1" applyFont="1" applyAlignment="1">
      <alignment horizontal="center" vertical="center"/>
    </xf>
    <xf numFmtId="164" fontId="34" fillId="0" borderId="0" xfId="0" applyNumberFormat="1" applyFont="1" applyAlignment="1">
      <alignment horizontal="center" vertical="center"/>
    </xf>
    <xf numFmtId="10" fontId="21" fillId="0" borderId="0" xfId="0" applyNumberFormat="1" applyFont="1" applyAlignment="1">
      <alignment horizontal="center" vertical="center"/>
    </xf>
    <xf numFmtId="10" fontId="21" fillId="3" borderId="0" xfId="0" applyNumberFormat="1" applyFont="1" applyFill="1" applyAlignment="1">
      <alignment horizontal="center" vertical="center"/>
    </xf>
    <xf numFmtId="10" fontId="21" fillId="4" borderId="0" xfId="0" applyNumberFormat="1" applyFont="1" applyFill="1" applyAlignment="1">
      <alignment horizontal="center" vertical="center"/>
    </xf>
    <xf numFmtId="10" fontId="21" fillId="6" borderId="0" xfId="0" applyNumberFormat="1" applyFont="1" applyFill="1" applyAlignment="1">
      <alignment horizontal="center" vertical="center"/>
    </xf>
    <xf numFmtId="10" fontId="21" fillId="12" borderId="0" xfId="0" applyNumberFormat="1" applyFont="1" applyFill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0" fontId="54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11" fontId="21" fillId="3" borderId="0" xfId="0" applyNumberFormat="1" applyFont="1" applyFill="1" applyAlignment="1">
      <alignment horizontal="center" vertical="center"/>
    </xf>
    <xf numFmtId="11" fontId="21" fillId="4" borderId="0" xfId="0" applyNumberFormat="1" applyFont="1" applyFill="1" applyAlignment="1">
      <alignment horizontal="center" vertical="center"/>
    </xf>
    <xf numFmtId="11" fontId="21" fillId="6" borderId="0" xfId="0" applyNumberFormat="1" applyFont="1" applyFill="1" applyAlignment="1">
      <alignment horizontal="center" vertical="center"/>
    </xf>
    <xf numFmtId="11" fontId="21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11" fontId="2" fillId="0" borderId="19" xfId="0" applyNumberFormat="1" applyFont="1" applyBorder="1" applyAlignment="1">
      <alignment horizontal="center" vertical="center"/>
    </xf>
    <xf numFmtId="0" fontId="54" fillId="0" borderId="0" xfId="0" applyFont="1" applyAlignment="1">
      <alignment horizontal="right" vertical="center"/>
    </xf>
    <xf numFmtId="0" fontId="21" fillId="0" borderId="0" xfId="0" applyFont="1" applyFill="1" applyAlignment="1">
      <alignment horizontal="right" vertical="center"/>
    </xf>
    <xf numFmtId="11" fontId="2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47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61" fillId="0" borderId="0" xfId="0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2" fontId="23" fillId="9" borderId="0" xfId="0" applyNumberFormat="1" applyFont="1" applyFill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64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169" fontId="23" fillId="0" borderId="0" xfId="0" applyNumberFormat="1" applyFont="1" applyAlignment="1">
      <alignment horizontal="center" vertical="center"/>
    </xf>
    <xf numFmtId="167" fontId="21" fillId="0" borderId="0" xfId="0" applyNumberFormat="1" applyFont="1" applyAlignment="1">
      <alignment horizontal="left" vertical="center"/>
    </xf>
    <xf numFmtId="1" fontId="7" fillId="12" borderId="1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right"/>
    </xf>
    <xf numFmtId="2" fontId="23" fillId="0" borderId="0" xfId="0" applyNumberFormat="1" applyFont="1" applyBorder="1" applyAlignment="1">
      <alignment horizontal="center" vertical="center"/>
    </xf>
    <xf numFmtId="2" fontId="26" fillId="2" borderId="1" xfId="0" applyNumberFormat="1" applyFont="1" applyFill="1" applyBorder="1" applyAlignment="1">
      <alignment horizontal="center" vertical="center"/>
    </xf>
    <xf numFmtId="2" fontId="37" fillId="0" borderId="0" xfId="0" applyNumberFormat="1" applyFont="1"/>
    <xf numFmtId="0" fontId="64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2" fontId="7" fillId="5" borderId="0" xfId="0" applyNumberFormat="1" applyFont="1" applyFill="1" applyAlignment="1">
      <alignment horizontal="center" vertical="center"/>
    </xf>
    <xf numFmtId="168" fontId="21" fillId="2" borderId="1" xfId="0" applyNumberFormat="1" applyFont="1" applyFill="1" applyBorder="1" applyAlignment="1">
      <alignment horizontal="center" vertical="center"/>
    </xf>
    <xf numFmtId="11" fontId="2" fillId="12" borderId="0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2" fontId="26" fillId="0" borderId="0" xfId="0" applyNumberFormat="1" applyFont="1" applyFill="1" applyAlignment="1">
      <alignment horizontal="center" vertical="center"/>
    </xf>
    <xf numFmtId="2" fontId="23" fillId="5" borderId="0" xfId="0" applyNumberFormat="1" applyFont="1" applyFill="1" applyBorder="1" applyAlignment="1">
      <alignment horizontal="center" vertical="center"/>
    </xf>
    <xf numFmtId="2" fontId="19" fillId="8" borderId="0" xfId="0" applyNumberFormat="1" applyFont="1" applyFill="1" applyAlignment="1">
      <alignment horizontal="center" vertical="center"/>
    </xf>
    <xf numFmtId="165" fontId="24" fillId="5" borderId="1" xfId="0" applyNumberFormat="1" applyFont="1" applyFill="1" applyBorder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9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vertical="center"/>
    </xf>
    <xf numFmtId="0" fontId="68" fillId="8" borderId="0" xfId="0" applyFont="1" applyFill="1" applyBorder="1" applyAlignment="1">
      <alignment horizontal="center"/>
    </xf>
    <xf numFmtId="2" fontId="33" fillId="0" borderId="0" xfId="0" applyNumberFormat="1" applyFont="1" applyAlignment="1">
      <alignment horizontal="center" vertical="center"/>
    </xf>
    <xf numFmtId="2" fontId="19" fillId="12" borderId="0" xfId="0" applyNumberFormat="1" applyFont="1" applyFill="1" applyAlignment="1">
      <alignment horizontal="center" vertical="center"/>
    </xf>
    <xf numFmtId="2" fontId="23" fillId="12" borderId="0" xfId="0" applyNumberFormat="1" applyFont="1" applyFill="1" applyAlignment="1">
      <alignment horizontal="center" vertical="center"/>
    </xf>
    <xf numFmtId="2" fontId="21" fillId="12" borderId="0" xfId="0" applyNumberFormat="1" applyFont="1" applyFill="1" applyAlignment="1">
      <alignment horizontal="center" vertical="center"/>
    </xf>
    <xf numFmtId="0" fontId="33" fillId="0" borderId="0" xfId="0" applyFont="1" applyAlignment="1">
      <alignment horizontal="right" vertical="center"/>
    </xf>
    <xf numFmtId="2" fontId="33" fillId="12" borderId="0" xfId="0" applyNumberFormat="1" applyFont="1" applyFill="1" applyAlignment="1">
      <alignment horizontal="center" vertical="center"/>
    </xf>
    <xf numFmtId="2" fontId="26" fillId="0" borderId="5" xfId="0" applyNumberFormat="1" applyFont="1" applyBorder="1" applyAlignment="1">
      <alignment horizontal="center" vertical="center"/>
    </xf>
    <xf numFmtId="2" fontId="40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right"/>
    </xf>
    <xf numFmtId="2" fontId="21" fillId="0" borderId="0" xfId="0" applyNumberFormat="1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2" fontId="24" fillId="0" borderId="0" xfId="0" applyNumberFormat="1" applyFont="1" applyFill="1" applyAlignment="1">
      <alignment horizontal="center"/>
    </xf>
    <xf numFmtId="1" fontId="7" fillId="8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2" fontId="19" fillId="0" borderId="0" xfId="0" applyNumberFormat="1" applyFont="1" applyFill="1" applyAlignment="1">
      <alignment horizontal="center" vertical="center"/>
    </xf>
    <xf numFmtId="2" fontId="33" fillId="0" borderId="0" xfId="0" applyNumberFormat="1" applyFont="1" applyFill="1" applyAlignment="1">
      <alignment horizontal="center" vertical="center"/>
    </xf>
    <xf numFmtId="10" fontId="23" fillId="0" borderId="0" xfId="0" applyNumberFormat="1" applyFont="1" applyFill="1" applyAlignment="1">
      <alignment horizontal="center" vertical="center"/>
    </xf>
    <xf numFmtId="2" fontId="19" fillId="0" borderId="0" xfId="0" applyNumberFormat="1" applyFont="1" applyAlignment="1">
      <alignment horizontal="center"/>
    </xf>
    <xf numFmtId="2" fontId="21" fillId="5" borderId="0" xfId="0" applyNumberFormat="1" applyFont="1" applyFill="1" applyAlignment="1">
      <alignment horizontal="center"/>
    </xf>
    <xf numFmtId="2" fontId="21" fillId="2" borderId="0" xfId="0" applyNumberFormat="1" applyFont="1" applyFill="1" applyAlignment="1">
      <alignment horizontal="center"/>
    </xf>
    <xf numFmtId="2" fontId="58" fillId="0" borderId="0" xfId="0" applyNumberFormat="1" applyFont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 vertical="center"/>
    </xf>
    <xf numFmtId="2" fontId="23" fillId="0" borderId="0" xfId="0" applyNumberFormat="1" applyFont="1" applyFill="1" applyBorder="1" applyAlignment="1">
      <alignment horizontal="center" vertical="center"/>
    </xf>
    <xf numFmtId="2" fontId="7" fillId="9" borderId="0" xfId="0" applyNumberFormat="1" applyFont="1" applyFill="1" applyAlignment="1">
      <alignment horizontal="center" vertical="center"/>
    </xf>
    <xf numFmtId="2" fontId="26" fillId="0" borderId="19" xfId="0" applyNumberFormat="1" applyFont="1" applyFill="1" applyBorder="1" applyAlignment="1">
      <alignment horizontal="center" vertical="center"/>
    </xf>
    <xf numFmtId="2" fontId="25" fillId="0" borderId="0" xfId="0" applyNumberFormat="1" applyFont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1" fontId="21" fillId="0" borderId="0" xfId="0" applyNumberFormat="1" applyFont="1" applyFill="1" applyAlignment="1">
      <alignment horizontal="center" vertical="center"/>
    </xf>
    <xf numFmtId="3" fontId="26" fillId="0" borderId="1" xfId="0" applyNumberFormat="1" applyFont="1" applyBorder="1" applyAlignment="1">
      <alignment horizontal="center" vertical="center"/>
    </xf>
    <xf numFmtId="2" fontId="2" fillId="8" borderId="0" xfId="0" applyNumberFormat="1" applyFont="1" applyFill="1" applyAlignment="1">
      <alignment horizontal="center" vertical="center"/>
    </xf>
    <xf numFmtId="0" fontId="68" fillId="0" borderId="0" xfId="0" applyFont="1" applyFill="1" applyAlignment="1">
      <alignment horizontal="right" vertical="center"/>
    </xf>
    <xf numFmtId="2" fontId="24" fillId="0" borderId="0" xfId="0" applyNumberFormat="1" applyFont="1" applyAlignment="1">
      <alignment horizontal="center" vertical="center"/>
    </xf>
    <xf numFmtId="0" fontId="26" fillId="0" borderId="0" xfId="0" applyFont="1" applyFill="1" applyAlignment="1">
      <alignment horizontal="right" vertical="center"/>
    </xf>
    <xf numFmtId="0" fontId="75" fillId="0" borderId="0" xfId="0" applyFont="1" applyAlignment="1">
      <alignment horizontal="center" vertical="center"/>
    </xf>
    <xf numFmtId="11" fontId="72" fillId="3" borderId="0" xfId="0" applyNumberFormat="1" applyFont="1" applyFill="1" applyAlignment="1">
      <alignment horizontal="center" vertical="center"/>
    </xf>
    <xf numFmtId="11" fontId="72" fillId="6" borderId="0" xfId="0" applyNumberFormat="1" applyFont="1" applyFill="1" applyAlignment="1">
      <alignment horizontal="center" vertical="center"/>
    </xf>
    <xf numFmtId="11" fontId="77" fillId="4" borderId="0" xfId="0" applyNumberFormat="1" applyFont="1" applyFill="1" applyAlignment="1">
      <alignment horizontal="center" vertical="center"/>
    </xf>
    <xf numFmtId="165" fontId="19" fillId="3" borderId="1" xfId="0" applyNumberFormat="1" applyFont="1" applyFill="1" applyBorder="1" applyAlignment="1">
      <alignment horizontal="center" vertical="center"/>
    </xf>
    <xf numFmtId="165" fontId="19" fillId="4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2" fontId="26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9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ont="1"/>
    <xf numFmtId="2" fontId="58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167" fontId="21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/>
    <xf numFmtId="0" fontId="21" fillId="0" borderId="0" xfId="0" applyFont="1" applyFill="1" applyBorder="1" applyAlignment="1">
      <alignment horizontal="right" vertical="center"/>
    </xf>
    <xf numFmtId="2" fontId="47" fillId="0" borderId="0" xfId="0" applyNumberFormat="1" applyFont="1" applyFill="1" applyBorder="1" applyAlignment="1">
      <alignment horizontal="center" vertical="center"/>
    </xf>
    <xf numFmtId="2" fontId="44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 readingOrder="1"/>
    </xf>
    <xf numFmtId="0" fontId="19" fillId="0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left" vertical="center"/>
    </xf>
    <xf numFmtId="0" fontId="24" fillId="2" borderId="1" xfId="0" applyFont="1" applyFill="1" applyBorder="1" applyAlignment="1">
      <alignment horizontal="center" vertical="center"/>
    </xf>
    <xf numFmtId="164" fontId="21" fillId="11" borderId="0" xfId="0" applyNumberFormat="1" applyFont="1" applyFill="1" applyAlignment="1">
      <alignment horizontal="center" vertical="center"/>
    </xf>
    <xf numFmtId="2" fontId="26" fillId="0" borderId="0" xfId="0" applyNumberFormat="1" applyFont="1" applyAlignment="1">
      <alignment horizontal="center" vertical="center"/>
    </xf>
    <xf numFmtId="2" fontId="24" fillId="0" borderId="1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40" fillId="0" borderId="0" xfId="0" applyFont="1" applyAlignment="1">
      <alignment horizontal="right" vertical="center"/>
    </xf>
    <xf numFmtId="2" fontId="21" fillId="3" borderId="0" xfId="0" applyNumberFormat="1" applyFont="1" applyFill="1" applyAlignment="1">
      <alignment horizontal="center"/>
    </xf>
    <xf numFmtId="0" fontId="68" fillId="0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33" fillId="0" borderId="0" xfId="0" applyNumberFormat="1" applyFont="1" applyAlignment="1">
      <alignment horizontal="center"/>
    </xf>
    <xf numFmtId="2" fontId="7" fillId="0" borderId="0" xfId="0" applyNumberFormat="1" applyFont="1" applyFill="1" applyBorder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70" fillId="0" borderId="0" xfId="0" applyFont="1" applyFill="1"/>
    <xf numFmtId="9" fontId="0" fillId="0" borderId="0" xfId="0" applyNumberFormat="1" applyFill="1"/>
    <xf numFmtId="0" fontId="7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164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64" fontId="78" fillId="12" borderId="0" xfId="0" applyNumberFormat="1" applyFont="1" applyFill="1" applyAlignment="1">
      <alignment horizontal="center"/>
    </xf>
    <xf numFmtId="0" fontId="78" fillId="12" borderId="0" xfId="0" applyFont="1" applyFill="1" applyAlignment="1">
      <alignment horizontal="center"/>
    </xf>
    <xf numFmtId="164" fontId="84" fillId="12" borderId="0" xfId="0" applyNumberFormat="1" applyFont="1" applyFill="1" applyAlignment="1">
      <alignment horizontal="center"/>
    </xf>
    <xf numFmtId="0" fontId="84" fillId="12" borderId="0" xfId="0" applyFont="1" applyFill="1" applyAlignment="1">
      <alignment horizontal="center"/>
    </xf>
    <xf numFmtId="0" fontId="21" fillId="12" borderId="0" xfId="0" applyFont="1" applyFill="1" applyAlignment="1">
      <alignment horizontal="center"/>
    </xf>
    <xf numFmtId="2" fontId="7" fillId="0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11" fontId="24" fillId="17" borderId="1" xfId="0" applyNumberFormat="1" applyFont="1" applyFill="1" applyBorder="1" applyAlignment="1">
      <alignment horizontal="center" vertical="center"/>
    </xf>
    <xf numFmtId="2" fontId="2" fillId="17" borderId="1" xfId="0" applyNumberFormat="1" applyFont="1" applyFill="1" applyBorder="1" applyAlignment="1">
      <alignment horizontal="center" vertical="center"/>
    </xf>
    <xf numFmtId="165" fontId="2" fillId="17" borderId="1" xfId="0" applyNumberFormat="1" applyFont="1" applyFill="1" applyBorder="1" applyAlignment="1">
      <alignment horizontal="center" vertical="center"/>
    </xf>
    <xf numFmtId="164" fontId="33" fillId="0" borderId="0" xfId="0" applyNumberFormat="1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64" fontId="26" fillId="0" borderId="0" xfId="0" applyNumberFormat="1" applyFont="1" applyFill="1" applyAlignment="1">
      <alignment horizontal="center" vertical="center"/>
    </xf>
    <xf numFmtId="2" fontId="23" fillId="2" borderId="1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left" vertical="center"/>
    </xf>
    <xf numFmtId="169" fontId="26" fillId="0" borderId="0" xfId="0" applyNumberFormat="1" applyFont="1" applyAlignment="1">
      <alignment horizontal="center" vertical="center"/>
    </xf>
    <xf numFmtId="2" fontId="21" fillId="8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/>
    </xf>
    <xf numFmtId="2" fontId="24" fillId="5" borderId="0" xfId="0" applyNumberFormat="1" applyFont="1" applyFill="1" applyAlignment="1">
      <alignment horizontal="center"/>
    </xf>
    <xf numFmtId="2" fontId="33" fillId="8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2" fontId="58" fillId="5" borderId="0" xfId="0" applyNumberFormat="1" applyFont="1" applyFill="1" applyAlignment="1">
      <alignment horizontal="center"/>
    </xf>
    <xf numFmtId="2" fontId="73" fillId="6" borderId="0" xfId="0" applyNumberFormat="1" applyFont="1" applyFill="1" applyAlignment="1">
      <alignment horizontal="center" vertical="center"/>
    </xf>
    <xf numFmtId="2" fontId="73" fillId="4" borderId="0" xfId="0" applyNumberFormat="1" applyFont="1" applyFill="1" applyAlignment="1">
      <alignment horizontal="center" vertical="center"/>
    </xf>
    <xf numFmtId="2" fontId="73" fillId="3" borderId="0" xfId="0" applyNumberFormat="1" applyFont="1" applyFill="1" applyAlignment="1">
      <alignment horizontal="center" vertical="center"/>
    </xf>
    <xf numFmtId="2" fontId="23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21" fillId="5" borderId="0" xfId="0" applyNumberFormat="1" applyFont="1" applyFill="1" applyAlignment="1">
      <alignment horizontal="center" vertical="center"/>
    </xf>
    <xf numFmtId="10" fontId="19" fillId="0" borderId="0" xfId="0" applyNumberFormat="1" applyFont="1" applyFill="1" applyAlignment="1">
      <alignment horizontal="center" vertical="center"/>
    </xf>
    <xf numFmtId="3" fontId="26" fillId="4" borderId="1" xfId="0" applyNumberFormat="1" applyFont="1" applyFill="1" applyBorder="1" applyAlignment="1">
      <alignment horizontal="center" vertical="center"/>
    </xf>
    <xf numFmtId="3" fontId="26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2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21" fillId="3" borderId="0" xfId="0" applyFont="1" applyFill="1" applyAlignment="1">
      <alignment horizontal="center"/>
    </xf>
    <xf numFmtId="2" fontId="58" fillId="3" borderId="0" xfId="0" applyNumberFormat="1" applyFont="1" applyFill="1" applyAlignment="1">
      <alignment horizontal="center"/>
    </xf>
    <xf numFmtId="2" fontId="24" fillId="3" borderId="0" xfId="0" applyNumberFormat="1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169" fontId="2" fillId="0" borderId="0" xfId="0" applyNumberFormat="1" applyFont="1" applyFill="1" applyAlignment="1">
      <alignment horizontal="center" vertical="center"/>
    </xf>
    <xf numFmtId="169" fontId="19" fillId="0" borderId="0" xfId="0" applyNumberFormat="1" applyFont="1" applyFill="1" applyAlignment="1">
      <alignment horizontal="center" vertical="center"/>
    </xf>
    <xf numFmtId="11" fontId="19" fillId="8" borderId="0" xfId="0" applyNumberFormat="1" applyFont="1" applyFill="1" applyAlignment="1">
      <alignment horizontal="center" vertical="center"/>
    </xf>
    <xf numFmtId="3" fontId="26" fillId="6" borderId="1" xfId="0" applyNumberFormat="1" applyFont="1" applyFill="1" applyBorder="1" applyAlignment="1">
      <alignment horizontal="center" vertical="center"/>
    </xf>
    <xf numFmtId="2" fontId="21" fillId="0" borderId="0" xfId="0" applyNumberFormat="1" applyFont="1" applyFill="1" applyAlignment="1">
      <alignment horizontal="left" vertical="center"/>
    </xf>
    <xf numFmtId="2" fontId="72" fillId="0" borderId="0" xfId="0" applyNumberFormat="1" applyFont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11" fontId="2" fillId="0" borderId="0" xfId="0" applyNumberFormat="1" applyFont="1" applyFill="1" applyAlignment="1">
      <alignment horizontal="center" vertical="center"/>
    </xf>
    <xf numFmtId="11" fontId="21" fillId="12" borderId="0" xfId="0" applyNumberFormat="1" applyFont="1" applyFill="1" applyAlignment="1">
      <alignment horizontal="center" vertical="center"/>
    </xf>
    <xf numFmtId="2" fontId="24" fillId="0" borderId="0" xfId="0" applyNumberFormat="1" applyFont="1" applyFill="1" applyAlignment="1">
      <alignment horizontal="center" vertical="center"/>
    </xf>
    <xf numFmtId="0" fontId="39" fillId="0" borderId="0" xfId="0" applyFont="1" applyAlignment="1">
      <alignment horizontal="right" vertical="center"/>
    </xf>
    <xf numFmtId="2" fontId="7" fillId="0" borderId="0" xfId="0" applyNumberFormat="1" applyFont="1" applyFill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Fill="1" applyAlignment="1">
      <alignment horizontal="center" vertical="center"/>
    </xf>
    <xf numFmtId="0" fontId="21" fillId="8" borderId="0" xfId="0" applyFont="1" applyFill="1" applyAlignment="1">
      <alignment horizontal="right" vertical="center"/>
    </xf>
    <xf numFmtId="2" fontId="37" fillId="0" borderId="0" xfId="0" applyNumberFormat="1" applyFont="1" applyAlignment="1">
      <alignment vertical="center"/>
    </xf>
    <xf numFmtId="2" fontId="37" fillId="0" borderId="0" xfId="0" applyNumberFormat="1" applyFont="1" applyAlignment="1">
      <alignment horizontal="left" vertical="center"/>
    </xf>
    <xf numFmtId="1" fontId="34" fillId="0" borderId="0" xfId="0" applyNumberFormat="1" applyFont="1" applyAlignment="1">
      <alignment horizontal="center" vertical="center"/>
    </xf>
    <xf numFmtId="168" fontId="21" fillId="0" borderId="1" xfId="0" applyNumberFormat="1" applyFont="1" applyBorder="1" applyAlignment="1">
      <alignment horizontal="center" vertical="center"/>
    </xf>
    <xf numFmtId="10" fontId="72" fillId="0" borderId="0" xfId="0" applyNumberFormat="1" applyFont="1" applyAlignment="1">
      <alignment horizontal="center" vertical="center"/>
    </xf>
    <xf numFmtId="2" fontId="73" fillId="0" borderId="0" xfId="0" applyNumberFormat="1" applyFont="1" applyFill="1" applyAlignment="1">
      <alignment horizontal="center" vertical="center"/>
    </xf>
    <xf numFmtId="168" fontId="21" fillId="0" borderId="0" xfId="0" applyNumberFormat="1" applyFont="1" applyAlignment="1">
      <alignment horizontal="center" vertical="center"/>
    </xf>
    <xf numFmtId="2" fontId="21" fillId="2" borderId="1" xfId="0" applyNumberFormat="1" applyFont="1" applyFill="1" applyBorder="1" applyAlignment="1">
      <alignment horizontal="center" vertical="center"/>
    </xf>
    <xf numFmtId="168" fontId="24" fillId="2" borderId="1" xfId="0" applyNumberFormat="1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37" fillId="0" borderId="0" xfId="0" applyFont="1" applyAlignment="1">
      <alignment vertical="center"/>
    </xf>
    <xf numFmtId="0" fontId="19" fillId="8" borderId="0" xfId="0" applyFont="1" applyFill="1" applyAlignment="1">
      <alignment horizontal="center" vertical="center"/>
    </xf>
    <xf numFmtId="167" fontId="19" fillId="0" borderId="0" xfId="0" applyNumberFormat="1" applyFont="1" applyAlignment="1">
      <alignment horizontal="left" vertical="center"/>
    </xf>
    <xf numFmtId="2" fontId="8" fillId="0" borderId="0" xfId="0" applyNumberFormat="1" applyFont="1" applyAlignment="1">
      <alignment horizontal="center" vertical="center"/>
    </xf>
    <xf numFmtId="2" fontId="73" fillId="0" borderId="0" xfId="0" applyNumberFormat="1" applyFont="1" applyFill="1" applyAlignment="1">
      <alignment horizontal="right" vertical="center"/>
    </xf>
    <xf numFmtId="2" fontId="21" fillId="5" borderId="0" xfId="0" applyNumberFormat="1" applyFont="1" applyFill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horizontal="center" vertical="center"/>
    </xf>
    <xf numFmtId="2" fontId="2" fillId="9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1" fillId="3" borderId="0" xfId="0" applyNumberFormat="1" applyFont="1" applyFill="1" applyBorder="1" applyAlignment="1">
      <alignment horizontal="center" vertical="center"/>
    </xf>
    <xf numFmtId="2" fontId="21" fillId="4" borderId="0" xfId="0" applyNumberFormat="1" applyFont="1" applyFill="1" applyBorder="1" applyAlignment="1">
      <alignment horizontal="center" vertical="center"/>
    </xf>
    <xf numFmtId="2" fontId="21" fillId="6" borderId="0" xfId="0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2" fontId="26" fillId="0" borderId="1" xfId="0" applyNumberFormat="1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164" fontId="25" fillId="0" borderId="0" xfId="0" applyNumberFormat="1" applyFont="1" applyFill="1" applyAlignment="1">
      <alignment horizontal="center" vertical="center"/>
    </xf>
    <xf numFmtId="165" fontId="21" fillId="0" borderId="0" xfId="0" applyNumberFormat="1" applyFont="1" applyAlignment="1">
      <alignment horizontal="left" vertical="center"/>
    </xf>
    <xf numFmtId="0" fontId="76" fillId="0" borderId="0" xfId="0" applyFont="1" applyAlignment="1">
      <alignment vertical="center"/>
    </xf>
    <xf numFmtId="0" fontId="26" fillId="8" borderId="1" xfId="0" applyFont="1" applyFill="1" applyBorder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10" fontId="23" fillId="0" borderId="0" xfId="0" applyNumberFormat="1" applyFont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10" fontId="26" fillId="0" borderId="0" xfId="0" applyNumberFormat="1" applyFont="1" applyFill="1" applyAlignment="1">
      <alignment horizontal="center" vertical="center"/>
    </xf>
    <xf numFmtId="10" fontId="26" fillId="0" borderId="0" xfId="0" applyNumberFormat="1" applyFont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0" fontId="21" fillId="0" borderId="0" xfId="0" applyNumberFormat="1" applyFont="1" applyFill="1" applyAlignment="1">
      <alignment horizontal="center" vertical="center"/>
    </xf>
    <xf numFmtId="10" fontId="44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49" fontId="24" fillId="0" borderId="0" xfId="0" applyNumberFormat="1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11" fontId="21" fillId="0" borderId="0" xfId="0" applyNumberFormat="1" applyFont="1" applyFill="1" applyBorder="1" applyAlignment="1">
      <alignment vertical="center"/>
    </xf>
    <xf numFmtId="0" fontId="26" fillId="0" borderId="0" xfId="0" applyFont="1" applyFill="1" applyAlignment="1">
      <alignment horizontal="center" vertical="center"/>
    </xf>
    <xf numFmtId="164" fontId="53" fillId="0" borderId="0" xfId="0" applyNumberFormat="1" applyFont="1" applyFill="1" applyAlignment="1">
      <alignment horizontal="center" vertical="center"/>
    </xf>
    <xf numFmtId="0" fontId="58" fillId="0" borderId="0" xfId="0" applyFont="1" applyAlignment="1">
      <alignment vertical="center"/>
    </xf>
    <xf numFmtId="4" fontId="23" fillId="0" borderId="1" xfId="0" applyNumberFormat="1" applyFont="1" applyFill="1" applyBorder="1" applyAlignment="1">
      <alignment horizontal="center" vertical="center"/>
    </xf>
    <xf numFmtId="0" fontId="59" fillId="0" borderId="0" xfId="0" applyFont="1" applyAlignment="1">
      <alignment vertical="center"/>
    </xf>
    <xf numFmtId="2" fontId="21" fillId="0" borderId="0" xfId="0" applyNumberFormat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2" fontId="50" fillId="0" borderId="0" xfId="0" applyNumberFormat="1" applyFont="1" applyAlignment="1">
      <alignment horizontal="center" vertical="center"/>
    </xf>
    <xf numFmtId="1" fontId="26" fillId="8" borderId="1" xfId="0" applyNumberFormat="1" applyFont="1" applyFill="1" applyBorder="1" applyAlignment="1">
      <alignment horizontal="center" vertical="center"/>
    </xf>
    <xf numFmtId="10" fontId="19" fillId="0" borderId="0" xfId="0" applyNumberFormat="1" applyFont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1" fontId="7" fillId="8" borderId="21" xfId="0" applyNumberFormat="1" applyFont="1" applyFill="1" applyBorder="1" applyAlignment="1">
      <alignment horizontal="center" vertical="center"/>
    </xf>
    <xf numFmtId="2" fontId="2" fillId="8" borderId="21" xfId="0" applyNumberFormat="1" applyFon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0" fontId="32" fillId="0" borderId="0" xfId="0" applyFont="1" applyAlignment="1">
      <alignment vertical="center"/>
    </xf>
    <xf numFmtId="165" fontId="24" fillId="0" borderId="0" xfId="0" applyNumberFormat="1" applyFont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center"/>
    </xf>
    <xf numFmtId="168" fontId="2" fillId="6" borderId="1" xfId="0" applyNumberFormat="1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2" fontId="7" fillId="17" borderId="1" xfId="0" applyNumberFormat="1" applyFont="1" applyFill="1" applyBorder="1" applyAlignment="1">
      <alignment horizontal="center" vertical="center"/>
    </xf>
    <xf numFmtId="11" fontId="21" fillId="17" borderId="0" xfId="0" applyNumberFormat="1" applyFont="1" applyFill="1" applyAlignment="1">
      <alignment horizontal="center" vertical="center"/>
    </xf>
    <xf numFmtId="2" fontId="2" fillId="17" borderId="0" xfId="0" applyNumberFormat="1" applyFont="1" applyFill="1" applyAlignment="1">
      <alignment horizontal="center" vertical="center"/>
    </xf>
    <xf numFmtId="2" fontId="7" fillId="17" borderId="0" xfId="0" applyNumberFormat="1" applyFont="1" applyFill="1" applyAlignment="1">
      <alignment horizontal="center" vertical="center"/>
    </xf>
    <xf numFmtId="2" fontId="7" fillId="17" borderId="0" xfId="0" applyNumberFormat="1" applyFont="1" applyFill="1" applyBorder="1" applyAlignment="1">
      <alignment horizontal="center" vertical="center"/>
    </xf>
    <xf numFmtId="2" fontId="24" fillId="17" borderId="0" xfId="0" applyNumberFormat="1" applyFont="1" applyFill="1" applyAlignment="1">
      <alignment horizontal="center" vertical="center"/>
    </xf>
    <xf numFmtId="2" fontId="21" fillId="17" borderId="1" xfId="0" applyNumberFormat="1" applyFont="1" applyFill="1" applyBorder="1" applyAlignment="1">
      <alignment horizontal="center" vertical="center"/>
    </xf>
    <xf numFmtId="1" fontId="7" fillId="17" borderId="1" xfId="0" applyNumberFormat="1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left" vertical="center"/>
    </xf>
    <xf numFmtId="0" fontId="21" fillId="6" borderId="0" xfId="0" applyFont="1" applyFill="1" applyAlignment="1">
      <alignment horizontal="center" vertical="center"/>
    </xf>
    <xf numFmtId="0" fontId="86" fillId="0" borderId="0" xfId="0" applyFont="1"/>
    <xf numFmtId="0" fontId="79" fillId="18" borderId="1" xfId="0" applyFont="1" applyFill="1" applyBorder="1" applyAlignment="1">
      <alignment horizontal="center"/>
    </xf>
    <xf numFmtId="0" fontId="79" fillId="13" borderId="1" xfId="0" applyFont="1" applyFill="1" applyBorder="1" applyAlignment="1">
      <alignment horizontal="center"/>
    </xf>
    <xf numFmtId="0" fontId="79" fillId="14" borderId="4" xfId="0" applyFont="1" applyFill="1" applyBorder="1" applyAlignment="1">
      <alignment horizontal="center"/>
    </xf>
    <xf numFmtId="0" fontId="79" fillId="14" borderId="1" xfId="0" applyFont="1" applyFill="1" applyBorder="1" applyAlignment="1">
      <alignment horizontal="center"/>
    </xf>
    <xf numFmtId="0" fontId="79" fillId="15" borderId="4" xfId="0" applyFont="1" applyFill="1" applyBorder="1" applyAlignment="1">
      <alignment horizontal="center"/>
    </xf>
    <xf numFmtId="0" fontId="79" fillId="15" borderId="1" xfId="0" applyFont="1" applyFill="1" applyBorder="1" applyAlignment="1">
      <alignment horizontal="center"/>
    </xf>
    <xf numFmtId="0" fontId="80" fillId="0" borderId="20" xfId="0" applyFont="1" applyFill="1" applyBorder="1" applyAlignment="1">
      <alignment horizontal="left"/>
    </xf>
    <xf numFmtId="0" fontId="82" fillId="0" borderId="1" xfId="0" applyFont="1" applyBorder="1" applyAlignment="1">
      <alignment horizontal="center"/>
    </xf>
    <xf numFmtId="0" fontId="83" fillId="0" borderId="1" xfId="0" applyFont="1" applyBorder="1" applyAlignment="1">
      <alignment horizontal="center"/>
    </xf>
    <xf numFmtId="0" fontId="81" fillId="0" borderId="1" xfId="0" applyFont="1" applyBorder="1" applyAlignment="1">
      <alignment horizontal="center"/>
    </xf>
    <xf numFmtId="0" fontId="82" fillId="0" borderId="1" xfId="0" applyFont="1" applyFill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1" fillId="0" borderId="0" xfId="0" applyFont="1" applyAlignment="1"/>
    <xf numFmtId="167" fontId="21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9" fillId="0" borderId="0" xfId="0" applyFont="1" applyFill="1" applyAlignment="1">
      <alignment horizontal="center"/>
    </xf>
    <xf numFmtId="2" fontId="47" fillId="0" borderId="1" xfId="0" applyNumberFormat="1" applyFont="1" applyBorder="1" applyAlignment="1">
      <alignment horizontal="center"/>
    </xf>
    <xf numFmtId="1" fontId="21" fillId="0" borderId="1" xfId="0" applyNumberFormat="1" applyFont="1" applyBorder="1" applyAlignment="1">
      <alignment horizontal="center"/>
    </xf>
    <xf numFmtId="2" fontId="21" fillId="0" borderId="1" xfId="0" applyNumberFormat="1" applyFont="1" applyBorder="1" applyAlignment="1">
      <alignment horizontal="center"/>
    </xf>
    <xf numFmtId="0" fontId="23" fillId="0" borderId="0" xfId="0" applyFont="1" applyAlignment="1"/>
    <xf numFmtId="2" fontId="4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77" fillId="0" borderId="0" xfId="0" applyNumberFormat="1" applyFont="1" applyAlignment="1">
      <alignment horizontal="center"/>
    </xf>
    <xf numFmtId="1" fontId="21" fillId="0" borderId="1" xfId="0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0" fontId="78" fillId="0" borderId="0" xfId="0" applyFont="1" applyAlignment="1"/>
    <xf numFmtId="2" fontId="20" fillId="0" borderId="0" xfId="0" applyNumberFormat="1" applyFont="1" applyAlignment="1">
      <alignment horizontal="center"/>
    </xf>
    <xf numFmtId="0" fontId="84" fillId="0" borderId="0" xfId="0" applyFont="1" applyAlignment="1"/>
    <xf numFmtId="165" fontId="26" fillId="0" borderId="0" xfId="0" applyNumberFormat="1" applyFont="1" applyFill="1" applyAlignment="1">
      <alignment horizontal="center" vertical="center"/>
    </xf>
    <xf numFmtId="168" fontId="21" fillId="0" borderId="0" xfId="0" applyNumberFormat="1" applyFont="1" applyFill="1" applyAlignment="1">
      <alignment horizontal="center" vertical="center"/>
    </xf>
    <xf numFmtId="0" fontId="47" fillId="0" borderId="0" xfId="0" applyFont="1" applyAlignment="1">
      <alignment horizontal="left" vertical="center"/>
    </xf>
    <xf numFmtId="0" fontId="87" fillId="0" borderId="0" xfId="0" applyFont="1" applyAlignment="1">
      <alignment horizontal="right" vertical="center"/>
    </xf>
    <xf numFmtId="2" fontId="0" fillId="12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2" fontId="84" fillId="12" borderId="0" xfId="0" applyNumberFormat="1" applyFont="1" applyFill="1" applyAlignment="1">
      <alignment horizontal="center"/>
    </xf>
    <xf numFmtId="2" fontId="84" fillId="16" borderId="0" xfId="0" applyNumberFormat="1" applyFont="1" applyFill="1" applyAlignment="1">
      <alignment horizontal="center"/>
    </xf>
    <xf numFmtId="2" fontId="78" fillId="16" borderId="0" xfId="0" applyNumberFormat="1" applyFont="1" applyFill="1" applyAlignment="1">
      <alignment horizontal="center"/>
    </xf>
    <xf numFmtId="2" fontId="78" fillId="12" borderId="0" xfId="0" applyNumberFormat="1" applyFont="1" applyFill="1" applyAlignment="1">
      <alignment horizontal="center"/>
    </xf>
    <xf numFmtId="2" fontId="77" fillId="12" borderId="0" xfId="0" applyNumberFormat="1" applyFont="1" applyFill="1" applyAlignment="1">
      <alignment horizontal="center"/>
    </xf>
    <xf numFmtId="2" fontId="21" fillId="12" borderId="0" xfId="0" applyNumberFormat="1" applyFont="1" applyFill="1" applyAlignment="1">
      <alignment horizontal="center"/>
    </xf>
    <xf numFmtId="2" fontId="24" fillId="12" borderId="0" xfId="0" applyNumberFormat="1" applyFont="1" applyFill="1" applyAlignment="1">
      <alignment horizontal="center"/>
    </xf>
    <xf numFmtId="2" fontId="33" fillId="12" borderId="0" xfId="0" applyNumberFormat="1" applyFont="1" applyFill="1" applyAlignment="1">
      <alignment horizontal="center"/>
    </xf>
    <xf numFmtId="2" fontId="19" fillId="12" borderId="0" xfId="0" applyNumberFormat="1" applyFont="1" applyFill="1" applyAlignment="1">
      <alignment horizontal="center"/>
    </xf>
    <xf numFmtId="0" fontId="88" fillId="0" borderId="0" xfId="0" applyFont="1"/>
    <xf numFmtId="2" fontId="89" fillId="0" borderId="0" xfId="0" applyNumberFormat="1" applyFont="1" applyAlignment="1">
      <alignment horizontal="center"/>
    </xf>
    <xf numFmtId="2" fontId="71" fillId="0" borderId="0" xfId="0" applyNumberFormat="1" applyFont="1" applyAlignment="1">
      <alignment horizontal="center"/>
    </xf>
    <xf numFmtId="2" fontId="71" fillId="13" borderId="0" xfId="0" applyNumberFormat="1" applyFont="1" applyFill="1" applyAlignment="1">
      <alignment horizontal="center"/>
    </xf>
    <xf numFmtId="0" fontId="88" fillId="13" borderId="0" xfId="0" applyFont="1" applyFill="1"/>
    <xf numFmtId="0" fontId="88" fillId="0" borderId="0" xfId="0" applyFont="1" applyFill="1"/>
    <xf numFmtId="2" fontId="71" fillId="0" borderId="0" xfId="0" applyNumberFormat="1" applyFont="1" applyFill="1" applyAlignment="1">
      <alignment horizontal="center"/>
    </xf>
    <xf numFmtId="2" fontId="71" fillId="0" borderId="0" xfId="0" applyNumberFormat="1" applyFont="1" applyAlignment="1">
      <alignment horizontal="left"/>
    </xf>
    <xf numFmtId="2" fontId="71" fillId="8" borderId="0" xfId="0" applyNumberFormat="1" applyFont="1" applyFill="1" applyAlignment="1">
      <alignment horizontal="center"/>
    </xf>
    <xf numFmtId="0" fontId="90" fillId="0" borderId="0" xfId="0" applyFont="1" applyAlignment="1">
      <alignment horizontal="right" vertical="center"/>
    </xf>
    <xf numFmtId="0" fontId="71" fillId="0" borderId="0" xfId="0" applyFont="1" applyAlignment="1">
      <alignment horizontal="center"/>
    </xf>
    <xf numFmtId="2" fontId="91" fillId="0" borderId="0" xfId="0" applyNumberFormat="1" applyFont="1" applyAlignment="1">
      <alignment horizontal="center"/>
    </xf>
    <xf numFmtId="0" fontId="21" fillId="8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 readingOrder="1"/>
    </xf>
    <xf numFmtId="0" fontId="21" fillId="20" borderId="0" xfId="0" applyFont="1" applyFill="1" applyAlignment="1">
      <alignment horizontal="center"/>
    </xf>
    <xf numFmtId="0" fontId="0" fillId="21" borderId="0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9" fontId="93" fillId="0" borderId="0" xfId="0" applyNumberFormat="1" applyFont="1" applyFill="1" applyBorder="1" applyAlignment="1">
      <alignment horizontal="center"/>
    </xf>
    <xf numFmtId="9" fontId="94" fillId="0" borderId="0" xfId="0" applyNumberFormat="1" applyFont="1" applyFill="1" applyBorder="1" applyAlignment="1">
      <alignment horizontal="center"/>
    </xf>
    <xf numFmtId="2" fontId="18" fillId="23" borderId="0" xfId="0" applyNumberFormat="1" applyFont="1" applyFill="1" applyBorder="1" applyAlignment="1">
      <alignment horizontal="center" vertical="center" wrapText="1" readingOrder="1"/>
    </xf>
    <xf numFmtId="2" fontId="18" fillId="0" borderId="0" xfId="0" applyNumberFormat="1" applyFont="1" applyFill="1" applyBorder="1" applyAlignment="1">
      <alignment horizontal="center" vertical="center" wrapText="1" readingOrder="1"/>
    </xf>
    <xf numFmtId="0" fontId="95" fillId="0" borderId="0" xfId="0" applyFont="1"/>
    <xf numFmtId="9" fontId="92" fillId="23" borderId="0" xfId="0" applyNumberFormat="1" applyFont="1" applyFill="1" applyBorder="1" applyAlignment="1">
      <alignment horizontal="center"/>
    </xf>
    <xf numFmtId="2" fontId="20" fillId="23" borderId="0" xfId="0" applyNumberFormat="1" applyFont="1" applyFill="1"/>
    <xf numFmtId="0" fontId="20" fillId="0" borderId="0" xfId="0" applyFont="1"/>
    <xf numFmtId="2" fontId="20" fillId="23" borderId="0" xfId="0" applyNumberFormat="1" applyFont="1" applyFill="1" applyAlignment="1">
      <alignment horizontal="center"/>
    </xf>
    <xf numFmtId="2" fontId="20" fillId="0" borderId="0" xfId="0" applyNumberFormat="1" applyFont="1"/>
    <xf numFmtId="2" fontId="32" fillId="0" borderId="0" xfId="0" applyNumberFormat="1" applyFont="1"/>
    <xf numFmtId="2" fontId="32" fillId="0" borderId="0" xfId="0" applyNumberFormat="1" applyFont="1" applyAlignment="1">
      <alignment horizontal="center"/>
    </xf>
    <xf numFmtId="0" fontId="96" fillId="0" borderId="0" xfId="0" applyFont="1" applyFill="1" applyBorder="1"/>
    <xf numFmtId="0" fontId="20" fillId="0" borderId="0" xfId="0" applyFont="1" applyFill="1" applyBorder="1"/>
    <xf numFmtId="2" fontId="20" fillId="0" borderId="0" xfId="0" applyNumberFormat="1" applyFont="1" applyFill="1" applyBorder="1" applyAlignment="1">
      <alignment horizontal="center" readingOrder="1"/>
    </xf>
    <xf numFmtId="2" fontId="20" fillId="0" borderId="0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2" fontId="20" fillId="9" borderId="0" xfId="0" applyNumberFormat="1" applyFont="1" applyFill="1"/>
    <xf numFmtId="2" fontId="18" fillId="9" borderId="0" xfId="0" applyNumberFormat="1" applyFont="1" applyFill="1" applyBorder="1" applyAlignment="1">
      <alignment horizontal="center" vertical="center" wrapText="1" readingOrder="1"/>
    </xf>
    <xf numFmtId="168" fontId="0" fillId="0" borderId="0" xfId="0" applyNumberFormat="1" applyFill="1" applyBorder="1"/>
    <xf numFmtId="2" fontId="21" fillId="19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21" borderId="0" xfId="0" applyNumberFormat="1" applyFill="1" applyBorder="1" applyAlignment="1">
      <alignment horizontal="center" vertical="center"/>
    </xf>
    <xf numFmtId="11" fontId="21" fillId="8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center" vertical="center" wrapText="1"/>
    </xf>
    <xf numFmtId="0" fontId="39" fillId="0" borderId="15" xfId="0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0" fontId="39" fillId="0" borderId="13" xfId="0" applyFont="1" applyBorder="1" applyAlignment="1">
      <alignment horizontal="left" vertical="center" wrapText="1"/>
    </xf>
    <xf numFmtId="0" fontId="39" fillId="0" borderId="14" xfId="0" applyFont="1" applyBorder="1" applyAlignment="1">
      <alignment horizontal="left" vertical="center" wrapText="1"/>
    </xf>
    <xf numFmtId="0" fontId="39" fillId="0" borderId="6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99FF"/>
      <color rgb="FFA481C1"/>
      <color rgb="FF86A4C0"/>
      <color rgb="FFFF00FF"/>
      <color rgb="FFD3832B"/>
      <color rgb="FFABE286"/>
      <color rgb="FFFFABAB"/>
      <color rgb="FF599EA7"/>
      <color rgb="FFE49E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02543461637288"/>
          <c:y val="5.7269207352612067E-2"/>
          <c:w val="0.57625551345965498"/>
          <c:h val="0.81350892391873408"/>
        </c:manualLayout>
      </c:layout>
      <c:scatterChart>
        <c:scatterStyle val="lineMarker"/>
        <c:varyColors val="0"/>
        <c:ser>
          <c:idx val="3"/>
          <c:order val="0"/>
          <c:marker>
            <c:symbol val="none"/>
          </c:marker>
          <c:yVal>
            <c:numRef>
              <c:f>'[2]динамика изотопов в ТЦ'!$N$6:$N$35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2.7790091768569188E+21</c:v>
                </c:pt>
                <c:pt idx="2">
                  <c:v>2.7790091768569193E+21</c:v>
                </c:pt>
                <c:pt idx="3">
                  <c:v>2.7790091768569203E+21</c:v>
                </c:pt>
                <c:pt idx="4">
                  <c:v>2.7790091768569214E+21</c:v>
                </c:pt>
                <c:pt idx="5">
                  <c:v>2.7790091768569219E+21</c:v>
                </c:pt>
                <c:pt idx="6">
                  <c:v>2.7790091768569229E+21</c:v>
                </c:pt>
                <c:pt idx="7">
                  <c:v>2.7790091768569245E+21</c:v>
                </c:pt>
                <c:pt idx="8">
                  <c:v>2.7790091768569256E+21</c:v>
                </c:pt>
                <c:pt idx="9">
                  <c:v>2.7790091768569271E+21</c:v>
                </c:pt>
                <c:pt idx="10">
                  <c:v>2.7790091768569282E+21</c:v>
                </c:pt>
                <c:pt idx="11">
                  <c:v>2.7790091768569292E+21</c:v>
                </c:pt>
                <c:pt idx="12">
                  <c:v>2.7790091768569292E+21</c:v>
                </c:pt>
                <c:pt idx="13">
                  <c:v>2.7790091768569292E+21</c:v>
                </c:pt>
                <c:pt idx="14">
                  <c:v>2.7790091768569292E+21</c:v>
                </c:pt>
                <c:pt idx="15">
                  <c:v>2.7790091768569292E+21</c:v>
                </c:pt>
                <c:pt idx="16">
                  <c:v>2.7790091768569292E+21</c:v>
                </c:pt>
                <c:pt idx="17">
                  <c:v>2.7790091768569292E+21</c:v>
                </c:pt>
                <c:pt idx="18">
                  <c:v>2.7790091768569292E+21</c:v>
                </c:pt>
                <c:pt idx="19">
                  <c:v>2.7790091768569292E+21</c:v>
                </c:pt>
                <c:pt idx="20">
                  <c:v>2.7790091768569292E+21</c:v>
                </c:pt>
                <c:pt idx="21">
                  <c:v>2.7790091768569292E+21</c:v>
                </c:pt>
                <c:pt idx="22">
                  <c:v>2.7790091768569292E+21</c:v>
                </c:pt>
                <c:pt idx="23">
                  <c:v>2.7790091768569292E+21</c:v>
                </c:pt>
                <c:pt idx="24">
                  <c:v>2.7790091768569292E+21</c:v>
                </c:pt>
                <c:pt idx="25">
                  <c:v>2.7790091768569292E+21</c:v>
                </c:pt>
                <c:pt idx="26">
                  <c:v>2.7790091768569292E+21</c:v>
                </c:pt>
                <c:pt idx="27">
                  <c:v>2.7790091768569292E+21</c:v>
                </c:pt>
                <c:pt idx="28">
                  <c:v>2.7790091768569292E+21</c:v>
                </c:pt>
                <c:pt idx="29">
                  <c:v>2.7790091768569292E+21</c:v>
                </c:pt>
              </c:numCache>
            </c:numRef>
          </c:yVal>
          <c:smooth val="0"/>
        </c:ser>
        <c:ser>
          <c:idx val="4"/>
          <c:order val="1"/>
          <c:marker>
            <c:symbol val="none"/>
          </c:marker>
          <c:yVal>
            <c:numRef>
              <c:f>'[2]динамика изотопов в ТЦ'!$O$6:$O$35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2.7790091768569188E+21</c:v>
                </c:pt>
                <c:pt idx="2">
                  <c:v>2.7790091768569193E+21</c:v>
                </c:pt>
                <c:pt idx="3">
                  <c:v>2.7790091768569203E+21</c:v>
                </c:pt>
                <c:pt idx="4">
                  <c:v>2.7790091768569214E+21</c:v>
                </c:pt>
                <c:pt idx="5">
                  <c:v>2.7790091768569219E+21</c:v>
                </c:pt>
                <c:pt idx="6">
                  <c:v>2.7790091768569229E+21</c:v>
                </c:pt>
                <c:pt idx="7">
                  <c:v>2.7790091768569245E+21</c:v>
                </c:pt>
                <c:pt idx="8">
                  <c:v>2.7790091768569256E+21</c:v>
                </c:pt>
                <c:pt idx="9">
                  <c:v>2.7790091768569271E+21</c:v>
                </c:pt>
                <c:pt idx="10">
                  <c:v>2.7790091768569282E+21</c:v>
                </c:pt>
                <c:pt idx="11">
                  <c:v>2.7790091768569292E+21</c:v>
                </c:pt>
                <c:pt idx="12">
                  <c:v>2.7790091768569292E+21</c:v>
                </c:pt>
                <c:pt idx="13">
                  <c:v>2.7790091768569292E+21</c:v>
                </c:pt>
                <c:pt idx="14">
                  <c:v>2.7790091768569292E+21</c:v>
                </c:pt>
                <c:pt idx="15">
                  <c:v>2.7790091768569292E+21</c:v>
                </c:pt>
                <c:pt idx="16">
                  <c:v>2.7790091768569292E+21</c:v>
                </c:pt>
                <c:pt idx="17">
                  <c:v>2.7790091768569292E+21</c:v>
                </c:pt>
                <c:pt idx="18">
                  <c:v>2.7790091768569292E+21</c:v>
                </c:pt>
                <c:pt idx="19">
                  <c:v>2.7790091768569292E+21</c:v>
                </c:pt>
                <c:pt idx="20">
                  <c:v>2.7790091768569292E+21</c:v>
                </c:pt>
                <c:pt idx="21">
                  <c:v>2.7790091768569292E+21</c:v>
                </c:pt>
                <c:pt idx="22">
                  <c:v>2.7790091768569292E+21</c:v>
                </c:pt>
                <c:pt idx="23">
                  <c:v>2.7790091768569292E+21</c:v>
                </c:pt>
                <c:pt idx="24">
                  <c:v>2.7790091768569292E+21</c:v>
                </c:pt>
                <c:pt idx="25">
                  <c:v>2.7790091768569292E+21</c:v>
                </c:pt>
                <c:pt idx="26">
                  <c:v>2.7790091768569292E+21</c:v>
                </c:pt>
                <c:pt idx="27">
                  <c:v>2.7790091768569292E+21</c:v>
                </c:pt>
                <c:pt idx="28">
                  <c:v>2.7790091768569292E+21</c:v>
                </c:pt>
                <c:pt idx="29">
                  <c:v>2.7790091768569292E+21</c:v>
                </c:pt>
              </c:numCache>
            </c:numRef>
          </c:yVal>
          <c:smooth val="0"/>
        </c:ser>
        <c:ser>
          <c:idx val="5"/>
          <c:order val="2"/>
          <c:marker>
            <c:symbol val="none"/>
          </c:marker>
          <c:yVal>
            <c:numRef>
              <c:f>'[2]динамика изотопов в ТЦ'!$P$6:$P$35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2.7790091768569188E+21</c:v>
                </c:pt>
                <c:pt idx="2">
                  <c:v>2.7790091768569193E+21</c:v>
                </c:pt>
                <c:pt idx="3">
                  <c:v>2.7790091768569198E+21</c:v>
                </c:pt>
                <c:pt idx="4">
                  <c:v>2.7790091768569198E+21</c:v>
                </c:pt>
                <c:pt idx="5">
                  <c:v>2.7790091768569198E+21</c:v>
                </c:pt>
                <c:pt idx="6">
                  <c:v>2.7790091768569198E+21</c:v>
                </c:pt>
                <c:pt idx="7">
                  <c:v>2.7790091768569198E+21</c:v>
                </c:pt>
                <c:pt idx="8">
                  <c:v>2.7790091768569198E+21</c:v>
                </c:pt>
                <c:pt idx="9">
                  <c:v>2.7790091768569198E+21</c:v>
                </c:pt>
                <c:pt idx="10">
                  <c:v>2.7790091768569198E+21</c:v>
                </c:pt>
                <c:pt idx="11">
                  <c:v>2.7790091768569198E+21</c:v>
                </c:pt>
                <c:pt idx="12">
                  <c:v>2.7790091768569198E+21</c:v>
                </c:pt>
                <c:pt idx="13">
                  <c:v>2.7790091768569198E+21</c:v>
                </c:pt>
                <c:pt idx="14">
                  <c:v>2.7790091768569198E+21</c:v>
                </c:pt>
                <c:pt idx="15">
                  <c:v>2.7790091768569198E+21</c:v>
                </c:pt>
                <c:pt idx="16">
                  <c:v>2.7790091768569198E+21</c:v>
                </c:pt>
                <c:pt idx="17">
                  <c:v>2.7790091768569198E+21</c:v>
                </c:pt>
                <c:pt idx="18">
                  <c:v>2.7790091768569198E+21</c:v>
                </c:pt>
                <c:pt idx="19">
                  <c:v>2.7790091768569198E+21</c:v>
                </c:pt>
                <c:pt idx="20">
                  <c:v>2.7790091768569198E+21</c:v>
                </c:pt>
                <c:pt idx="21">
                  <c:v>2.7790091768569198E+21</c:v>
                </c:pt>
                <c:pt idx="22">
                  <c:v>2.7790091768569198E+21</c:v>
                </c:pt>
                <c:pt idx="23">
                  <c:v>2.7790091768569198E+21</c:v>
                </c:pt>
                <c:pt idx="24">
                  <c:v>2.7790091768569198E+21</c:v>
                </c:pt>
                <c:pt idx="25">
                  <c:v>2.7790091768569198E+21</c:v>
                </c:pt>
                <c:pt idx="26">
                  <c:v>2.7790091768569198E+21</c:v>
                </c:pt>
                <c:pt idx="27">
                  <c:v>2.7790091768569198E+21</c:v>
                </c:pt>
                <c:pt idx="28">
                  <c:v>2.7790091768569198E+21</c:v>
                </c:pt>
                <c:pt idx="29">
                  <c:v>2.7790091768569198E+21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13408"/>
        <c:axId val="96511104"/>
      </c:scatterChart>
      <c:valAx>
        <c:axId val="96513408"/>
        <c:scaling>
          <c:orientation val="minMax"/>
          <c:max val="30"/>
        </c:scaling>
        <c:delete val="0"/>
        <c:axPos val="b"/>
        <c:numFmt formatCode="#,##0" sourceLinked="0"/>
        <c:majorTickMark val="out"/>
        <c:minorTickMark val="none"/>
        <c:tickLblPos val="nextTo"/>
        <c:crossAx val="96511104"/>
        <c:crosses val="autoZero"/>
        <c:crossBetween val="midCat"/>
      </c:valAx>
      <c:valAx>
        <c:axId val="965111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ru-RU"/>
          </a:p>
        </c:txPr>
        <c:crossAx val="9651340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46987981878478"/>
          <c:y val="6.2628156376774463E-2"/>
          <c:w val="0.59319669301066835"/>
          <c:h val="0.80747431295035255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rgbClr val="92D050"/>
              </a:solidFill>
            </a:ln>
          </c:spPr>
          <c:marker>
            <c:symbol val="none"/>
          </c:marker>
          <c:yVal>
            <c:numRef>
              <c:f>'[2]динамика изотопов в ТЦ'!$Q$6:$Q$35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2.7790091768569188E+21</c:v>
                </c:pt>
                <c:pt idx="2">
                  <c:v>2.7790091768569193E+21</c:v>
                </c:pt>
                <c:pt idx="3">
                  <c:v>2.7790091768569203E+21</c:v>
                </c:pt>
                <c:pt idx="4">
                  <c:v>2.7790091768569214E+21</c:v>
                </c:pt>
                <c:pt idx="5">
                  <c:v>2.7790091768569219E+21</c:v>
                </c:pt>
                <c:pt idx="6">
                  <c:v>2.7790091768569229E+21</c:v>
                </c:pt>
                <c:pt idx="7">
                  <c:v>2.7790091768569245E+21</c:v>
                </c:pt>
                <c:pt idx="8">
                  <c:v>2.7790091768569256E+21</c:v>
                </c:pt>
                <c:pt idx="9">
                  <c:v>2.7790091768569271E+21</c:v>
                </c:pt>
                <c:pt idx="10">
                  <c:v>2.7790091768569282E+21</c:v>
                </c:pt>
                <c:pt idx="11">
                  <c:v>2.7790091768569292E+21</c:v>
                </c:pt>
                <c:pt idx="12">
                  <c:v>2.7790091768569292E+21</c:v>
                </c:pt>
                <c:pt idx="13">
                  <c:v>2.7790091768569292E+21</c:v>
                </c:pt>
                <c:pt idx="14">
                  <c:v>2.7790091768569292E+21</c:v>
                </c:pt>
                <c:pt idx="15">
                  <c:v>2.7790091768569292E+21</c:v>
                </c:pt>
                <c:pt idx="16">
                  <c:v>2.7790091768569292E+21</c:v>
                </c:pt>
                <c:pt idx="17">
                  <c:v>2.7790091768569292E+21</c:v>
                </c:pt>
                <c:pt idx="18">
                  <c:v>2.7790091768569292E+21</c:v>
                </c:pt>
                <c:pt idx="19">
                  <c:v>2.7790091768569292E+21</c:v>
                </c:pt>
                <c:pt idx="20">
                  <c:v>2.7790091768569292E+21</c:v>
                </c:pt>
                <c:pt idx="21">
                  <c:v>2.7790091768569292E+21</c:v>
                </c:pt>
                <c:pt idx="22">
                  <c:v>2.7790091768569292E+21</c:v>
                </c:pt>
                <c:pt idx="23">
                  <c:v>2.7790091768569292E+21</c:v>
                </c:pt>
                <c:pt idx="24">
                  <c:v>2.7790091768569292E+21</c:v>
                </c:pt>
                <c:pt idx="25">
                  <c:v>2.7790091768569292E+21</c:v>
                </c:pt>
                <c:pt idx="26">
                  <c:v>2.7790091768569292E+21</c:v>
                </c:pt>
                <c:pt idx="27">
                  <c:v>2.7790091768569292E+21</c:v>
                </c:pt>
                <c:pt idx="28">
                  <c:v>2.7790091768569292E+21</c:v>
                </c:pt>
                <c:pt idx="29">
                  <c:v>2.7790091768569292E+21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yVal>
            <c:numRef>
              <c:f>'[2]динамика изотопов в ТЦ'!$R$6:$R$35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2.7790091768569188E+21</c:v>
                </c:pt>
                <c:pt idx="2">
                  <c:v>2.7790091768569193E+21</c:v>
                </c:pt>
                <c:pt idx="3">
                  <c:v>2.7790091768569203E+21</c:v>
                </c:pt>
                <c:pt idx="4">
                  <c:v>2.7790091768569214E+21</c:v>
                </c:pt>
                <c:pt idx="5">
                  <c:v>2.7790091768569219E+21</c:v>
                </c:pt>
                <c:pt idx="6">
                  <c:v>2.7790091768569229E+21</c:v>
                </c:pt>
                <c:pt idx="7">
                  <c:v>2.7790091768569245E+21</c:v>
                </c:pt>
                <c:pt idx="8">
                  <c:v>2.7790091768569256E+21</c:v>
                </c:pt>
                <c:pt idx="9">
                  <c:v>2.7790091768569271E+21</c:v>
                </c:pt>
                <c:pt idx="10">
                  <c:v>2.7790091768569282E+21</c:v>
                </c:pt>
                <c:pt idx="11">
                  <c:v>2.7790091768569292E+21</c:v>
                </c:pt>
                <c:pt idx="12">
                  <c:v>2.7790091768569292E+21</c:v>
                </c:pt>
                <c:pt idx="13">
                  <c:v>2.7790091768569292E+21</c:v>
                </c:pt>
                <c:pt idx="14">
                  <c:v>2.7790091768569292E+21</c:v>
                </c:pt>
                <c:pt idx="15">
                  <c:v>2.7790091768569292E+21</c:v>
                </c:pt>
                <c:pt idx="16">
                  <c:v>2.7790091768569292E+21</c:v>
                </c:pt>
                <c:pt idx="17">
                  <c:v>2.7790091768569292E+21</c:v>
                </c:pt>
                <c:pt idx="18">
                  <c:v>2.7790091768569292E+21</c:v>
                </c:pt>
                <c:pt idx="19">
                  <c:v>2.7790091768569292E+21</c:v>
                </c:pt>
                <c:pt idx="20">
                  <c:v>2.7790091768569292E+21</c:v>
                </c:pt>
                <c:pt idx="21">
                  <c:v>2.7790091768569292E+21</c:v>
                </c:pt>
                <c:pt idx="22">
                  <c:v>2.7790091768569292E+21</c:v>
                </c:pt>
                <c:pt idx="23">
                  <c:v>2.7790091768569292E+21</c:v>
                </c:pt>
                <c:pt idx="24">
                  <c:v>2.7790091768569292E+21</c:v>
                </c:pt>
                <c:pt idx="25">
                  <c:v>2.7790091768569292E+21</c:v>
                </c:pt>
                <c:pt idx="26">
                  <c:v>2.7790091768569292E+21</c:v>
                </c:pt>
                <c:pt idx="27">
                  <c:v>2.7790091768569292E+21</c:v>
                </c:pt>
                <c:pt idx="28">
                  <c:v>2.7790091768569292E+21</c:v>
                </c:pt>
                <c:pt idx="29">
                  <c:v>2.7790091768569292E+21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FFC000"/>
              </a:solidFill>
            </a:ln>
          </c:spPr>
          <c:marker>
            <c:symbol val="none"/>
          </c:marker>
          <c:yVal>
            <c:numRef>
              <c:f>'[2]динамика изотопов в ТЦ'!$S$6:$S$35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2.7790091768569182E+21</c:v>
                </c:pt>
                <c:pt idx="2">
                  <c:v>2.7790091768569193E+21</c:v>
                </c:pt>
                <c:pt idx="3">
                  <c:v>2.7790091768569198E+21</c:v>
                </c:pt>
                <c:pt idx="4">
                  <c:v>2.7790091768569198E+21</c:v>
                </c:pt>
                <c:pt idx="5">
                  <c:v>2.7790091768569198E+21</c:v>
                </c:pt>
                <c:pt idx="6">
                  <c:v>2.7790091768569198E+21</c:v>
                </c:pt>
                <c:pt idx="7">
                  <c:v>2.7790091768569198E+21</c:v>
                </c:pt>
                <c:pt idx="8">
                  <c:v>2.7790091768569198E+21</c:v>
                </c:pt>
                <c:pt idx="9">
                  <c:v>2.7790091768569198E+21</c:v>
                </c:pt>
                <c:pt idx="10">
                  <c:v>2.7790091768569198E+21</c:v>
                </c:pt>
                <c:pt idx="11">
                  <c:v>2.7790091768569198E+21</c:v>
                </c:pt>
                <c:pt idx="12">
                  <c:v>2.7790091768569198E+21</c:v>
                </c:pt>
                <c:pt idx="13">
                  <c:v>2.7790091768569198E+21</c:v>
                </c:pt>
                <c:pt idx="14">
                  <c:v>2.7790091768569198E+21</c:v>
                </c:pt>
                <c:pt idx="15">
                  <c:v>2.7790091768569198E+21</c:v>
                </c:pt>
                <c:pt idx="16">
                  <c:v>2.7790091768569198E+21</c:v>
                </c:pt>
                <c:pt idx="17">
                  <c:v>2.7790091768569198E+21</c:v>
                </c:pt>
                <c:pt idx="18">
                  <c:v>2.7790091768569198E+21</c:v>
                </c:pt>
                <c:pt idx="19">
                  <c:v>2.7790091768569198E+21</c:v>
                </c:pt>
                <c:pt idx="20">
                  <c:v>2.7790091768569198E+21</c:v>
                </c:pt>
                <c:pt idx="21">
                  <c:v>2.7790091768569198E+21</c:v>
                </c:pt>
                <c:pt idx="22">
                  <c:v>2.7790091768569198E+21</c:v>
                </c:pt>
                <c:pt idx="23">
                  <c:v>2.7790091768569198E+21</c:v>
                </c:pt>
                <c:pt idx="24">
                  <c:v>2.7790091768569198E+21</c:v>
                </c:pt>
                <c:pt idx="25">
                  <c:v>2.7790091768569198E+21</c:v>
                </c:pt>
                <c:pt idx="26">
                  <c:v>2.7790091768569198E+21</c:v>
                </c:pt>
                <c:pt idx="27">
                  <c:v>2.7790091768569198E+21</c:v>
                </c:pt>
                <c:pt idx="28">
                  <c:v>2.7790091768569198E+21</c:v>
                </c:pt>
                <c:pt idx="29">
                  <c:v>2.7790091768569198E+21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15136"/>
        <c:axId val="96515712"/>
      </c:scatterChart>
      <c:valAx>
        <c:axId val="96515136"/>
        <c:scaling>
          <c:orientation val="minMax"/>
          <c:max val="30"/>
        </c:scaling>
        <c:delete val="0"/>
        <c:axPos val="b"/>
        <c:numFmt formatCode="#,##0" sourceLinked="0"/>
        <c:majorTickMark val="out"/>
        <c:minorTickMark val="none"/>
        <c:tickLblPos val="nextTo"/>
        <c:crossAx val="96515712"/>
        <c:crosses val="autoZero"/>
        <c:crossBetween val="midCat"/>
      </c:valAx>
      <c:valAx>
        <c:axId val="96515712"/>
        <c:scaling>
          <c:orientation val="minMax"/>
        </c:scaling>
        <c:delete val="0"/>
        <c:axPos val="r"/>
        <c:majorGridlines/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0070C0"/>
                </a:solidFill>
              </a:defRPr>
            </a:pPr>
            <a:endParaRPr lang="ru-RU"/>
          </a:p>
        </c:txPr>
        <c:crossAx val="96515136"/>
        <c:crosses val="max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2490290940846"/>
          <c:y val="7.3843024525486745E-2"/>
          <c:w val="0.60000927521241643"/>
          <c:h val="0.85599177103971791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[1]результаты!$AB$10</c:f>
              <c:strCache>
                <c:ptCount val="1"/>
                <c:pt idx="0">
                  <c:v>ST_nb</c:v>
                </c:pt>
              </c:strCache>
            </c:strRef>
          </c:tx>
          <c:invertIfNegative val="0"/>
          <c:val>
            <c:numRef>
              <c:f>[1]результаты!$AG$10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1"/>
          <c:tx>
            <c:strRef>
              <c:f>[1]результаты!$AB$11</c:f>
              <c:strCache>
                <c:ptCount val="1"/>
                <c:pt idx="0">
                  <c:v>SD_nb</c:v>
                </c:pt>
              </c:strCache>
            </c:strRef>
          </c:tx>
          <c:invertIfNegative val="0"/>
          <c:val>
            <c:numRef>
              <c:f>[1]результаты!$AG$11</c:f>
              <c:numCache>
                <c:formatCode>0.00</c:formatCode>
                <c:ptCount val="1"/>
                <c:pt idx="0">
                  <c:v>37.5</c:v>
                </c:pt>
              </c:numCache>
            </c:numRef>
          </c:val>
        </c:ser>
        <c:ser>
          <c:idx val="1"/>
          <c:order val="2"/>
          <c:tx>
            <c:strRef>
              <c:f>[1]результаты!$AB$12</c:f>
              <c:strCache>
                <c:ptCount val="1"/>
                <c:pt idx="0">
                  <c:v>ST_pel</c:v>
                </c:pt>
              </c:strCache>
            </c:strRef>
          </c:tx>
          <c:invertIfNegative val="0"/>
          <c:val>
            <c:numRef>
              <c:f>[1]результаты!$AG$12</c:f>
              <c:numCache>
                <c:formatCode>0.00</c:formatCode>
                <c:ptCount val="1"/>
                <c:pt idx="0">
                  <c:v>35.890062857734634</c:v>
                </c:pt>
              </c:numCache>
            </c:numRef>
          </c:val>
        </c:ser>
        <c:ser>
          <c:idx val="2"/>
          <c:order val="3"/>
          <c:tx>
            <c:strRef>
              <c:f>[1]результаты!$AB$13</c:f>
              <c:strCache>
                <c:ptCount val="1"/>
                <c:pt idx="0">
                  <c:v>SD_pel</c:v>
                </c:pt>
              </c:strCache>
            </c:strRef>
          </c:tx>
          <c:invertIfNegative val="0"/>
          <c:val>
            <c:numRef>
              <c:f>[1]результаты!$AG$13</c:f>
              <c:numCache>
                <c:formatCode>0.00</c:formatCode>
                <c:ptCount val="1"/>
                <c:pt idx="0">
                  <c:v>28.082652252508275</c:v>
                </c:pt>
              </c:numCache>
            </c:numRef>
          </c:val>
        </c:ser>
        <c:ser>
          <c:idx val="3"/>
          <c:order val="4"/>
          <c:tx>
            <c:strRef>
              <c:f>[1]результаты!$AB$16</c:f>
              <c:strCache>
                <c:ptCount val="1"/>
                <c:pt idx="0">
                  <c:v>ST_sep</c:v>
                </c:pt>
              </c:strCache>
            </c:strRef>
          </c:tx>
          <c:invertIfNegative val="0"/>
          <c:val>
            <c:numRef>
              <c:f>[1]результаты!$AG$16</c:f>
              <c:numCache>
                <c:formatCode>0.00</c:formatCode>
                <c:ptCount val="1"/>
                <c:pt idx="0">
                  <c:v>111.864205682997</c:v>
                </c:pt>
              </c:numCache>
            </c:numRef>
          </c:val>
        </c:ser>
        <c:ser>
          <c:idx val="4"/>
          <c:order val="5"/>
          <c:tx>
            <c:strRef>
              <c:f>[1]результаты!$AB$17</c:f>
              <c:strCache>
                <c:ptCount val="1"/>
                <c:pt idx="0">
                  <c:v>SD_sep</c:v>
                </c:pt>
              </c:strCache>
            </c:strRef>
          </c:tx>
          <c:invertIfNegative val="0"/>
          <c:val>
            <c:numRef>
              <c:f>[1]результаты!$AG$17</c:f>
              <c:numCache>
                <c:formatCode>0.00</c:formatCode>
                <c:ptCount val="1"/>
                <c:pt idx="0">
                  <c:v>111.864205682997</c:v>
                </c:pt>
              </c:numCache>
            </c:numRef>
          </c:val>
        </c:ser>
        <c:ser>
          <c:idx val="5"/>
          <c:order val="6"/>
          <c:tx>
            <c:v>ST_out</c:v>
          </c:tx>
          <c:invertIfNegative val="0"/>
          <c:val>
            <c:numRef>
              <c:f>[1]результаты!$AG$20</c:f>
              <c:numCache>
                <c:formatCode>0.00</c:formatCode>
                <c:ptCount val="1"/>
                <c:pt idx="0">
                  <c:v>146.67668387595728</c:v>
                </c:pt>
              </c:numCache>
            </c:numRef>
          </c:val>
        </c:ser>
        <c:ser>
          <c:idx val="6"/>
          <c:order val="7"/>
          <c:tx>
            <c:v>SD_out</c:v>
          </c:tx>
          <c:invertIfNegative val="0"/>
          <c:val>
            <c:numRef>
              <c:f>[1]результаты!$AG$21</c:f>
              <c:numCache>
                <c:formatCode>0.00</c:formatCode>
                <c:ptCount val="1"/>
                <c:pt idx="0">
                  <c:v>176.36927327073093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01120"/>
        <c:axId val="97935360"/>
      </c:barChart>
      <c:catAx>
        <c:axId val="80901120"/>
        <c:scaling>
          <c:orientation val="minMax"/>
        </c:scaling>
        <c:delete val="1"/>
        <c:axPos val="b"/>
        <c:majorTickMark val="out"/>
        <c:minorTickMark val="none"/>
        <c:tickLblPos val="nextTo"/>
        <c:crossAx val="97935360"/>
        <c:crosses val="autoZero"/>
        <c:auto val="1"/>
        <c:lblAlgn val="ctr"/>
        <c:lblOffset val="100"/>
        <c:noMultiLvlLbl val="0"/>
      </c:catAx>
      <c:valAx>
        <c:axId val="9793536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0901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903531021529813"/>
          <c:y val="0.11473351545342544"/>
          <c:w val="0.24096468978470192"/>
          <c:h val="0.81250458830012218"/>
        </c:manualLayout>
      </c:layout>
      <c:overlay val="0"/>
    </c:legend>
    <c:plotVisOnly val="1"/>
    <c:dispBlanksAs val="gap"/>
    <c:showDLblsOverMax val="0"/>
  </c:chart>
  <c:spPr>
    <a:ln w="28575">
      <a:solidFill>
        <a:srgbClr val="FFC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2490290940846"/>
          <c:y val="7.3843024525486745E-2"/>
          <c:w val="0.60000927521241643"/>
          <c:h val="0.85599177103971791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[1]результаты!$AB$10</c:f>
              <c:strCache>
                <c:ptCount val="1"/>
                <c:pt idx="0">
                  <c:v>ST_nb</c:v>
                </c:pt>
              </c:strCache>
            </c:strRef>
          </c:tx>
          <c:invertIfNegative val="0"/>
          <c:val>
            <c:numRef>
              <c:f>[1]результаты!$AC$10</c:f>
              <c:numCache>
                <c:formatCode>0.00</c:formatCode>
                <c:ptCount val="1"/>
                <c:pt idx="0">
                  <c:v>18.75</c:v>
                </c:pt>
              </c:numCache>
            </c:numRef>
          </c:val>
        </c:ser>
        <c:ser>
          <c:idx val="0"/>
          <c:order val="1"/>
          <c:tx>
            <c:strRef>
              <c:f>[1]результаты!$AB$11</c:f>
              <c:strCache>
                <c:ptCount val="1"/>
                <c:pt idx="0">
                  <c:v>SD_nb</c:v>
                </c:pt>
              </c:strCache>
            </c:strRef>
          </c:tx>
          <c:invertIfNegative val="0"/>
          <c:val>
            <c:numRef>
              <c:f>[1]результаты!$AC$11</c:f>
              <c:numCache>
                <c:formatCode>0.00</c:formatCode>
                <c:ptCount val="1"/>
                <c:pt idx="0">
                  <c:v>18.75</c:v>
                </c:pt>
              </c:numCache>
            </c:numRef>
          </c:val>
        </c:ser>
        <c:ser>
          <c:idx val="1"/>
          <c:order val="2"/>
          <c:tx>
            <c:strRef>
              <c:f>[1]результаты!$AB$12</c:f>
              <c:strCache>
                <c:ptCount val="1"/>
                <c:pt idx="0">
                  <c:v>ST_pel</c:v>
                </c:pt>
              </c:strCache>
            </c:strRef>
          </c:tx>
          <c:invertIfNegative val="0"/>
          <c:val>
            <c:numRef>
              <c:f>[1]результаты!$AC$12</c:f>
              <c:numCache>
                <c:formatCode>0.00</c:formatCode>
                <c:ptCount val="1"/>
                <c:pt idx="0">
                  <c:v>31.986357555121462</c:v>
                </c:pt>
              </c:numCache>
            </c:numRef>
          </c:val>
        </c:ser>
        <c:ser>
          <c:idx val="2"/>
          <c:order val="3"/>
          <c:tx>
            <c:strRef>
              <c:f>[1]результаты!$AB$13</c:f>
              <c:strCache>
                <c:ptCount val="1"/>
                <c:pt idx="0">
                  <c:v>SD_pel</c:v>
                </c:pt>
              </c:strCache>
            </c:strRef>
          </c:tx>
          <c:invertIfNegative val="0"/>
          <c:val>
            <c:numRef>
              <c:f>[1]результаты!$AC$13</c:f>
              <c:numCache>
                <c:formatCode>0.00</c:formatCode>
                <c:ptCount val="1"/>
                <c:pt idx="0">
                  <c:v>31.986357555121462</c:v>
                </c:pt>
              </c:numCache>
            </c:numRef>
          </c:val>
        </c:ser>
        <c:ser>
          <c:idx val="3"/>
          <c:order val="4"/>
          <c:tx>
            <c:strRef>
              <c:f>[1]результаты!$AB$16</c:f>
              <c:strCache>
                <c:ptCount val="1"/>
                <c:pt idx="0">
                  <c:v>ST_sep</c:v>
                </c:pt>
              </c:strCache>
            </c:strRef>
          </c:tx>
          <c:invertIfNegative val="0"/>
          <c:val>
            <c:numRef>
              <c:f>[1]результаты!$AC$16</c:f>
              <c:numCache>
                <c:formatCode>0.00</c:formatCode>
                <c:ptCount val="1"/>
                <c:pt idx="0">
                  <c:v>111.864205682997</c:v>
                </c:pt>
              </c:numCache>
            </c:numRef>
          </c:val>
        </c:ser>
        <c:ser>
          <c:idx val="4"/>
          <c:order val="5"/>
          <c:tx>
            <c:strRef>
              <c:f>[1]результаты!$AB$17</c:f>
              <c:strCache>
                <c:ptCount val="1"/>
                <c:pt idx="0">
                  <c:v>SD_sep</c:v>
                </c:pt>
              </c:strCache>
            </c:strRef>
          </c:tx>
          <c:invertIfNegative val="0"/>
          <c:val>
            <c:numRef>
              <c:f>[1]результаты!$AC$17</c:f>
              <c:numCache>
                <c:formatCode>0.00</c:formatCode>
                <c:ptCount val="1"/>
                <c:pt idx="0">
                  <c:v>111.864205682997</c:v>
                </c:pt>
              </c:numCache>
            </c:numRef>
          </c:val>
        </c:ser>
        <c:ser>
          <c:idx val="5"/>
          <c:order val="6"/>
          <c:tx>
            <c:v>ST_out</c:v>
          </c:tx>
          <c:invertIfNegative val="0"/>
          <c:val>
            <c:numRef>
              <c:f>[1]результаты!$AC$20</c:f>
              <c:numCache>
                <c:formatCode>0.00</c:formatCode>
                <c:ptCount val="1"/>
                <c:pt idx="0">
                  <c:v>161.52297857334412</c:v>
                </c:pt>
              </c:numCache>
            </c:numRef>
          </c:val>
        </c:ser>
        <c:ser>
          <c:idx val="6"/>
          <c:order val="7"/>
          <c:tx>
            <c:v>SD_out</c:v>
          </c:tx>
          <c:invertIfNegative val="0"/>
          <c:val>
            <c:numRef>
              <c:f>[1]результаты!$AC$21</c:f>
              <c:numCache>
                <c:formatCode>0.00</c:formatCode>
                <c:ptCount val="1"/>
                <c:pt idx="0">
                  <c:v>161.52297857334412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02656"/>
        <c:axId val="97937664"/>
      </c:barChart>
      <c:catAx>
        <c:axId val="80902656"/>
        <c:scaling>
          <c:orientation val="minMax"/>
        </c:scaling>
        <c:delete val="1"/>
        <c:axPos val="b"/>
        <c:majorTickMark val="out"/>
        <c:minorTickMark val="none"/>
        <c:tickLblPos val="nextTo"/>
        <c:crossAx val="97937664"/>
        <c:crosses val="autoZero"/>
        <c:auto val="1"/>
        <c:lblAlgn val="ctr"/>
        <c:lblOffset val="100"/>
        <c:noMultiLvlLbl val="0"/>
      </c:catAx>
      <c:valAx>
        <c:axId val="9793766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0902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890689912933396"/>
          <c:y val="0.11630268363593264"/>
          <c:w val="0.24109310087066604"/>
          <c:h val="0.81250458830012218"/>
        </c:manualLayout>
      </c:layout>
      <c:overlay val="0"/>
    </c:legend>
    <c:plotVisOnly val="1"/>
    <c:dispBlanksAs val="gap"/>
    <c:showDLblsOverMax val="0"/>
  </c:chart>
  <c:spPr>
    <a:ln w="28575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2490290940846"/>
          <c:y val="7.3843024525486745E-2"/>
          <c:w val="0.56895720237229752"/>
          <c:h val="0.85599177103971791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[1]результаты!$AB$10</c:f>
              <c:strCache>
                <c:ptCount val="1"/>
                <c:pt idx="0">
                  <c:v>ST_nb</c:v>
                </c:pt>
              </c:strCache>
            </c:strRef>
          </c:tx>
          <c:invertIfNegative val="0"/>
          <c:val>
            <c:numRef>
              <c:f>[1]результаты!$AE$10</c:f>
              <c:numCache>
                <c:formatCode>0.00</c:formatCode>
                <c:ptCount val="1"/>
                <c:pt idx="0">
                  <c:v>18.75</c:v>
                </c:pt>
              </c:numCache>
            </c:numRef>
          </c:val>
        </c:ser>
        <c:ser>
          <c:idx val="0"/>
          <c:order val="1"/>
          <c:tx>
            <c:strRef>
              <c:f>[1]результаты!$AB$11</c:f>
              <c:strCache>
                <c:ptCount val="1"/>
                <c:pt idx="0">
                  <c:v>SD_nb</c:v>
                </c:pt>
              </c:strCache>
            </c:strRef>
          </c:tx>
          <c:invertIfNegative val="0"/>
          <c:val>
            <c:numRef>
              <c:f>[1]результаты!$AE$11</c:f>
              <c:numCache>
                <c:formatCode>0.00</c:formatCode>
                <c:ptCount val="1"/>
                <c:pt idx="0">
                  <c:v>18.75</c:v>
                </c:pt>
              </c:numCache>
            </c:numRef>
          </c:val>
        </c:ser>
        <c:ser>
          <c:idx val="1"/>
          <c:order val="2"/>
          <c:tx>
            <c:strRef>
              <c:f>[1]результаты!$AB$12</c:f>
              <c:strCache>
                <c:ptCount val="1"/>
                <c:pt idx="0">
                  <c:v>ST_pel</c:v>
                </c:pt>
              </c:strCache>
            </c:strRef>
          </c:tx>
          <c:invertIfNegative val="0"/>
          <c:val>
            <c:numRef>
              <c:f>[1]результаты!$AE$12</c:f>
              <c:numCache>
                <c:formatCode>0.00</c:formatCode>
                <c:ptCount val="1"/>
                <c:pt idx="0">
                  <c:v>31.986357555121462</c:v>
                </c:pt>
              </c:numCache>
            </c:numRef>
          </c:val>
        </c:ser>
        <c:ser>
          <c:idx val="2"/>
          <c:order val="3"/>
          <c:tx>
            <c:strRef>
              <c:f>[1]результаты!$AB$13</c:f>
              <c:strCache>
                <c:ptCount val="1"/>
                <c:pt idx="0">
                  <c:v>SD_pel</c:v>
                </c:pt>
              </c:strCache>
            </c:strRef>
          </c:tx>
          <c:invertIfNegative val="0"/>
          <c:val>
            <c:numRef>
              <c:f>[1]результаты!$AE$13</c:f>
              <c:numCache>
                <c:formatCode>0.00</c:formatCode>
                <c:ptCount val="1"/>
                <c:pt idx="0">
                  <c:v>31.986357555121462</c:v>
                </c:pt>
              </c:numCache>
            </c:numRef>
          </c:val>
        </c:ser>
        <c:ser>
          <c:idx val="3"/>
          <c:order val="4"/>
          <c:tx>
            <c:strRef>
              <c:f>[1]результаты!$AB$16</c:f>
              <c:strCache>
                <c:ptCount val="1"/>
                <c:pt idx="0">
                  <c:v>ST_sep</c:v>
                </c:pt>
              </c:strCache>
            </c:strRef>
          </c:tx>
          <c:invertIfNegative val="0"/>
          <c:val>
            <c:numRef>
              <c:f>[1]результаты!$AE$16</c:f>
              <c:numCache>
                <c:formatCode>0.00</c:formatCode>
                <c:ptCount val="1"/>
                <c:pt idx="0">
                  <c:v>111.864205682997</c:v>
                </c:pt>
              </c:numCache>
            </c:numRef>
          </c:val>
        </c:ser>
        <c:ser>
          <c:idx val="4"/>
          <c:order val="5"/>
          <c:tx>
            <c:strRef>
              <c:f>[1]результаты!$AB$17</c:f>
              <c:strCache>
                <c:ptCount val="1"/>
                <c:pt idx="0">
                  <c:v>SD_sep</c:v>
                </c:pt>
              </c:strCache>
            </c:strRef>
          </c:tx>
          <c:invertIfNegative val="0"/>
          <c:val>
            <c:numRef>
              <c:f>[1]результаты!$AE$17</c:f>
              <c:numCache>
                <c:formatCode>0.00</c:formatCode>
                <c:ptCount val="1"/>
                <c:pt idx="0">
                  <c:v>111.864205682997</c:v>
                </c:pt>
              </c:numCache>
            </c:numRef>
          </c:val>
        </c:ser>
        <c:ser>
          <c:idx val="5"/>
          <c:order val="6"/>
          <c:invertIfNegative val="0"/>
          <c:val>
            <c:numRef>
              <c:f>[1]результаты!$AE$20</c:f>
              <c:numCache>
                <c:formatCode>0.00</c:formatCode>
                <c:ptCount val="1"/>
                <c:pt idx="0">
                  <c:v>161.52297857334412</c:v>
                </c:pt>
              </c:numCache>
            </c:numRef>
          </c:val>
        </c:ser>
        <c:ser>
          <c:idx val="6"/>
          <c:order val="7"/>
          <c:invertIfNegative val="0"/>
          <c:val>
            <c:numRef>
              <c:f>[1]результаты!$AE$21</c:f>
              <c:numCache>
                <c:formatCode>0.00</c:formatCode>
                <c:ptCount val="1"/>
                <c:pt idx="0">
                  <c:v>161.52297857334412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76704"/>
        <c:axId val="97940544"/>
      </c:barChart>
      <c:catAx>
        <c:axId val="91976704"/>
        <c:scaling>
          <c:orientation val="minMax"/>
        </c:scaling>
        <c:delete val="1"/>
        <c:axPos val="b"/>
        <c:majorTickMark val="out"/>
        <c:minorTickMark val="none"/>
        <c:tickLblPos val="nextTo"/>
        <c:crossAx val="97940544"/>
        <c:crosses val="autoZero"/>
        <c:auto val="1"/>
        <c:lblAlgn val="ctr"/>
        <c:lblOffset val="100"/>
        <c:noMultiLvlLbl val="0"/>
      </c:catAx>
      <c:valAx>
        <c:axId val="9794054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1976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321146122799906"/>
          <c:y val="6.5753923967901265E-2"/>
          <c:w val="0.28678853877200094"/>
          <c:h val="0.81250458830012218"/>
        </c:manualLayout>
      </c:layout>
      <c:overlay val="0"/>
    </c:legend>
    <c:plotVisOnly val="1"/>
    <c:dispBlanksAs val="gap"/>
    <c:showDLblsOverMax val="0"/>
  </c:chart>
  <c:spPr>
    <a:ln w="28575">
      <a:solidFill>
        <a:srgbClr val="00B0F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229741389255473"/>
          <c:y val="5.567636145528837E-2"/>
          <c:w val="0.55193763649565042"/>
          <c:h val="0.81869585698722502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rgbClr val="92D050"/>
              </a:solidFill>
            </a:ln>
          </c:spPr>
          <c:marker>
            <c:symbol val="none"/>
          </c:marker>
          <c:yVal>
            <c:numRef>
              <c:f>'[2]динамика изотопов в ТЦ'!$J$6:$J$35</c:f>
              <c:numCache>
                <c:formatCode>0.00E+00</c:formatCode>
                <c:ptCount val="30"/>
                <c:pt idx="0">
                  <c:v>4.5922650200064737E+19</c:v>
                </c:pt>
                <c:pt idx="1">
                  <c:v>4.5922650200064754E+19</c:v>
                </c:pt>
                <c:pt idx="2">
                  <c:v>4.5922650200064762E+19</c:v>
                </c:pt>
                <c:pt idx="3">
                  <c:v>4.5922650200064778E+19</c:v>
                </c:pt>
                <c:pt idx="4">
                  <c:v>4.5922650200064803E+19</c:v>
                </c:pt>
                <c:pt idx="5">
                  <c:v>4.5922650200064811E+19</c:v>
                </c:pt>
                <c:pt idx="6">
                  <c:v>4.5922650200064827E+19</c:v>
                </c:pt>
                <c:pt idx="7">
                  <c:v>4.5922650200064852E+19</c:v>
                </c:pt>
                <c:pt idx="8">
                  <c:v>4.5922650200064868E+19</c:v>
                </c:pt>
                <c:pt idx="9">
                  <c:v>4.5922650200064893E+19</c:v>
                </c:pt>
                <c:pt idx="10">
                  <c:v>4.5922650200064909E+19</c:v>
                </c:pt>
                <c:pt idx="11">
                  <c:v>4.5922650200064926E+19</c:v>
                </c:pt>
                <c:pt idx="12">
                  <c:v>4.5922650200064926E+19</c:v>
                </c:pt>
                <c:pt idx="13">
                  <c:v>4.5922650200064926E+19</c:v>
                </c:pt>
                <c:pt idx="14">
                  <c:v>4.5922650200064926E+19</c:v>
                </c:pt>
                <c:pt idx="15">
                  <c:v>4.5922650200064926E+19</c:v>
                </c:pt>
                <c:pt idx="16">
                  <c:v>4.5922650200064926E+19</c:v>
                </c:pt>
                <c:pt idx="17">
                  <c:v>4.5922650200064926E+19</c:v>
                </c:pt>
                <c:pt idx="18">
                  <c:v>4.5922650200064926E+19</c:v>
                </c:pt>
                <c:pt idx="19">
                  <c:v>4.5922650200064926E+19</c:v>
                </c:pt>
                <c:pt idx="20">
                  <c:v>4.5922650200064926E+19</c:v>
                </c:pt>
                <c:pt idx="21">
                  <c:v>4.5922650200064926E+19</c:v>
                </c:pt>
                <c:pt idx="22">
                  <c:v>4.5922650200064926E+19</c:v>
                </c:pt>
                <c:pt idx="23">
                  <c:v>4.5922650200064926E+19</c:v>
                </c:pt>
                <c:pt idx="24">
                  <c:v>4.5922650200064926E+19</c:v>
                </c:pt>
                <c:pt idx="25">
                  <c:v>4.5922650200064926E+19</c:v>
                </c:pt>
                <c:pt idx="26">
                  <c:v>4.5922650200064926E+19</c:v>
                </c:pt>
                <c:pt idx="27">
                  <c:v>4.5922650200064926E+19</c:v>
                </c:pt>
                <c:pt idx="28">
                  <c:v>4.5922650200064926E+19</c:v>
                </c:pt>
                <c:pt idx="29">
                  <c:v>4.5922650200064926E+19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yVal>
            <c:numRef>
              <c:f>'[2]динамика изотопов в ТЦ'!$K$6:$K$35</c:f>
              <c:numCache>
                <c:formatCode>0.00E+00</c:formatCode>
                <c:ptCount val="30"/>
                <c:pt idx="0">
                  <c:v>4.5922650200064737E+19</c:v>
                </c:pt>
                <c:pt idx="1">
                  <c:v>4.5922650200064754E+19</c:v>
                </c:pt>
                <c:pt idx="2">
                  <c:v>4.5922650200064762E+19</c:v>
                </c:pt>
                <c:pt idx="3">
                  <c:v>4.5922650200064778E+19</c:v>
                </c:pt>
                <c:pt idx="4">
                  <c:v>4.5922650200064803E+19</c:v>
                </c:pt>
                <c:pt idx="5">
                  <c:v>4.5922650200064811E+19</c:v>
                </c:pt>
                <c:pt idx="6">
                  <c:v>4.5922650200064827E+19</c:v>
                </c:pt>
                <c:pt idx="7">
                  <c:v>4.5922650200064852E+19</c:v>
                </c:pt>
                <c:pt idx="8">
                  <c:v>4.5922650200064868E+19</c:v>
                </c:pt>
                <c:pt idx="9">
                  <c:v>4.5922650200064893E+19</c:v>
                </c:pt>
                <c:pt idx="10">
                  <c:v>4.5922650200064909E+19</c:v>
                </c:pt>
                <c:pt idx="11">
                  <c:v>4.5922650200064926E+19</c:v>
                </c:pt>
                <c:pt idx="12">
                  <c:v>4.5922650200064926E+19</c:v>
                </c:pt>
                <c:pt idx="13">
                  <c:v>4.5922650200064926E+19</c:v>
                </c:pt>
                <c:pt idx="14">
                  <c:v>4.5922650200064926E+19</c:v>
                </c:pt>
                <c:pt idx="15">
                  <c:v>4.5922650200064926E+19</c:v>
                </c:pt>
                <c:pt idx="16">
                  <c:v>4.5922650200064926E+19</c:v>
                </c:pt>
                <c:pt idx="17">
                  <c:v>4.5922650200064926E+19</c:v>
                </c:pt>
                <c:pt idx="18">
                  <c:v>4.5922650200064926E+19</c:v>
                </c:pt>
                <c:pt idx="19">
                  <c:v>4.5922650200064926E+19</c:v>
                </c:pt>
                <c:pt idx="20">
                  <c:v>4.5922650200064926E+19</c:v>
                </c:pt>
                <c:pt idx="21">
                  <c:v>4.5922650200064926E+19</c:v>
                </c:pt>
                <c:pt idx="22">
                  <c:v>4.5922650200064926E+19</c:v>
                </c:pt>
                <c:pt idx="23">
                  <c:v>4.5922650200064926E+19</c:v>
                </c:pt>
                <c:pt idx="24">
                  <c:v>4.5922650200064926E+19</c:v>
                </c:pt>
                <c:pt idx="25">
                  <c:v>4.5922650200064926E+19</c:v>
                </c:pt>
                <c:pt idx="26">
                  <c:v>4.5922650200064926E+19</c:v>
                </c:pt>
                <c:pt idx="27">
                  <c:v>4.5922650200064926E+19</c:v>
                </c:pt>
                <c:pt idx="28">
                  <c:v>4.5922650200064926E+19</c:v>
                </c:pt>
                <c:pt idx="29">
                  <c:v>4.5922650200064926E+19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FFC000"/>
              </a:solidFill>
            </a:ln>
          </c:spPr>
          <c:marker>
            <c:symbol val="none"/>
          </c:marker>
          <c:yVal>
            <c:numRef>
              <c:f>'[2]динамика изотопов в ТЦ'!$L$6:$L$35</c:f>
              <c:numCache>
                <c:formatCode>0.00E+00</c:formatCode>
                <c:ptCount val="30"/>
                <c:pt idx="0">
                  <c:v>4.5922650200064737E+19</c:v>
                </c:pt>
                <c:pt idx="1">
                  <c:v>4.5922650200064745E+19</c:v>
                </c:pt>
                <c:pt idx="2">
                  <c:v>4.5922650200064762E+19</c:v>
                </c:pt>
                <c:pt idx="3">
                  <c:v>4.592265020006477E+19</c:v>
                </c:pt>
                <c:pt idx="4">
                  <c:v>4.592265020006477E+19</c:v>
                </c:pt>
                <c:pt idx="5">
                  <c:v>4.592265020006477E+19</c:v>
                </c:pt>
                <c:pt idx="6">
                  <c:v>4.592265020006477E+19</c:v>
                </c:pt>
                <c:pt idx="7">
                  <c:v>4.592265020006477E+19</c:v>
                </c:pt>
                <c:pt idx="8">
                  <c:v>4.592265020006477E+19</c:v>
                </c:pt>
                <c:pt idx="9">
                  <c:v>4.592265020006477E+19</c:v>
                </c:pt>
                <c:pt idx="10">
                  <c:v>4.592265020006477E+19</c:v>
                </c:pt>
                <c:pt idx="11">
                  <c:v>4.592265020006477E+19</c:v>
                </c:pt>
                <c:pt idx="12">
                  <c:v>4.592265020006477E+19</c:v>
                </c:pt>
                <c:pt idx="13">
                  <c:v>4.592265020006477E+19</c:v>
                </c:pt>
                <c:pt idx="14">
                  <c:v>4.592265020006477E+19</c:v>
                </c:pt>
                <c:pt idx="15">
                  <c:v>4.592265020006477E+19</c:v>
                </c:pt>
                <c:pt idx="16">
                  <c:v>4.592265020006477E+19</c:v>
                </c:pt>
                <c:pt idx="17">
                  <c:v>4.592265020006477E+19</c:v>
                </c:pt>
                <c:pt idx="18">
                  <c:v>4.592265020006477E+19</c:v>
                </c:pt>
                <c:pt idx="19">
                  <c:v>4.592265020006477E+19</c:v>
                </c:pt>
                <c:pt idx="20">
                  <c:v>4.592265020006477E+19</c:v>
                </c:pt>
                <c:pt idx="21">
                  <c:v>4.592265020006477E+19</c:v>
                </c:pt>
                <c:pt idx="22">
                  <c:v>4.592265020006477E+19</c:v>
                </c:pt>
                <c:pt idx="23">
                  <c:v>4.592265020006477E+19</c:v>
                </c:pt>
                <c:pt idx="24">
                  <c:v>4.592265020006477E+19</c:v>
                </c:pt>
                <c:pt idx="25">
                  <c:v>4.592265020006477E+19</c:v>
                </c:pt>
                <c:pt idx="26">
                  <c:v>4.592265020006477E+19</c:v>
                </c:pt>
                <c:pt idx="27">
                  <c:v>4.592265020006477E+19</c:v>
                </c:pt>
                <c:pt idx="28">
                  <c:v>4.592265020006477E+19</c:v>
                </c:pt>
                <c:pt idx="29">
                  <c:v>4.592265020006477E+19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40736"/>
        <c:axId val="99144768"/>
      </c:scatterChart>
      <c:valAx>
        <c:axId val="99140736"/>
        <c:scaling>
          <c:orientation val="minMax"/>
          <c:max val="30"/>
        </c:scaling>
        <c:delete val="0"/>
        <c:axPos val="b"/>
        <c:numFmt formatCode="#,##0" sourceLinked="0"/>
        <c:majorTickMark val="out"/>
        <c:minorTickMark val="none"/>
        <c:tickLblPos val="nextTo"/>
        <c:crossAx val="99144768"/>
        <c:crosses val="autoZero"/>
        <c:crossBetween val="midCat"/>
      </c:valAx>
      <c:valAx>
        <c:axId val="991447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99140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chemeClr val="accent1"/>
              </a:solidFill>
            </a:ln>
          </c:spPr>
          <c:marker>
            <c:spPr>
              <a:ln>
                <a:solidFill>
                  <a:schemeClr val="accent1"/>
                </a:solidFill>
              </a:ln>
            </c:spPr>
          </c:marker>
          <c:yVal>
            <c:numRef>
              <c:f>('параметры для расчета'!$Q$54,'параметры для расчета'!$R$56)</c:f>
              <c:numCache>
                <c:formatCode>0.00%</c:formatCode>
                <c:ptCount val="2"/>
                <c:pt idx="0">
                  <c:v>0.65</c:v>
                </c:pt>
                <c:pt idx="1">
                  <c:v>0.35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yVal>
            <c:numRef>
              <c:f>('параметры для расчета'!$U$54,'параметры для расчета'!$V$56)</c:f>
              <c:numCache>
                <c:formatCode>0.00%</c:formatCode>
                <c:ptCount val="2"/>
                <c:pt idx="0">
                  <c:v>0.67</c:v>
                </c:pt>
                <c:pt idx="1">
                  <c:v>0.37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yVal>
            <c:numRef>
              <c:f>('параметры для расчета'!$P$53,'параметры для расчета'!$P$56)</c:f>
              <c:numCache>
                <c:formatCode>0.00%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47072"/>
        <c:axId val="104071168"/>
      </c:scatterChart>
      <c:valAx>
        <c:axId val="99147072"/>
        <c:scaling>
          <c:orientation val="minMax"/>
          <c:max val="2.1"/>
          <c:min val="0.9"/>
        </c:scaling>
        <c:delete val="1"/>
        <c:axPos val="b"/>
        <c:majorTickMark val="out"/>
        <c:minorTickMark val="none"/>
        <c:tickLblPos val="nextTo"/>
        <c:crossAx val="104071168"/>
        <c:crosses val="autoZero"/>
        <c:crossBetween val="midCat"/>
      </c:valAx>
      <c:valAx>
        <c:axId val="104071168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9147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368528992990866"/>
          <c:y val="7.6758172724125245E-2"/>
          <c:w val="0.67065408125506865"/>
          <c:h val="0.75004518324801139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rgbClr val="92D050"/>
              </a:solidFill>
            </a:ln>
          </c:spPr>
          <c:marker>
            <c:symbol val="none"/>
          </c:marker>
          <c:yVal>
            <c:numRef>
              <c:f>'[2]динамика изотопов в ТЦ'!$CW$6:$CW$35</c:f>
              <c:numCache>
                <c:formatCode>0.00E+00</c:formatCode>
                <c:ptCount val="30"/>
                <c:pt idx="0">
                  <c:v>9.1088742892719969E+21</c:v>
                </c:pt>
                <c:pt idx="1">
                  <c:v>9.1088742892719969E+21</c:v>
                </c:pt>
                <c:pt idx="2">
                  <c:v>9.1088742892719969E+21</c:v>
                </c:pt>
                <c:pt idx="3">
                  <c:v>9.1088742892719969E+21</c:v>
                </c:pt>
                <c:pt idx="4">
                  <c:v>9.1088742892719969E+21</c:v>
                </c:pt>
                <c:pt idx="5">
                  <c:v>9.1088742892719969E+21</c:v>
                </c:pt>
                <c:pt idx="6">
                  <c:v>9.1088742892719969E+21</c:v>
                </c:pt>
                <c:pt idx="7">
                  <c:v>9.1088742892719969E+21</c:v>
                </c:pt>
                <c:pt idx="8">
                  <c:v>9.1088742892719969E+21</c:v>
                </c:pt>
                <c:pt idx="9">
                  <c:v>9.1088742892719969E+21</c:v>
                </c:pt>
                <c:pt idx="10">
                  <c:v>9.1088742892719969E+21</c:v>
                </c:pt>
                <c:pt idx="11">
                  <c:v>9.1088742892719969E+21</c:v>
                </c:pt>
                <c:pt idx="12">
                  <c:v>9.1088742892719969E+21</c:v>
                </c:pt>
                <c:pt idx="13">
                  <c:v>9.1088742892719969E+21</c:v>
                </c:pt>
                <c:pt idx="14">
                  <c:v>9.1088742892719969E+21</c:v>
                </c:pt>
                <c:pt idx="15">
                  <c:v>9.1088742892719969E+21</c:v>
                </c:pt>
                <c:pt idx="16">
                  <c:v>9.1088742892719969E+21</c:v>
                </c:pt>
                <c:pt idx="17">
                  <c:v>9.1088742892719969E+21</c:v>
                </c:pt>
                <c:pt idx="18">
                  <c:v>9.1088742892719969E+21</c:v>
                </c:pt>
                <c:pt idx="19">
                  <c:v>9.1088742892719969E+21</c:v>
                </c:pt>
                <c:pt idx="20">
                  <c:v>9.1088742892719969E+21</c:v>
                </c:pt>
                <c:pt idx="21">
                  <c:v>9.1088742892719969E+21</c:v>
                </c:pt>
                <c:pt idx="22">
                  <c:v>9.1088742892719969E+21</c:v>
                </c:pt>
                <c:pt idx="23">
                  <c:v>9.1088742892719969E+21</c:v>
                </c:pt>
                <c:pt idx="24">
                  <c:v>9.1088742892719969E+21</c:v>
                </c:pt>
                <c:pt idx="25">
                  <c:v>9.1088742892719969E+21</c:v>
                </c:pt>
                <c:pt idx="26">
                  <c:v>9.1088742892719969E+21</c:v>
                </c:pt>
                <c:pt idx="27">
                  <c:v>9.1088742892719969E+21</c:v>
                </c:pt>
                <c:pt idx="28">
                  <c:v>9.1088742892719969E+21</c:v>
                </c:pt>
                <c:pt idx="29">
                  <c:v>9.1088742892719969E+21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yVal>
            <c:numRef>
              <c:f>'[2]динамика изотопов в ТЦ'!$CX$6:$CX$35</c:f>
              <c:numCache>
                <c:formatCode>0.00E+00</c:formatCode>
                <c:ptCount val="30"/>
                <c:pt idx="0">
                  <c:v>9.1088742892719969E+21</c:v>
                </c:pt>
                <c:pt idx="1">
                  <c:v>9.1088742892719969E+21</c:v>
                </c:pt>
                <c:pt idx="2">
                  <c:v>9.1088742892719969E+21</c:v>
                </c:pt>
                <c:pt idx="3">
                  <c:v>9.1088742892719969E+21</c:v>
                </c:pt>
                <c:pt idx="4">
                  <c:v>9.1088742892719969E+21</c:v>
                </c:pt>
                <c:pt idx="5">
                  <c:v>9.1088742892719969E+21</c:v>
                </c:pt>
                <c:pt idx="6">
                  <c:v>9.1088742892719969E+21</c:v>
                </c:pt>
                <c:pt idx="7">
                  <c:v>9.1088742892719969E+21</c:v>
                </c:pt>
                <c:pt idx="8">
                  <c:v>9.1088742892719969E+21</c:v>
                </c:pt>
                <c:pt idx="9">
                  <c:v>9.1088742892719969E+21</c:v>
                </c:pt>
                <c:pt idx="10">
                  <c:v>9.1088742892719969E+21</c:v>
                </c:pt>
                <c:pt idx="11">
                  <c:v>9.1088742892719969E+21</c:v>
                </c:pt>
                <c:pt idx="12">
                  <c:v>9.1088742892719969E+21</c:v>
                </c:pt>
                <c:pt idx="13">
                  <c:v>9.1088742892719969E+21</c:v>
                </c:pt>
                <c:pt idx="14">
                  <c:v>9.1088742892719969E+21</c:v>
                </c:pt>
                <c:pt idx="15">
                  <c:v>9.1088742892719969E+21</c:v>
                </c:pt>
                <c:pt idx="16">
                  <c:v>9.1088742892719969E+21</c:v>
                </c:pt>
                <c:pt idx="17">
                  <c:v>9.1088742892719969E+21</c:v>
                </c:pt>
                <c:pt idx="18">
                  <c:v>9.1088742892719969E+21</c:v>
                </c:pt>
                <c:pt idx="19">
                  <c:v>9.1088742892719969E+21</c:v>
                </c:pt>
                <c:pt idx="20">
                  <c:v>9.1088742892719969E+21</c:v>
                </c:pt>
                <c:pt idx="21">
                  <c:v>9.1088742892719969E+21</c:v>
                </c:pt>
                <c:pt idx="22">
                  <c:v>9.1088742892719969E+21</c:v>
                </c:pt>
                <c:pt idx="23">
                  <c:v>9.1088742892719969E+21</c:v>
                </c:pt>
                <c:pt idx="24">
                  <c:v>9.1088742892719969E+21</c:v>
                </c:pt>
                <c:pt idx="25">
                  <c:v>9.1088742892719969E+21</c:v>
                </c:pt>
                <c:pt idx="26">
                  <c:v>9.1088742892719969E+21</c:v>
                </c:pt>
                <c:pt idx="27">
                  <c:v>9.1088742892719969E+21</c:v>
                </c:pt>
                <c:pt idx="28">
                  <c:v>9.1088742892719969E+21</c:v>
                </c:pt>
                <c:pt idx="29">
                  <c:v>9.1088742892719969E+21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FFC000"/>
              </a:solidFill>
            </a:ln>
          </c:spPr>
          <c:marker>
            <c:symbol val="none"/>
          </c:marker>
          <c:yVal>
            <c:numRef>
              <c:f>'[2]динамика изотопов в ТЦ'!$CY$6:$CY$35</c:f>
              <c:numCache>
                <c:formatCode>0.00E+00</c:formatCode>
                <c:ptCount val="30"/>
                <c:pt idx="0">
                  <c:v>8.9439154593010318E+21</c:v>
                </c:pt>
                <c:pt idx="1">
                  <c:v>8.9439154593010318E+21</c:v>
                </c:pt>
                <c:pt idx="2">
                  <c:v>8.9439154593010318E+21</c:v>
                </c:pt>
                <c:pt idx="3">
                  <c:v>8.9439154593010318E+21</c:v>
                </c:pt>
                <c:pt idx="4">
                  <c:v>8.9439154593010318E+21</c:v>
                </c:pt>
                <c:pt idx="5">
                  <c:v>8.9439154593010318E+21</c:v>
                </c:pt>
                <c:pt idx="6">
                  <c:v>8.9439154593010318E+21</c:v>
                </c:pt>
                <c:pt idx="7">
                  <c:v>8.9439154593010318E+21</c:v>
                </c:pt>
                <c:pt idx="8">
                  <c:v>8.9439154593010318E+21</c:v>
                </c:pt>
                <c:pt idx="9">
                  <c:v>8.9439154593010318E+21</c:v>
                </c:pt>
                <c:pt idx="10">
                  <c:v>8.9439154593010318E+21</c:v>
                </c:pt>
                <c:pt idx="11">
                  <c:v>8.9439154593010318E+21</c:v>
                </c:pt>
                <c:pt idx="12">
                  <c:v>8.9439154593010318E+21</c:v>
                </c:pt>
                <c:pt idx="13">
                  <c:v>8.9439154593010318E+21</c:v>
                </c:pt>
                <c:pt idx="14">
                  <c:v>8.9439154593010318E+21</c:v>
                </c:pt>
                <c:pt idx="15">
                  <c:v>8.9439154593010318E+21</c:v>
                </c:pt>
                <c:pt idx="16">
                  <c:v>8.9439154593010318E+21</c:v>
                </c:pt>
                <c:pt idx="17">
                  <c:v>8.9439154593010318E+21</c:v>
                </c:pt>
                <c:pt idx="18">
                  <c:v>8.9439154593010318E+21</c:v>
                </c:pt>
                <c:pt idx="19">
                  <c:v>8.9439154593010318E+21</c:v>
                </c:pt>
                <c:pt idx="20">
                  <c:v>8.9439154593010318E+21</c:v>
                </c:pt>
                <c:pt idx="21">
                  <c:v>8.9439154593010318E+21</c:v>
                </c:pt>
                <c:pt idx="22">
                  <c:v>8.9439154593010318E+21</c:v>
                </c:pt>
                <c:pt idx="23">
                  <c:v>8.9439154593010318E+21</c:v>
                </c:pt>
                <c:pt idx="24">
                  <c:v>8.9439154593010318E+21</c:v>
                </c:pt>
                <c:pt idx="25">
                  <c:v>8.9439154593010318E+21</c:v>
                </c:pt>
                <c:pt idx="26">
                  <c:v>8.9439154593010318E+21</c:v>
                </c:pt>
                <c:pt idx="27">
                  <c:v>8.9439154593010318E+21</c:v>
                </c:pt>
                <c:pt idx="28">
                  <c:v>8.9439154593010318E+21</c:v>
                </c:pt>
                <c:pt idx="29">
                  <c:v>8.9439154593010318E+21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72320"/>
        <c:axId val="104072896"/>
      </c:scatterChart>
      <c:valAx>
        <c:axId val="104072320"/>
        <c:scaling>
          <c:orientation val="minMax"/>
          <c:max val="30"/>
        </c:scaling>
        <c:delete val="0"/>
        <c:axPos val="b"/>
        <c:numFmt formatCode="#,##0" sourceLinked="0"/>
        <c:majorTickMark val="out"/>
        <c:minorTickMark val="none"/>
        <c:tickLblPos val="nextTo"/>
        <c:crossAx val="104072896"/>
        <c:crosses val="autoZero"/>
        <c:crossBetween val="midCat"/>
      </c:valAx>
      <c:valAx>
        <c:axId val="1040728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4072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603018372703437"/>
          <c:y val="5.1400554097404488E-2"/>
          <c:w val="0.73807695913010873"/>
          <c:h val="0.89719889180519163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rgbClr val="92D050"/>
              </a:solidFill>
            </a:ln>
          </c:spPr>
          <c:marker>
            <c:symbol val="none"/>
          </c:marker>
          <c:yVal>
            <c:numRef>
              <c:f>'[2]динамика изотопов в ТЦ'!$CT$6:$CT$35</c:f>
              <c:numCache>
                <c:formatCode>0.00E+00</c:formatCode>
                <c:ptCount val="30"/>
                <c:pt idx="0">
                  <c:v>9.1088742892719969E+21</c:v>
                </c:pt>
                <c:pt idx="1">
                  <c:v>9.1088742892719969E+21</c:v>
                </c:pt>
                <c:pt idx="2">
                  <c:v>9.1088742892719969E+21</c:v>
                </c:pt>
                <c:pt idx="3">
                  <c:v>9.1088742892719969E+21</c:v>
                </c:pt>
                <c:pt idx="4">
                  <c:v>9.1088742892719969E+21</c:v>
                </c:pt>
                <c:pt idx="5">
                  <c:v>9.1088742892719969E+21</c:v>
                </c:pt>
                <c:pt idx="6">
                  <c:v>9.1088742892719969E+21</c:v>
                </c:pt>
                <c:pt idx="7">
                  <c:v>9.1088742892719969E+21</c:v>
                </c:pt>
                <c:pt idx="8">
                  <c:v>9.1088742892719969E+21</c:v>
                </c:pt>
                <c:pt idx="9">
                  <c:v>9.1088742892719969E+21</c:v>
                </c:pt>
                <c:pt idx="10">
                  <c:v>9.1088742892719969E+21</c:v>
                </c:pt>
                <c:pt idx="11">
                  <c:v>9.1088742892719969E+21</c:v>
                </c:pt>
                <c:pt idx="12">
                  <c:v>9.1088742892719969E+21</c:v>
                </c:pt>
                <c:pt idx="13">
                  <c:v>9.1088742892719969E+21</c:v>
                </c:pt>
                <c:pt idx="14">
                  <c:v>9.1088742892719969E+21</c:v>
                </c:pt>
                <c:pt idx="15">
                  <c:v>9.1088742892719969E+21</c:v>
                </c:pt>
                <c:pt idx="16">
                  <c:v>9.1088742892719969E+21</c:v>
                </c:pt>
                <c:pt idx="17">
                  <c:v>9.1088742892719969E+21</c:v>
                </c:pt>
                <c:pt idx="18">
                  <c:v>9.1088742892719969E+21</c:v>
                </c:pt>
                <c:pt idx="19">
                  <c:v>9.1088742892719969E+21</c:v>
                </c:pt>
                <c:pt idx="20">
                  <c:v>9.1088742892719969E+21</c:v>
                </c:pt>
                <c:pt idx="21">
                  <c:v>9.1088742892719969E+21</c:v>
                </c:pt>
                <c:pt idx="22">
                  <c:v>9.1088742892719969E+21</c:v>
                </c:pt>
                <c:pt idx="23">
                  <c:v>9.1088742892719969E+21</c:v>
                </c:pt>
                <c:pt idx="24">
                  <c:v>9.1088742892719969E+21</c:v>
                </c:pt>
                <c:pt idx="25">
                  <c:v>9.1088742892719969E+21</c:v>
                </c:pt>
                <c:pt idx="26">
                  <c:v>9.1088742892719969E+21</c:v>
                </c:pt>
                <c:pt idx="27">
                  <c:v>9.1088742892719969E+21</c:v>
                </c:pt>
                <c:pt idx="28">
                  <c:v>9.1088742892719969E+21</c:v>
                </c:pt>
                <c:pt idx="29">
                  <c:v>9.1088742892719969E+21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yVal>
            <c:numRef>
              <c:f>'[2]динамика изотопов в ТЦ'!$CU$6:$CU$35</c:f>
              <c:numCache>
                <c:formatCode>0.00E+00</c:formatCode>
                <c:ptCount val="30"/>
                <c:pt idx="0">
                  <c:v>9.1088742892719969E+21</c:v>
                </c:pt>
                <c:pt idx="1">
                  <c:v>9.1088742892719969E+21</c:v>
                </c:pt>
                <c:pt idx="2">
                  <c:v>9.1088742892719969E+21</c:v>
                </c:pt>
                <c:pt idx="3">
                  <c:v>9.1088742892719969E+21</c:v>
                </c:pt>
                <c:pt idx="4">
                  <c:v>9.1088742892719969E+21</c:v>
                </c:pt>
                <c:pt idx="5">
                  <c:v>9.1088742892719969E+21</c:v>
                </c:pt>
                <c:pt idx="6">
                  <c:v>9.1088742892719969E+21</c:v>
                </c:pt>
                <c:pt idx="7">
                  <c:v>9.1088742892719969E+21</c:v>
                </c:pt>
                <c:pt idx="8">
                  <c:v>9.1088742892719969E+21</c:v>
                </c:pt>
                <c:pt idx="9">
                  <c:v>9.1088742892719969E+21</c:v>
                </c:pt>
                <c:pt idx="10">
                  <c:v>9.1088742892719969E+21</c:v>
                </c:pt>
                <c:pt idx="11">
                  <c:v>9.1088742892719969E+21</c:v>
                </c:pt>
                <c:pt idx="12">
                  <c:v>9.1088742892719969E+21</c:v>
                </c:pt>
                <c:pt idx="13">
                  <c:v>9.1088742892719969E+21</c:v>
                </c:pt>
                <c:pt idx="14">
                  <c:v>9.1088742892719969E+21</c:v>
                </c:pt>
                <c:pt idx="15">
                  <c:v>9.1088742892719969E+21</c:v>
                </c:pt>
                <c:pt idx="16">
                  <c:v>9.1088742892719969E+21</c:v>
                </c:pt>
                <c:pt idx="17">
                  <c:v>9.1088742892719969E+21</c:v>
                </c:pt>
                <c:pt idx="18">
                  <c:v>9.1088742892719969E+21</c:v>
                </c:pt>
                <c:pt idx="19">
                  <c:v>9.1088742892719969E+21</c:v>
                </c:pt>
                <c:pt idx="20">
                  <c:v>9.1088742892719969E+21</c:v>
                </c:pt>
                <c:pt idx="21">
                  <c:v>9.1088742892719969E+21</c:v>
                </c:pt>
                <c:pt idx="22">
                  <c:v>9.1088742892719969E+21</c:v>
                </c:pt>
                <c:pt idx="23">
                  <c:v>9.1088742892719969E+21</c:v>
                </c:pt>
                <c:pt idx="24">
                  <c:v>9.1088742892719969E+21</c:v>
                </c:pt>
                <c:pt idx="25">
                  <c:v>9.1088742892719969E+21</c:v>
                </c:pt>
                <c:pt idx="26">
                  <c:v>9.1088742892719969E+21</c:v>
                </c:pt>
                <c:pt idx="27">
                  <c:v>9.1088742892719969E+21</c:v>
                </c:pt>
                <c:pt idx="28">
                  <c:v>9.1088742892719969E+21</c:v>
                </c:pt>
                <c:pt idx="29">
                  <c:v>9.1088742892719969E+21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FFC000"/>
              </a:solidFill>
            </a:ln>
          </c:spPr>
          <c:marker>
            <c:symbol val="none"/>
          </c:marker>
          <c:yVal>
            <c:numRef>
              <c:f>'[2]динамика изотопов в ТЦ'!$CV$6:$CV$35</c:f>
              <c:numCache>
                <c:formatCode>0.00E+00</c:formatCode>
                <c:ptCount val="30"/>
                <c:pt idx="0">
                  <c:v>9.2738331192429621E+21</c:v>
                </c:pt>
                <c:pt idx="1">
                  <c:v>9.2738331192429621E+21</c:v>
                </c:pt>
                <c:pt idx="2">
                  <c:v>9.2738331192429621E+21</c:v>
                </c:pt>
                <c:pt idx="3">
                  <c:v>9.2738331192429621E+21</c:v>
                </c:pt>
                <c:pt idx="4">
                  <c:v>9.2738331192429621E+21</c:v>
                </c:pt>
                <c:pt idx="5">
                  <c:v>9.2738331192429621E+21</c:v>
                </c:pt>
                <c:pt idx="6">
                  <c:v>9.2738331192429621E+21</c:v>
                </c:pt>
                <c:pt idx="7">
                  <c:v>9.2738331192429621E+21</c:v>
                </c:pt>
                <c:pt idx="8">
                  <c:v>9.2738331192429621E+21</c:v>
                </c:pt>
                <c:pt idx="9">
                  <c:v>9.2738331192429621E+21</c:v>
                </c:pt>
                <c:pt idx="10">
                  <c:v>9.2738331192429621E+21</c:v>
                </c:pt>
                <c:pt idx="11">
                  <c:v>9.2738331192429621E+21</c:v>
                </c:pt>
                <c:pt idx="12">
                  <c:v>9.2738331192429621E+21</c:v>
                </c:pt>
                <c:pt idx="13">
                  <c:v>9.2738331192429621E+21</c:v>
                </c:pt>
                <c:pt idx="14">
                  <c:v>9.2738331192429621E+21</c:v>
                </c:pt>
                <c:pt idx="15">
                  <c:v>9.2738331192429621E+21</c:v>
                </c:pt>
                <c:pt idx="16">
                  <c:v>9.2738331192429621E+21</c:v>
                </c:pt>
                <c:pt idx="17">
                  <c:v>9.2738331192429621E+21</c:v>
                </c:pt>
                <c:pt idx="18">
                  <c:v>9.2738331192429621E+21</c:v>
                </c:pt>
                <c:pt idx="19">
                  <c:v>9.2738331192429621E+21</c:v>
                </c:pt>
                <c:pt idx="20">
                  <c:v>9.2738331192429621E+21</c:v>
                </c:pt>
                <c:pt idx="21">
                  <c:v>9.2738331192429621E+21</c:v>
                </c:pt>
                <c:pt idx="22">
                  <c:v>9.2738331192429621E+21</c:v>
                </c:pt>
                <c:pt idx="23">
                  <c:v>9.2738331192429621E+21</c:v>
                </c:pt>
                <c:pt idx="24">
                  <c:v>9.2738331192429621E+21</c:v>
                </c:pt>
                <c:pt idx="25">
                  <c:v>9.2738331192429621E+21</c:v>
                </c:pt>
                <c:pt idx="26">
                  <c:v>9.2738331192429621E+21</c:v>
                </c:pt>
                <c:pt idx="27">
                  <c:v>9.2738331192429621E+21</c:v>
                </c:pt>
                <c:pt idx="28">
                  <c:v>9.2738331192429621E+21</c:v>
                </c:pt>
                <c:pt idx="29">
                  <c:v>9.2738331192429621E+21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75200"/>
        <c:axId val="104075776"/>
      </c:scatterChart>
      <c:valAx>
        <c:axId val="104075200"/>
        <c:scaling>
          <c:orientation val="minMax"/>
          <c:max val="30"/>
        </c:scaling>
        <c:delete val="0"/>
        <c:axPos val="b"/>
        <c:numFmt formatCode="#,##0" sourceLinked="0"/>
        <c:majorTickMark val="out"/>
        <c:minorTickMark val="none"/>
        <c:tickLblPos val="nextTo"/>
        <c:crossAx val="104075776"/>
        <c:crosses val="autoZero"/>
        <c:crossBetween val="midCat"/>
      </c:valAx>
      <c:valAx>
        <c:axId val="1040757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4075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2490290940846"/>
          <c:y val="7.3843024525486745E-2"/>
          <c:w val="0.52360374382146202"/>
          <c:h val="0.85599177103971791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[1]результаты!$AK$11</c:f>
              <c:strCache>
                <c:ptCount val="1"/>
                <c:pt idx="0">
                  <c:v>ST_nb·τnb</c:v>
                </c:pt>
              </c:strCache>
            </c:strRef>
          </c:tx>
          <c:invertIfNegative val="0"/>
          <c:val>
            <c:numRef>
              <c:f>[1]результаты!$AM$10</c:f>
              <c:numCache>
                <c:formatCode>0.00%</c:formatCode>
                <c:ptCount val="1"/>
                <c:pt idx="0">
                  <c:v>0.1050609890807804</c:v>
                </c:pt>
              </c:numCache>
            </c:numRef>
          </c:val>
        </c:ser>
        <c:ser>
          <c:idx val="0"/>
          <c:order val="1"/>
          <c:tx>
            <c:strRef>
              <c:f>[1]результаты!$AK$13</c:f>
              <c:strCache>
                <c:ptCount val="1"/>
                <c:pt idx="0">
                  <c:v>SD_nb·τnb</c:v>
                </c:pt>
              </c:strCache>
            </c:strRef>
          </c:tx>
          <c:invertIfNegative val="0"/>
          <c:val>
            <c:numRef>
              <c:f>[1]результаты!$AM$12</c:f>
              <c:numCache>
                <c:formatCode>0.00%</c:formatCode>
                <c:ptCount val="1"/>
                <c:pt idx="0">
                  <c:v>0.1050609890807804</c:v>
                </c:pt>
              </c:numCache>
            </c:numRef>
          </c:val>
        </c:ser>
        <c:ser>
          <c:idx val="1"/>
          <c:order val="2"/>
          <c:tx>
            <c:strRef>
              <c:f>[1]результаты!$AK$15</c:f>
              <c:strCache>
                <c:ptCount val="1"/>
                <c:pt idx="0">
                  <c:v>ST_pel·τpel</c:v>
                </c:pt>
              </c:strCache>
            </c:strRef>
          </c:tx>
          <c:invertIfNegative val="0"/>
          <c:val>
            <c:numRef>
              <c:f>[1]результаты!$AM$14</c:f>
              <c:numCache>
                <c:formatCode>0.00%</c:formatCode>
                <c:ptCount val="1"/>
                <c:pt idx="0">
                  <c:v>0.86085349721019999</c:v>
                </c:pt>
              </c:numCache>
            </c:numRef>
          </c:val>
        </c:ser>
        <c:ser>
          <c:idx val="2"/>
          <c:order val="3"/>
          <c:tx>
            <c:strRef>
              <c:f>[1]результаты!$AK$17</c:f>
              <c:strCache>
                <c:ptCount val="1"/>
                <c:pt idx="0">
                  <c:v>SD_pel·τpel</c:v>
                </c:pt>
              </c:strCache>
            </c:strRef>
          </c:tx>
          <c:invertIfNegative val="0"/>
          <c:val>
            <c:numRef>
              <c:f>[1]результаты!$AM$16</c:f>
              <c:numCache>
                <c:formatCode>0.00%</c:formatCode>
                <c:ptCount val="1"/>
                <c:pt idx="0">
                  <c:v>0.86085349721019999</c:v>
                </c:pt>
              </c:numCache>
            </c:numRef>
          </c:val>
        </c:ser>
        <c:ser>
          <c:idx val="3"/>
          <c:order val="4"/>
          <c:tx>
            <c:strRef>
              <c:f>[1]результаты!$AK$19</c:f>
              <c:strCache>
                <c:ptCount val="1"/>
                <c:pt idx="0">
                  <c:v>ST_sep·τsep</c:v>
                </c:pt>
              </c:strCache>
            </c:strRef>
          </c:tx>
          <c:invertIfNegative val="0"/>
          <c:val>
            <c:numRef>
              <c:f>[1]результаты!$AM$18</c:f>
              <c:numCache>
                <c:formatCode>0.00%</c:formatCode>
                <c:ptCount val="1"/>
                <c:pt idx="0">
                  <c:v>3.4085513709019133E-2</c:v>
                </c:pt>
              </c:numCache>
            </c:numRef>
          </c:val>
        </c:ser>
        <c:ser>
          <c:idx val="4"/>
          <c:order val="5"/>
          <c:tx>
            <c:strRef>
              <c:f>[1]результаты!$AK$21</c:f>
              <c:strCache>
                <c:ptCount val="1"/>
                <c:pt idx="0">
                  <c:v>SD_sep·τsep</c:v>
                </c:pt>
              </c:strCache>
            </c:strRef>
          </c:tx>
          <c:invertIfNegative val="0"/>
          <c:val>
            <c:numRef>
              <c:f>[1]результаты!$AM$20</c:f>
              <c:numCache>
                <c:formatCode>0.00%</c:formatCode>
                <c:ptCount val="1"/>
                <c:pt idx="0">
                  <c:v>3.4085513709019133E-2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136448"/>
        <c:axId val="104473728"/>
      </c:barChart>
      <c:catAx>
        <c:axId val="92136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04473728"/>
        <c:crosses val="autoZero"/>
        <c:auto val="1"/>
        <c:lblAlgn val="ctr"/>
        <c:lblOffset val="100"/>
        <c:noMultiLvlLbl val="0"/>
      </c:catAx>
      <c:valAx>
        <c:axId val="104473728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92136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311830797067369"/>
          <c:y val="6.5753923967901265E-2"/>
          <c:w val="0.37688169202932631"/>
          <c:h val="0.81250458830012218"/>
        </c:manualLayout>
      </c:layout>
      <c:overlay val="0"/>
    </c:legend>
    <c:plotVisOnly val="1"/>
    <c:dispBlanksAs val="gap"/>
    <c:showDLblsOverMax val="0"/>
  </c:chart>
  <c:spPr>
    <a:ln w="28575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2490290940846"/>
          <c:y val="7.3843024525486745E-2"/>
          <c:w val="0.52360374382146202"/>
          <c:h val="0.85599177103971791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[1]результаты!$AK$11</c:f>
              <c:strCache>
                <c:ptCount val="1"/>
                <c:pt idx="0">
                  <c:v>ST_nb·τnb</c:v>
                </c:pt>
              </c:strCache>
            </c:strRef>
          </c:tx>
          <c:invertIfNegative val="0"/>
          <c:val>
            <c:numRef>
              <c:f>[1]результаты!$AO$10</c:f>
              <c:numCache>
                <c:formatCode>0.00%</c:formatCode>
                <c:ptCount val="1"/>
                <c:pt idx="0">
                  <c:v>0.1050609890807804</c:v>
                </c:pt>
              </c:numCache>
            </c:numRef>
          </c:val>
        </c:ser>
        <c:ser>
          <c:idx val="0"/>
          <c:order val="1"/>
          <c:tx>
            <c:strRef>
              <c:f>[1]результаты!$AK$13</c:f>
              <c:strCache>
                <c:ptCount val="1"/>
                <c:pt idx="0">
                  <c:v>SD_nb·τnb</c:v>
                </c:pt>
              </c:strCache>
            </c:strRef>
          </c:tx>
          <c:invertIfNegative val="0"/>
          <c:val>
            <c:numRef>
              <c:f>[1]результаты!$AO$12</c:f>
              <c:numCache>
                <c:formatCode>0.00%</c:formatCode>
                <c:ptCount val="1"/>
                <c:pt idx="0">
                  <c:v>0.1050609890807804</c:v>
                </c:pt>
              </c:numCache>
            </c:numRef>
          </c:val>
        </c:ser>
        <c:ser>
          <c:idx val="1"/>
          <c:order val="2"/>
          <c:tx>
            <c:strRef>
              <c:f>[1]результаты!$AK$15</c:f>
              <c:strCache>
                <c:ptCount val="1"/>
                <c:pt idx="0">
                  <c:v>ST_pel·τpel</c:v>
                </c:pt>
              </c:strCache>
            </c:strRef>
          </c:tx>
          <c:invertIfNegative val="0"/>
          <c:val>
            <c:numRef>
              <c:f>[1]результаты!$AO$14</c:f>
              <c:numCache>
                <c:formatCode>0.00%</c:formatCode>
                <c:ptCount val="1"/>
                <c:pt idx="0">
                  <c:v>0.86085349721019999</c:v>
                </c:pt>
              </c:numCache>
            </c:numRef>
          </c:val>
        </c:ser>
        <c:ser>
          <c:idx val="2"/>
          <c:order val="3"/>
          <c:tx>
            <c:strRef>
              <c:f>[1]результаты!$AK$17</c:f>
              <c:strCache>
                <c:ptCount val="1"/>
                <c:pt idx="0">
                  <c:v>SD_pel·τpel</c:v>
                </c:pt>
              </c:strCache>
            </c:strRef>
          </c:tx>
          <c:invertIfNegative val="0"/>
          <c:val>
            <c:numRef>
              <c:f>[1]результаты!$AO$16</c:f>
              <c:numCache>
                <c:formatCode>0.00%</c:formatCode>
                <c:ptCount val="1"/>
                <c:pt idx="0">
                  <c:v>0.86085349721019999</c:v>
                </c:pt>
              </c:numCache>
            </c:numRef>
          </c:val>
        </c:ser>
        <c:ser>
          <c:idx val="3"/>
          <c:order val="4"/>
          <c:tx>
            <c:strRef>
              <c:f>[1]результаты!$AK$19</c:f>
              <c:strCache>
                <c:ptCount val="1"/>
                <c:pt idx="0">
                  <c:v>ST_sep·τsep</c:v>
                </c:pt>
              </c:strCache>
            </c:strRef>
          </c:tx>
          <c:invertIfNegative val="0"/>
          <c:val>
            <c:numRef>
              <c:f>[1]результаты!$AO$18</c:f>
              <c:numCache>
                <c:formatCode>0.00%</c:formatCode>
                <c:ptCount val="1"/>
                <c:pt idx="0">
                  <c:v>3.4085513709019133E-2</c:v>
                </c:pt>
              </c:numCache>
            </c:numRef>
          </c:val>
        </c:ser>
        <c:ser>
          <c:idx val="4"/>
          <c:order val="5"/>
          <c:tx>
            <c:strRef>
              <c:f>[1]результаты!$AK$21</c:f>
              <c:strCache>
                <c:ptCount val="1"/>
                <c:pt idx="0">
                  <c:v>SD_sep·τsep</c:v>
                </c:pt>
              </c:strCache>
            </c:strRef>
          </c:tx>
          <c:invertIfNegative val="0"/>
          <c:val>
            <c:numRef>
              <c:f>[1]результаты!$AO$20</c:f>
              <c:numCache>
                <c:formatCode>0.00%</c:formatCode>
                <c:ptCount val="1"/>
                <c:pt idx="0">
                  <c:v>3.4085513709019133E-2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137984"/>
        <c:axId val="104478912"/>
      </c:barChart>
      <c:catAx>
        <c:axId val="92137984"/>
        <c:scaling>
          <c:orientation val="minMax"/>
        </c:scaling>
        <c:delete val="1"/>
        <c:axPos val="b"/>
        <c:majorTickMark val="out"/>
        <c:minorTickMark val="none"/>
        <c:tickLblPos val="nextTo"/>
        <c:crossAx val="104478912"/>
        <c:crosses val="autoZero"/>
        <c:auto val="1"/>
        <c:lblAlgn val="ctr"/>
        <c:lblOffset val="100"/>
        <c:noMultiLvlLbl val="0"/>
      </c:catAx>
      <c:valAx>
        <c:axId val="10447891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9213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311830797067369"/>
          <c:y val="6.5753923967901265E-2"/>
          <c:w val="0.37688169202932631"/>
          <c:h val="0.81250458830012218"/>
        </c:manualLayout>
      </c:layout>
      <c:overlay val="0"/>
    </c:legend>
    <c:plotVisOnly val="1"/>
    <c:dispBlanksAs val="gap"/>
    <c:showDLblsOverMax val="0"/>
  </c:chart>
  <c:spPr>
    <a:ln w="28575">
      <a:solidFill>
        <a:srgbClr val="00B0F0"/>
      </a:solidFill>
    </a:ln>
  </c:spPr>
  <c:txPr>
    <a:bodyPr/>
    <a:lstStyle/>
    <a:p>
      <a:pPr>
        <a:defRPr>
          <a:ln>
            <a:noFill/>
          </a:ln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2490290940846"/>
          <c:y val="7.3843024525486745E-2"/>
          <c:w val="0.52360374382146202"/>
          <c:h val="0.85599177103971791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[1]результаты!$AK$11</c:f>
              <c:strCache>
                <c:ptCount val="1"/>
                <c:pt idx="0">
                  <c:v>ST_nb·τnb</c:v>
                </c:pt>
              </c:strCache>
            </c:strRef>
          </c:tx>
          <c:invertIfNegative val="0"/>
          <c:val>
            <c:numRef>
              <c:f>[1]результаты!$AQ$10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1"/>
          <c:tx>
            <c:strRef>
              <c:f>[1]результаты!$AK$13</c:f>
              <c:strCache>
                <c:ptCount val="1"/>
                <c:pt idx="0">
                  <c:v>SD_nb·τnb</c:v>
                </c:pt>
              </c:strCache>
            </c:strRef>
          </c:tx>
          <c:invertIfNegative val="0"/>
          <c:val>
            <c:numRef>
              <c:f>[1]результаты!$AQ$12</c:f>
              <c:numCache>
                <c:formatCode>0.00%</c:formatCode>
                <c:ptCount val="1"/>
                <c:pt idx="0">
                  <c:v>0.21012197816156081</c:v>
                </c:pt>
              </c:numCache>
            </c:numRef>
          </c:val>
        </c:ser>
        <c:ser>
          <c:idx val="1"/>
          <c:order val="2"/>
          <c:tx>
            <c:strRef>
              <c:f>[1]результаты!$AK$15</c:f>
              <c:strCache>
                <c:ptCount val="1"/>
                <c:pt idx="0">
                  <c:v>ST_pel·τpel</c:v>
                </c:pt>
              </c:strCache>
            </c:strRef>
          </c:tx>
          <c:invertIfNegative val="0"/>
          <c:val>
            <c:numRef>
              <c:f>[1]результаты!$AQ$14</c:f>
              <c:numCache>
                <c:formatCode>0.00%</c:formatCode>
                <c:ptCount val="1"/>
                <c:pt idx="0">
                  <c:v>0.96591448629098042</c:v>
                </c:pt>
              </c:numCache>
            </c:numRef>
          </c:val>
        </c:ser>
        <c:ser>
          <c:idx val="2"/>
          <c:order val="3"/>
          <c:tx>
            <c:strRef>
              <c:f>[1]результаты!$AK$17</c:f>
              <c:strCache>
                <c:ptCount val="1"/>
                <c:pt idx="0">
                  <c:v>SD_pel·τpel</c:v>
                </c:pt>
              </c:strCache>
            </c:strRef>
          </c:tx>
          <c:invertIfNegative val="0"/>
          <c:val>
            <c:numRef>
              <c:f>[1]результаты!$AQ$16</c:f>
              <c:numCache>
                <c:formatCode>0.00%</c:formatCode>
                <c:ptCount val="1"/>
                <c:pt idx="0">
                  <c:v>0.75579250812941934</c:v>
                </c:pt>
              </c:numCache>
            </c:numRef>
          </c:val>
        </c:ser>
        <c:ser>
          <c:idx val="3"/>
          <c:order val="4"/>
          <c:tx>
            <c:strRef>
              <c:f>[1]результаты!$AK$19</c:f>
              <c:strCache>
                <c:ptCount val="1"/>
                <c:pt idx="0">
                  <c:v>ST_sep·τsep</c:v>
                </c:pt>
              </c:strCache>
            </c:strRef>
          </c:tx>
          <c:invertIfNegative val="0"/>
          <c:val>
            <c:numRef>
              <c:f>[1]результаты!$AQ$18</c:f>
              <c:numCache>
                <c:formatCode>0.00%</c:formatCode>
                <c:ptCount val="1"/>
                <c:pt idx="0">
                  <c:v>3.4085513709019133E-2</c:v>
                </c:pt>
              </c:numCache>
            </c:numRef>
          </c:val>
        </c:ser>
        <c:ser>
          <c:idx val="4"/>
          <c:order val="5"/>
          <c:tx>
            <c:strRef>
              <c:f>[1]результаты!$AK$21</c:f>
              <c:strCache>
                <c:ptCount val="1"/>
                <c:pt idx="0">
                  <c:v>SD_sep·τsep</c:v>
                </c:pt>
              </c:strCache>
            </c:strRef>
          </c:tx>
          <c:invertIfNegative val="0"/>
          <c:val>
            <c:numRef>
              <c:f>[1]результаты!$AQ$20</c:f>
              <c:numCache>
                <c:formatCode>0.00%</c:formatCode>
                <c:ptCount val="1"/>
                <c:pt idx="0">
                  <c:v>3.4085513709019133E-2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138496"/>
        <c:axId val="144384576"/>
      </c:barChart>
      <c:catAx>
        <c:axId val="92138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44384576"/>
        <c:crosses val="autoZero"/>
        <c:auto val="1"/>
        <c:lblAlgn val="ctr"/>
        <c:lblOffset val="100"/>
        <c:noMultiLvlLbl val="0"/>
      </c:catAx>
      <c:valAx>
        <c:axId val="144384576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92138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311830797067369"/>
          <c:y val="6.5753923967901265E-2"/>
          <c:w val="0.37688169202932631"/>
          <c:h val="0.81250458830012218"/>
        </c:manualLayout>
      </c:layout>
      <c:overlay val="0"/>
    </c:legend>
    <c:plotVisOnly val="1"/>
    <c:dispBlanksAs val="gap"/>
    <c:showDLblsOverMax val="0"/>
  </c:chart>
  <c:spPr>
    <a:ln w="28575">
      <a:solidFill>
        <a:srgbClr val="FFC000"/>
      </a:solidFill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 </a:t>
            </a:r>
            <a:r>
              <a:rPr lang="ru-RU"/>
              <a:t>дивертор</a:t>
            </a:r>
          </a:p>
        </c:rich>
      </c:tx>
      <c:layout>
        <c:manualLayout>
          <c:xMode val="edge"/>
          <c:yMode val="edge"/>
          <c:x val="0.30278081084530412"/>
          <c:y val="0.42101623244396791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92D050"/>
              </a:solidFill>
            </a:ln>
          </c:spPr>
          <c:marker>
            <c:symbol val="none"/>
          </c:marker>
          <c:yVal>
            <c:numRef>
              <c:f>'[2]динамика изотопов в ТЦ'!$FI$6:$FI$35</c:f>
              <c:numCache>
                <c:formatCode>0.00%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yVal>
            <c:numRef>
              <c:f>'[2]динамика изотопов в ТЦ'!$FJ$6:$FJ$35</c:f>
              <c:numCache>
                <c:formatCode>0.00%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FFC000"/>
              </a:solidFill>
            </a:ln>
          </c:spPr>
          <c:marker>
            <c:symbol val="none"/>
          </c:marker>
          <c:yVal>
            <c:numRef>
              <c:f>'[2]динамика изотопов в ТЦ'!$FK$6:$FK$35</c:f>
              <c:numCache>
                <c:formatCode>0.00%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87456"/>
        <c:axId val="144388608"/>
      </c:scatterChart>
      <c:valAx>
        <c:axId val="144387456"/>
        <c:scaling>
          <c:orientation val="minMax"/>
          <c:max val="30"/>
        </c:scaling>
        <c:delete val="0"/>
        <c:axPos val="b"/>
        <c:majorTickMark val="out"/>
        <c:minorTickMark val="none"/>
        <c:tickLblPos val="nextTo"/>
        <c:crossAx val="144388608"/>
        <c:crosses val="autoZero"/>
        <c:crossBetween val="midCat"/>
      </c:valAx>
      <c:valAx>
        <c:axId val="1443886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44387456"/>
        <c:crosses val="autoZero"/>
        <c:crossBetween val="midCat"/>
      </c:valAx>
    </c:plotArea>
    <c:plotVisOnly val="1"/>
    <c:dispBlanksAs val="gap"/>
    <c:showDLblsOverMax val="0"/>
  </c:chart>
  <c:spPr>
    <a:ln w="28575">
      <a:solidFill>
        <a:srgbClr val="FF00FF"/>
      </a:solidFill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 core</a:t>
            </a:r>
            <a:endParaRPr lang="ru-RU"/>
          </a:p>
        </c:rich>
      </c:tx>
      <c:layout>
        <c:manualLayout>
          <c:xMode val="edge"/>
          <c:yMode val="edge"/>
          <c:x val="0.39594631430444072"/>
          <c:y val="0.41619276058663818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92D050"/>
              </a:solidFill>
            </a:ln>
          </c:spPr>
          <c:marker>
            <c:symbol val="none"/>
          </c:marker>
          <c:yVal>
            <c:numRef>
              <c:f>'[2]динамика изотопов в ТЦ'!$F$6:$F$35</c:f>
              <c:numCache>
                <c:formatCode>0.00%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yVal>
            <c:numRef>
              <c:f>'[2]динамика изотопов в ТЦ'!$G$6:$G$35</c:f>
              <c:numCache>
                <c:formatCode>0.00%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FFC000"/>
              </a:solidFill>
            </a:ln>
          </c:spPr>
          <c:marker>
            <c:symbol val="none"/>
          </c:marker>
          <c:yVal>
            <c:numRef>
              <c:f>'[2]динамика изотопов в ТЦ'!$H$6:$H$35</c:f>
              <c:numCache>
                <c:formatCode>0.00%</c:formatCode>
                <c:ptCount val="30"/>
                <c:pt idx="0">
                  <c:v>0.5</c:v>
                </c:pt>
                <c:pt idx="1">
                  <c:v>0.50000000000000011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00320"/>
        <c:axId val="151200896"/>
      </c:scatterChart>
      <c:valAx>
        <c:axId val="151200320"/>
        <c:scaling>
          <c:orientation val="minMax"/>
          <c:max val="30"/>
        </c:scaling>
        <c:delete val="0"/>
        <c:axPos val="b"/>
        <c:majorTickMark val="out"/>
        <c:minorTickMark val="none"/>
        <c:tickLblPos val="nextTo"/>
        <c:crossAx val="151200896"/>
        <c:crosses val="autoZero"/>
        <c:crossBetween val="midCat"/>
      </c:valAx>
      <c:valAx>
        <c:axId val="1512008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1200320"/>
        <c:crosses val="autoZero"/>
        <c:crossBetween val="midCat"/>
      </c:valAx>
    </c:plotArea>
    <c:plotVisOnly val="1"/>
    <c:dispBlanksAs val="gap"/>
    <c:showDLblsOverMax val="0"/>
  </c:chart>
  <c:spPr>
    <a:ln w="28575">
      <a:solidFill>
        <a:srgbClr val="FF00FF"/>
      </a:solidFill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 ped</a:t>
            </a:r>
            <a:endParaRPr lang="ru-RU"/>
          </a:p>
        </c:rich>
      </c:tx>
      <c:layout>
        <c:manualLayout>
          <c:xMode val="edge"/>
          <c:yMode val="edge"/>
          <c:x val="0.42597711209645722"/>
          <c:y val="0.35315307298788157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92D050"/>
              </a:solidFill>
            </a:ln>
          </c:spPr>
          <c:marker>
            <c:symbol val="none"/>
          </c:marker>
          <c:yVal>
            <c:numRef>
              <c:f>'[2]динамика изотопов в ТЦ'!$B$6:$B$35</c:f>
              <c:numCache>
                <c:formatCode>0.00%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yVal>
            <c:numRef>
              <c:f>'[2]динамика изотопов в ТЦ'!$C$6:$C$35</c:f>
              <c:numCache>
                <c:formatCode>0.00%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FFC000"/>
              </a:solidFill>
            </a:ln>
          </c:spPr>
          <c:marker>
            <c:symbol val="none"/>
          </c:marker>
          <c:yVal>
            <c:numRef>
              <c:f>'[2]динамика изотопов в ТЦ'!$D$6:$D$35</c:f>
              <c:numCache>
                <c:formatCode>0.00%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0.50000000000000011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02624"/>
        <c:axId val="151203200"/>
      </c:scatterChart>
      <c:valAx>
        <c:axId val="151202624"/>
        <c:scaling>
          <c:orientation val="minMax"/>
          <c:max val="30"/>
        </c:scaling>
        <c:delete val="0"/>
        <c:axPos val="b"/>
        <c:majorTickMark val="out"/>
        <c:minorTickMark val="none"/>
        <c:tickLblPos val="nextTo"/>
        <c:crossAx val="151203200"/>
        <c:crosses val="autoZero"/>
        <c:crossBetween val="midCat"/>
      </c:valAx>
      <c:valAx>
        <c:axId val="1512032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1202624"/>
        <c:crosses val="autoZero"/>
        <c:crossBetween val="midCat"/>
      </c:valAx>
    </c:plotArea>
    <c:plotVisOnly val="1"/>
    <c:dispBlanksAs val="gap"/>
    <c:showDLblsOverMax val="0"/>
  </c:chart>
  <c:spPr>
    <a:ln w="28575">
      <a:solidFill>
        <a:srgbClr val="FF00FF"/>
      </a:solidFill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yVal>
            <c:numRef>
              <c:f>'[2]динамика изотопов в ТЦ'!$MK$6:$MK$35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2.7790091768569188E+21</c:v>
                </c:pt>
                <c:pt idx="2">
                  <c:v>2.7790091768569193E+21</c:v>
                </c:pt>
                <c:pt idx="3">
                  <c:v>2.7790091768569203E+21</c:v>
                </c:pt>
                <c:pt idx="4">
                  <c:v>2.7790091768569214E+21</c:v>
                </c:pt>
                <c:pt idx="5">
                  <c:v>2.7790091768569219E+21</c:v>
                </c:pt>
                <c:pt idx="6">
                  <c:v>2.7790091768569229E+21</c:v>
                </c:pt>
                <c:pt idx="7">
                  <c:v>2.7790091768569245E+21</c:v>
                </c:pt>
                <c:pt idx="8">
                  <c:v>2.7790091768569256E+21</c:v>
                </c:pt>
                <c:pt idx="9">
                  <c:v>2.7790091768569271E+21</c:v>
                </c:pt>
                <c:pt idx="10">
                  <c:v>2.7790091768569282E+21</c:v>
                </c:pt>
                <c:pt idx="11">
                  <c:v>2.7790091768569292E+21</c:v>
                </c:pt>
                <c:pt idx="12">
                  <c:v>2.7790091768569292E+21</c:v>
                </c:pt>
                <c:pt idx="13">
                  <c:v>2.7790091768569292E+21</c:v>
                </c:pt>
                <c:pt idx="14">
                  <c:v>2.7790091768569292E+21</c:v>
                </c:pt>
                <c:pt idx="15">
                  <c:v>2.7790091768569292E+21</c:v>
                </c:pt>
                <c:pt idx="16">
                  <c:v>2.7790091768569292E+21</c:v>
                </c:pt>
                <c:pt idx="17">
                  <c:v>2.7790091768569292E+21</c:v>
                </c:pt>
                <c:pt idx="18">
                  <c:v>2.7790091768569292E+21</c:v>
                </c:pt>
                <c:pt idx="19">
                  <c:v>2.7790091768569292E+21</c:v>
                </c:pt>
                <c:pt idx="20">
                  <c:v>2.7790091768569292E+21</c:v>
                </c:pt>
                <c:pt idx="21">
                  <c:v>2.7790091768569292E+21</c:v>
                </c:pt>
                <c:pt idx="22">
                  <c:v>2.7790091768569292E+21</c:v>
                </c:pt>
                <c:pt idx="23">
                  <c:v>2.7790091768569292E+21</c:v>
                </c:pt>
                <c:pt idx="24">
                  <c:v>2.7790091768569292E+21</c:v>
                </c:pt>
                <c:pt idx="25">
                  <c:v>2.7790091768569292E+21</c:v>
                </c:pt>
                <c:pt idx="26">
                  <c:v>2.7790091768569292E+21</c:v>
                </c:pt>
                <c:pt idx="27">
                  <c:v>2.7790091768569292E+21</c:v>
                </c:pt>
                <c:pt idx="28">
                  <c:v>2.7790091768569292E+21</c:v>
                </c:pt>
                <c:pt idx="29">
                  <c:v>2.7790091768569292E+21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yVal>
            <c:numRef>
              <c:f>'[2]динамика изотопов в ТЦ'!$ML$6:$ML$34</c:f>
              <c:numCache>
                <c:formatCode>0.00E+00</c:formatCode>
                <c:ptCount val="29"/>
                <c:pt idx="0">
                  <c:v>2.7790091768569177E+21</c:v>
                </c:pt>
                <c:pt idx="1">
                  <c:v>2.7790091768569188E+21</c:v>
                </c:pt>
                <c:pt idx="2">
                  <c:v>2.7790091768569193E+21</c:v>
                </c:pt>
                <c:pt idx="3">
                  <c:v>2.7790091768569203E+21</c:v>
                </c:pt>
                <c:pt idx="4">
                  <c:v>2.7790091768569214E+21</c:v>
                </c:pt>
                <c:pt idx="5">
                  <c:v>2.7790091768569219E+21</c:v>
                </c:pt>
                <c:pt idx="6">
                  <c:v>2.7790091768569229E+21</c:v>
                </c:pt>
                <c:pt idx="7">
                  <c:v>2.7790091768569245E+21</c:v>
                </c:pt>
                <c:pt idx="8">
                  <c:v>2.7790091768569256E+21</c:v>
                </c:pt>
                <c:pt idx="9">
                  <c:v>2.7790091768569271E+21</c:v>
                </c:pt>
                <c:pt idx="10">
                  <c:v>2.7790091768569282E+21</c:v>
                </c:pt>
                <c:pt idx="11">
                  <c:v>2.7790091768569292E+21</c:v>
                </c:pt>
                <c:pt idx="12">
                  <c:v>2.7790091768569292E+21</c:v>
                </c:pt>
                <c:pt idx="13">
                  <c:v>2.7790091768569292E+21</c:v>
                </c:pt>
                <c:pt idx="14">
                  <c:v>2.7790091768569292E+21</c:v>
                </c:pt>
                <c:pt idx="15">
                  <c:v>2.7790091768569292E+21</c:v>
                </c:pt>
                <c:pt idx="16">
                  <c:v>2.7790091768569292E+21</c:v>
                </c:pt>
                <c:pt idx="17">
                  <c:v>2.7790091768569292E+21</c:v>
                </c:pt>
                <c:pt idx="18">
                  <c:v>2.7790091768569292E+21</c:v>
                </c:pt>
                <c:pt idx="19">
                  <c:v>2.7790091768569292E+21</c:v>
                </c:pt>
                <c:pt idx="20">
                  <c:v>2.7790091768569292E+21</c:v>
                </c:pt>
                <c:pt idx="21">
                  <c:v>2.7790091768569292E+21</c:v>
                </c:pt>
                <c:pt idx="22">
                  <c:v>2.7790091768569292E+21</c:v>
                </c:pt>
                <c:pt idx="23">
                  <c:v>2.7790091768569292E+21</c:v>
                </c:pt>
                <c:pt idx="24">
                  <c:v>2.7790091768569292E+21</c:v>
                </c:pt>
                <c:pt idx="25">
                  <c:v>2.7790091768569292E+21</c:v>
                </c:pt>
                <c:pt idx="26">
                  <c:v>2.7790091768569292E+21</c:v>
                </c:pt>
                <c:pt idx="27">
                  <c:v>2.7790091768569292E+21</c:v>
                </c:pt>
                <c:pt idx="28">
                  <c:v>2.7790091768569292E+21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rgbClr val="C00000"/>
              </a:solidFill>
            </a:ln>
          </c:spPr>
          <c:marker>
            <c:symbol val="none"/>
          </c:marker>
          <c:yVal>
            <c:numRef>
              <c:f>'[2]динамика изотопов в ТЦ'!$MM$6:$MM$35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2.7790091768569188E+21</c:v>
                </c:pt>
                <c:pt idx="2">
                  <c:v>2.7790091768569193E+21</c:v>
                </c:pt>
                <c:pt idx="3">
                  <c:v>2.7790091768569198E+21</c:v>
                </c:pt>
                <c:pt idx="4">
                  <c:v>2.7790091768569198E+21</c:v>
                </c:pt>
                <c:pt idx="5">
                  <c:v>2.7790091768569198E+21</c:v>
                </c:pt>
                <c:pt idx="6">
                  <c:v>2.7790091768569198E+21</c:v>
                </c:pt>
                <c:pt idx="7">
                  <c:v>2.7790091768569198E+21</c:v>
                </c:pt>
                <c:pt idx="8">
                  <c:v>2.7790091768569198E+21</c:v>
                </c:pt>
                <c:pt idx="9">
                  <c:v>2.7790091768569198E+21</c:v>
                </c:pt>
                <c:pt idx="10">
                  <c:v>2.7790091768569198E+21</c:v>
                </c:pt>
                <c:pt idx="11">
                  <c:v>2.7790091768569198E+21</c:v>
                </c:pt>
                <c:pt idx="12">
                  <c:v>2.7790091768569198E+21</c:v>
                </c:pt>
                <c:pt idx="13">
                  <c:v>2.7790091768569198E+21</c:v>
                </c:pt>
                <c:pt idx="14">
                  <c:v>2.7790091768569198E+21</c:v>
                </c:pt>
                <c:pt idx="15">
                  <c:v>2.7790091768569198E+21</c:v>
                </c:pt>
                <c:pt idx="16">
                  <c:v>2.7790091768569198E+21</c:v>
                </c:pt>
                <c:pt idx="17">
                  <c:v>2.7790091768569198E+21</c:v>
                </c:pt>
                <c:pt idx="18">
                  <c:v>2.7790091768569198E+21</c:v>
                </c:pt>
                <c:pt idx="19">
                  <c:v>2.7790091768569198E+21</c:v>
                </c:pt>
                <c:pt idx="20">
                  <c:v>2.7790091768569198E+21</c:v>
                </c:pt>
                <c:pt idx="21">
                  <c:v>2.7790091768569198E+21</c:v>
                </c:pt>
                <c:pt idx="22">
                  <c:v>2.7790091768569198E+21</c:v>
                </c:pt>
                <c:pt idx="23">
                  <c:v>2.7790091768569198E+21</c:v>
                </c:pt>
                <c:pt idx="24">
                  <c:v>2.7790091768569198E+21</c:v>
                </c:pt>
                <c:pt idx="25">
                  <c:v>2.7790091768569198E+21</c:v>
                </c:pt>
                <c:pt idx="26">
                  <c:v>2.7790091768569198E+21</c:v>
                </c:pt>
                <c:pt idx="27">
                  <c:v>2.7790091768569198E+21</c:v>
                </c:pt>
                <c:pt idx="28">
                  <c:v>2.7790091768569198E+21</c:v>
                </c:pt>
                <c:pt idx="29">
                  <c:v>2.7790091768569198E+21</c:v>
                </c:pt>
              </c:numCache>
            </c:numRef>
          </c:yVal>
          <c:smooth val="0"/>
        </c:ser>
        <c:ser>
          <c:idx val="3"/>
          <c:order val="3"/>
          <c:spPr>
            <a:ln>
              <a:solidFill>
                <a:srgbClr val="0070C0"/>
              </a:solidFill>
            </a:ln>
          </c:spPr>
          <c:marker>
            <c:symbol val="none"/>
          </c:marker>
          <c:yVal>
            <c:numRef>
              <c:f>'[2]динамика изотопов в ТЦ'!$MN$6:$MN$35</c:f>
              <c:numCache>
                <c:formatCode>0.00E+00</c:formatCode>
                <c:ptCount val="30"/>
                <c:pt idx="0">
                  <c:v>2.7790091768569177E+21</c:v>
                </c:pt>
                <c:pt idx="1">
                  <c:v>2.7790091768569182E+21</c:v>
                </c:pt>
                <c:pt idx="2">
                  <c:v>2.7790091768569193E+21</c:v>
                </c:pt>
                <c:pt idx="3">
                  <c:v>2.7790091768569198E+21</c:v>
                </c:pt>
                <c:pt idx="4">
                  <c:v>2.7790091768569198E+21</c:v>
                </c:pt>
                <c:pt idx="5">
                  <c:v>2.7790091768569198E+21</c:v>
                </c:pt>
                <c:pt idx="6">
                  <c:v>2.7790091768569198E+21</c:v>
                </c:pt>
                <c:pt idx="7">
                  <c:v>2.7790091768569198E+21</c:v>
                </c:pt>
                <c:pt idx="8">
                  <c:v>2.7790091768569198E+21</c:v>
                </c:pt>
                <c:pt idx="9">
                  <c:v>2.7790091768569198E+21</c:v>
                </c:pt>
                <c:pt idx="10">
                  <c:v>2.7790091768569198E+21</c:v>
                </c:pt>
                <c:pt idx="11">
                  <c:v>2.7790091768569198E+21</c:v>
                </c:pt>
                <c:pt idx="12">
                  <c:v>2.7790091768569198E+21</c:v>
                </c:pt>
                <c:pt idx="13">
                  <c:v>2.7790091768569198E+21</c:v>
                </c:pt>
                <c:pt idx="14">
                  <c:v>2.7790091768569198E+21</c:v>
                </c:pt>
                <c:pt idx="15">
                  <c:v>2.7790091768569198E+21</c:v>
                </c:pt>
                <c:pt idx="16">
                  <c:v>2.7790091768569198E+21</c:v>
                </c:pt>
                <c:pt idx="17">
                  <c:v>2.7790091768569198E+21</c:v>
                </c:pt>
                <c:pt idx="18">
                  <c:v>2.7790091768569198E+21</c:v>
                </c:pt>
                <c:pt idx="19">
                  <c:v>2.7790091768569198E+21</c:v>
                </c:pt>
                <c:pt idx="20">
                  <c:v>2.7790091768569198E+21</c:v>
                </c:pt>
                <c:pt idx="21">
                  <c:v>2.7790091768569198E+21</c:v>
                </c:pt>
                <c:pt idx="22">
                  <c:v>2.7790091768569198E+21</c:v>
                </c:pt>
                <c:pt idx="23">
                  <c:v>2.7790091768569198E+21</c:v>
                </c:pt>
                <c:pt idx="24">
                  <c:v>2.7790091768569198E+21</c:v>
                </c:pt>
                <c:pt idx="25">
                  <c:v>2.7790091768569198E+21</c:v>
                </c:pt>
                <c:pt idx="26">
                  <c:v>2.7790091768569198E+21</c:v>
                </c:pt>
                <c:pt idx="27">
                  <c:v>2.7790091768569198E+21</c:v>
                </c:pt>
                <c:pt idx="28">
                  <c:v>2.7790091768569198E+21</c:v>
                </c:pt>
                <c:pt idx="29">
                  <c:v>2.7790091768569198E+21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04928"/>
        <c:axId val="151206080"/>
      </c:scatterChart>
      <c:valAx>
        <c:axId val="151204928"/>
        <c:scaling>
          <c:orientation val="minMax"/>
          <c:max val="30"/>
        </c:scaling>
        <c:delete val="0"/>
        <c:axPos val="b"/>
        <c:majorTickMark val="out"/>
        <c:minorTickMark val="none"/>
        <c:tickLblPos val="nextTo"/>
        <c:crossAx val="151206080"/>
        <c:crosses val="autoZero"/>
        <c:crossBetween val="midCat"/>
      </c:valAx>
      <c:valAx>
        <c:axId val="1512060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51204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697210084776025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1.6688008365885312E-2"/>
                  <c:y val="0.45373329707216303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параметров'!$I$3:$I$5</c:f>
              <c:numCache>
                <c:formatCode>0.00</c:formatCode>
                <c:ptCount val="3"/>
                <c:pt idx="0">
                  <c:v>30.761419385377401</c:v>
                </c:pt>
                <c:pt idx="1">
                  <c:v>33.050025514038282</c:v>
                </c:pt>
                <c:pt idx="2">
                  <c:v>33.362307013997167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2.0119243040547102E-3"/>
                  <c:y val="0.4885330361735476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параметров'!$J$3:$J$5</c:f>
              <c:numCache>
                <c:formatCode>0.00</c:formatCode>
                <c:ptCount val="3"/>
                <c:pt idx="0">
                  <c:v>30.53985018836266</c:v>
                </c:pt>
                <c:pt idx="1">
                  <c:v>33.193942657233379</c:v>
                </c:pt>
                <c:pt idx="2">
                  <c:v>33.067293018916253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4.9355623518750075E-3"/>
                  <c:y val="0.7230758916498050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параметров'!$K$3:$K$5</c:f>
              <c:numCache>
                <c:formatCode>0.00</c:formatCode>
                <c:ptCount val="3"/>
                <c:pt idx="0">
                  <c:v>32.788508879004112</c:v>
                </c:pt>
                <c:pt idx="1">
                  <c:v>32.176037104215048</c:v>
                </c:pt>
                <c:pt idx="2">
                  <c:v>33.707288190201403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параметров'!$H$1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1.0695997713421931E-2"/>
                  <c:y val="0.30695775093878808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параметров'!$H$3:$H$5</c:f>
              <c:numCache>
                <c:formatCode>0.00</c:formatCode>
                <c:ptCount val="3"/>
                <c:pt idx="0">
                  <c:v>30.325818669945232</c:v>
                </c:pt>
                <c:pt idx="1">
                  <c:v>32.61270497762996</c:v>
                </c:pt>
                <c:pt idx="2">
                  <c:v>33.165596022411073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09664"/>
        <c:axId val="151210240"/>
      </c:scatterChart>
      <c:valAx>
        <c:axId val="151209664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51210240"/>
        <c:crosses val="autoZero"/>
        <c:crossBetween val="midCat"/>
      </c:valAx>
      <c:valAx>
        <c:axId val="151210240"/>
        <c:scaling>
          <c:orientation val="minMax"/>
          <c:min val="3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51209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617913587510881"/>
          <c:y val="4.7495261009040536E-2"/>
          <c:w val="0.19382086412489122"/>
          <c:h val="0.736035977343333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1.273706820596068E-2"/>
                  <c:y val="0.38201140302468484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параметров'!$N$3:$N$5</c:f>
              <c:numCache>
                <c:formatCode>0.00</c:formatCode>
                <c:ptCount val="3"/>
                <c:pt idx="0">
                  <c:v>1.0923799497648219</c:v>
                </c:pt>
                <c:pt idx="1">
                  <c:v>1.173651474220109</c:v>
                </c:pt>
                <c:pt idx="2">
                  <c:v>1.1847410161220591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9.7330984717836182E-3"/>
                  <c:y val="0.46044633943685553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параметров'!$O$3:$O$5</c:f>
              <c:numCache>
                <c:formatCode>0.00</c:formatCode>
                <c:ptCount val="3"/>
                <c:pt idx="0">
                  <c:v>1.084511725439014</c:v>
                </c:pt>
                <c:pt idx="1">
                  <c:v>1.1787621682256171</c:v>
                </c:pt>
                <c:pt idx="2">
                  <c:v>1.174264666864923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2.4630186489752559E-3"/>
                  <c:y val="0.6129474555567268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параметров'!$P$3:$P$5</c:f>
              <c:numCache>
                <c:formatCode>0.00</c:formatCode>
                <c:ptCount val="3"/>
                <c:pt idx="0">
                  <c:v>1.1643646618964529</c:v>
                </c:pt>
                <c:pt idx="1">
                  <c:v>1.1426149539849089</c:v>
                </c:pt>
                <c:pt idx="2">
                  <c:v>1.1969917681179469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параметров'!$M$1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6.7291287376065548E-3"/>
                  <c:y val="0.24234876575744235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параметров'!$M$3:$M$5</c:f>
              <c:numCache>
                <c:formatCode>0.00</c:formatCode>
                <c:ptCount val="3"/>
                <c:pt idx="0">
                  <c:v>1.07691117435885</c:v>
                </c:pt>
                <c:pt idx="1">
                  <c:v>1.158121625626064</c:v>
                </c:pt>
                <c:pt idx="2">
                  <c:v>1.1777555405685751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12544"/>
        <c:axId val="151213120"/>
      </c:scatterChart>
      <c:valAx>
        <c:axId val="151212544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51213120"/>
        <c:crosses val="autoZero"/>
        <c:crossBetween val="midCat"/>
      </c:valAx>
      <c:valAx>
        <c:axId val="151213120"/>
        <c:scaling>
          <c:orientation val="minMax"/>
          <c:min val="0.9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12125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7.8748457584344553E-2"/>
          <c:w val="0.18974335633023168"/>
          <c:h val="0.73914573425185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2075201537307837"/>
                  <c:y val="-0.36997454031774829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параметров'!$X$3:$X$5</c:f>
              <c:numCache>
                <c:formatCode>0.00</c:formatCode>
                <c:ptCount val="3"/>
                <c:pt idx="0">
                  <c:v>0.70095312070656457</c:v>
                </c:pt>
                <c:pt idx="1">
                  <c:v>1.064684734900829</c:v>
                </c:pt>
                <c:pt idx="2">
                  <c:v>1.2920193701147249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1479963442069741"/>
                  <c:y val="-0.11795467301176847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параметров'!$Y$3:$Y$5</c:f>
              <c:numCache>
                <c:formatCode>0.00</c:formatCode>
                <c:ptCount val="3"/>
                <c:pt idx="0">
                  <c:v>1.0160302689353471</c:v>
                </c:pt>
                <c:pt idx="1">
                  <c:v>1.584500946963034</c:v>
                </c:pt>
                <c:pt idx="2">
                  <c:v>1.8987558906408379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2988892013498313"/>
                  <c:y val="0.2028192609306646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параметров'!$Z$3:$Z$5</c:f>
              <c:numCache>
                <c:formatCode>0.00</c:formatCode>
                <c:ptCount val="3"/>
                <c:pt idx="0">
                  <c:v>2.1199578261063641</c:v>
                </c:pt>
                <c:pt idx="1">
                  <c:v>2.2628265372665961</c:v>
                </c:pt>
                <c:pt idx="2">
                  <c:v>2.6840505428183752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параметров'!$W$1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1777582489688788"/>
                  <c:y val="-0.57569985075892938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параметров'!$W$3:$W$5</c:f>
              <c:numCache>
                <c:formatCode>0.00</c:formatCode>
                <c:ptCount val="3"/>
                <c:pt idx="0">
                  <c:v>0.41862230972473069</c:v>
                </c:pt>
                <c:pt idx="1">
                  <c:v>0.63476934575504662</c:v>
                </c:pt>
                <c:pt idx="2">
                  <c:v>0.78118838449983641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15424"/>
        <c:axId val="151248896"/>
      </c:scatterChart>
      <c:valAx>
        <c:axId val="151215424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51248896"/>
        <c:crosses val="autoZero"/>
        <c:crossBetween val="midCat"/>
      </c:valAx>
      <c:valAx>
        <c:axId val="1512488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1215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7.3787760063120489E-2"/>
          <c:w val="0.18974352799916333"/>
          <c:h val="0.69992977574331006"/>
        </c:manualLayout>
      </c:layout>
      <c:overlay val="0"/>
    </c:legend>
    <c:plotVisOnly val="1"/>
    <c:dispBlanksAs val="gap"/>
    <c:showDLblsOverMax val="0"/>
  </c:chart>
  <c:spPr>
    <a:ln>
      <a:solidFill>
        <a:srgbClr val="FF0000"/>
      </a:solidFill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3729548355634569"/>
                  <c:y val="-0.34476005768410994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параметров'!$AC$3:$AC$5</c:f>
              <c:numCache>
                <c:formatCode>0.00</c:formatCode>
                <c:ptCount val="3"/>
                <c:pt idx="0">
                  <c:v>3.3625205098926783</c:v>
                </c:pt>
                <c:pt idx="1">
                  <c:v>5.5521220115795291</c:v>
                </c:pt>
                <c:pt idx="2">
                  <c:v>7.5051486838039079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2264986348132182"/>
                  <c:y val="-7.4286809143596547E-2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параметров'!$AD$3:$AD$5</c:f>
              <c:numCache>
                <c:formatCode>0.00</c:formatCode>
                <c:ptCount val="3"/>
                <c:pt idx="0">
                  <c:v>4.8836534497906232</c:v>
                </c:pt>
                <c:pt idx="1">
                  <c:v>8.2232796836757629</c:v>
                </c:pt>
                <c:pt idx="2">
                  <c:v>10.96639686083418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255385459418788"/>
                  <c:y val="0.2557642539914803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параметров'!$AE$3:$AE$5</c:f>
              <c:numCache>
                <c:formatCode>0.00</c:formatCode>
                <c:ptCount val="3"/>
                <c:pt idx="0">
                  <c:v>10.57247077115923</c:v>
                </c:pt>
                <c:pt idx="1">
                  <c:v>11.85145056118313</c:v>
                </c:pt>
                <c:pt idx="2">
                  <c:v>16.393634129227802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параметров'!$AB$1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3420459332354973"/>
                  <c:y val="-0.57441625949982311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параметров'!$AB$3:$AB$5</c:f>
              <c:numCache>
                <c:formatCode>0.00</c:formatCode>
                <c:ptCount val="3"/>
                <c:pt idx="0">
                  <c:v>2.0106969401825472</c:v>
                </c:pt>
                <c:pt idx="1">
                  <c:v>3.3152476201835377</c:v>
                </c:pt>
                <c:pt idx="2">
                  <c:v>4.4463676113951003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51200"/>
        <c:axId val="151251776"/>
      </c:scatterChart>
      <c:valAx>
        <c:axId val="15125120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51251776"/>
        <c:crosses val="autoZero"/>
        <c:crossBetween val="midCat"/>
      </c:valAx>
      <c:valAx>
        <c:axId val="1512517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12512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8.4687925460624466E-2"/>
          <c:w val="0.18974353805143168"/>
          <c:h val="0.75173820908209976"/>
        </c:manualLayout>
      </c:layout>
      <c:overlay val="0"/>
    </c:legend>
    <c:plotVisOnly val="1"/>
    <c:dispBlanksAs val="gap"/>
    <c:showDLblsOverMax val="0"/>
  </c:chart>
  <c:spPr>
    <a:ln>
      <a:solidFill>
        <a:srgbClr val="FF0000"/>
      </a:solidFill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3582693587544407"/>
                  <c:y val="-0.43734506026808673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параметров'!$AH$3:$AH$5</c:f>
              <c:numCache>
                <c:formatCode>0.00</c:formatCode>
                <c:ptCount val="3"/>
                <c:pt idx="0">
                  <c:v>3.4722498036228837E-2</c:v>
                </c:pt>
                <c:pt idx="1">
                  <c:v>4.1621891638244028E-2</c:v>
                </c:pt>
                <c:pt idx="2">
                  <c:v>5.6847000970641257E-2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4773136301003909"/>
                  <c:y val="-0.21093871057908944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параметров'!$AI$3:$AI$5</c:f>
              <c:numCache>
                <c:formatCode>0.00</c:formatCode>
                <c:ptCount val="3"/>
                <c:pt idx="0">
                  <c:v>3.9057753365996283E-2</c:v>
                </c:pt>
                <c:pt idx="1">
                  <c:v>7.5139610047732258E-2</c:v>
                </c:pt>
                <c:pt idx="2">
                  <c:v>8.2933686315911692E-2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2987472230814657"/>
                  <c:y val="0.1520071572598252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параметров'!$AJ$3:$AJ$5</c:f>
              <c:numCache>
                <c:formatCode>0.00</c:formatCode>
                <c:ptCount val="3"/>
                <c:pt idx="0">
                  <c:v>0.101663990209114</c:v>
                </c:pt>
                <c:pt idx="1">
                  <c:v>9.6939763581797372E-2</c:v>
                </c:pt>
                <c:pt idx="2">
                  <c:v>0.14073505060076499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параметров'!$AG$1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2969615590112763"/>
                  <c:y val="-0.64547538139384142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параметров'!$AG$3:$AG$5</c:f>
              <c:numCache>
                <c:formatCode>0.00</c:formatCode>
                <c:ptCount val="3"/>
                <c:pt idx="0">
                  <c:v>2.2764643685802711E-2</c:v>
                </c:pt>
                <c:pt idx="1">
                  <c:v>2.852828437417005E-2</c:v>
                </c:pt>
                <c:pt idx="2">
                  <c:v>3.1060425913463599E-2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55808"/>
        <c:axId val="151256384"/>
      </c:scatterChart>
      <c:valAx>
        <c:axId val="151255808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51256384"/>
        <c:crosses val="autoZero"/>
        <c:crossBetween val="midCat"/>
      </c:valAx>
      <c:valAx>
        <c:axId val="15125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12558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9.8586984577347117E-2"/>
          <c:w val="0.18974353768605062"/>
          <c:h val="0.72888579241229556"/>
        </c:manualLayout>
      </c:layout>
      <c:overlay val="0"/>
    </c:legend>
    <c:plotVisOnly val="1"/>
    <c:dispBlanksAs val="gap"/>
    <c:showDLblsOverMax val="0"/>
  </c:chart>
  <c:spPr>
    <a:ln>
      <a:solidFill>
        <a:srgbClr val="FF0000"/>
      </a:solidFill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6.8671053187822923E-3"/>
                  <c:y val="0.20219111266553866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параметров'!$S$3:$S$5</c:f>
              <c:numCache>
                <c:formatCode>0.00</c:formatCode>
                <c:ptCount val="3"/>
                <c:pt idx="0">
                  <c:v>35.817539872481248</c:v>
                </c:pt>
                <c:pt idx="1">
                  <c:v>37.019776838552332</c:v>
                </c:pt>
                <c:pt idx="2">
                  <c:v>36.279159894422151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1.0432497228867923E-3"/>
                  <c:y val="0.21851045930183105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параметров'!$T$3:$T$5</c:f>
              <c:numCache>
                <c:formatCode>0.00</c:formatCode>
                <c:ptCount val="3"/>
                <c:pt idx="0">
                  <c:v>36.246833341573172</c:v>
                </c:pt>
                <c:pt idx="1">
                  <c:v>36.733346349197816</c:v>
                </c:pt>
                <c:pt idx="2">
                  <c:v>36.181333441268968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2.8494235734790062E-2"/>
                  <c:y val="0.3954166233422503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параметров'!$U$3:$U$5</c:f>
              <c:numCache>
                <c:formatCode>0.00</c:formatCode>
                <c:ptCount val="3"/>
                <c:pt idx="0">
                  <c:v>36.541005338341662</c:v>
                </c:pt>
                <c:pt idx="1">
                  <c:v>36.446375715679679</c:v>
                </c:pt>
                <c:pt idx="2">
                  <c:v>36.373642572839472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параметров'!$R$1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4.0765078457490316E-3"/>
                  <c:y val="0.18914162805461593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параметров'!$R$3:$R$5</c:f>
              <c:numCache>
                <c:formatCode>0.00</c:formatCode>
                <c:ptCount val="3"/>
                <c:pt idx="0">
                  <c:v>36.032084179519657</c:v>
                </c:pt>
                <c:pt idx="1">
                  <c:v>36.424236786712243</c:v>
                </c:pt>
                <c:pt idx="2">
                  <c:v>36.385680359718272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39520"/>
        <c:axId val="82340096"/>
      </c:scatterChart>
      <c:valAx>
        <c:axId val="8233952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82340096"/>
        <c:crosses val="autoZero"/>
        <c:crossBetween val="midCat"/>
      </c:valAx>
      <c:valAx>
        <c:axId val="823400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2339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4.5030819073518566E-2"/>
          <c:w val="0.18974352557224197"/>
          <c:h val="0.8683267479651686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313166102274733"/>
                  <c:y val="-0.21252650446277077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параметров'!$AM$3:$AM$5</c:f>
              <c:numCache>
                <c:formatCode>0.00</c:formatCode>
                <c:ptCount val="3"/>
                <c:pt idx="0">
                  <c:v>0.23231190388968209</c:v>
                </c:pt>
                <c:pt idx="1">
                  <c:v>0.39060445355217371</c:v>
                </c:pt>
                <c:pt idx="2">
                  <c:v>0.54031573554169243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5173957664236235"/>
                  <c:y val="-4.5736093365552439E-3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параметров'!$AN$3:$AN$5</c:f>
              <c:numCache>
                <c:formatCode>0.00</c:formatCode>
                <c:ptCount val="3"/>
                <c:pt idx="0">
                  <c:v>0.28966817965585773</c:v>
                </c:pt>
                <c:pt idx="1">
                  <c:v>0.50423272157667343</c:v>
                </c:pt>
                <c:pt idx="2">
                  <c:v>0.69735661932150639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3726729068216515"/>
                  <c:y val="0.1848145845337681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параметров'!$AO$3:$AO$5</c:f>
              <c:numCache>
                <c:formatCode>0.00</c:formatCode>
                <c:ptCount val="3"/>
                <c:pt idx="0">
                  <c:v>0.54537985439518744</c:v>
                </c:pt>
                <c:pt idx="1">
                  <c:v>0.61864894702468287</c:v>
                </c:pt>
                <c:pt idx="2">
                  <c:v>0.84238739640577953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параметров'!$AL$1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2553925056272392"/>
                  <c:y val="-0.45062369470502894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параметров'!$AL$3:$AL$5</c:f>
              <c:numCache>
                <c:formatCode>0.00</c:formatCode>
                <c:ptCount val="3"/>
                <c:pt idx="0">
                  <c:v>0.15782996820197831</c:v>
                </c:pt>
                <c:pt idx="1">
                  <c:v>0.26800494850259537</c:v>
                </c:pt>
                <c:pt idx="2">
                  <c:v>0.36111306131804349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42400"/>
        <c:axId val="82342976"/>
      </c:scatterChart>
      <c:valAx>
        <c:axId val="8234240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82342976"/>
        <c:crosses val="autoZero"/>
        <c:crossBetween val="midCat"/>
      </c:valAx>
      <c:valAx>
        <c:axId val="823429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23424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5.7848623362189322E-2"/>
          <c:w val="0.18974340764633987"/>
          <c:h val="0.74932263209717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4583627477599782"/>
                  <c:y val="-7.6054036535404948E-2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параметров'!$AR$3:$AR$5</c:f>
              <c:numCache>
                <c:formatCode>0.00</c:formatCode>
                <c:ptCount val="3"/>
                <c:pt idx="0">
                  <c:v>0.7045453826597029</c:v>
                </c:pt>
                <c:pt idx="1">
                  <c:v>0.73590572122771503</c:v>
                </c:pt>
                <c:pt idx="2">
                  <c:v>0.78749420826813032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3744547017829667"/>
                  <c:y val="6.0879403665184397E-3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параметров'!$AS$3:$AS$5</c:f>
              <c:numCache>
                <c:formatCode>0.00</c:formatCode>
                <c:ptCount val="3"/>
                <c:pt idx="0">
                  <c:v>0.69242340150749127</c:v>
                </c:pt>
                <c:pt idx="1">
                  <c:v>0.7387853660538346</c:v>
                </c:pt>
                <c:pt idx="2">
                  <c:v>0.78897175613577097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4296271155760701"/>
                  <c:y val="9.664668404229924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параметров'!$AT$3:$AT$5</c:f>
              <c:numCache>
                <c:formatCode>0.00</c:formatCode>
                <c:ptCount val="3"/>
                <c:pt idx="0">
                  <c:v>0.73443818459725008</c:v>
                </c:pt>
                <c:pt idx="1">
                  <c:v>0.74688266789457802</c:v>
                </c:pt>
                <c:pt idx="2">
                  <c:v>0.79196567352181702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параметров'!$H$1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4319259661507828"/>
                  <c:y val="-0.14646726737450053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параметров'!$AQ$3:$AQ$5</c:f>
              <c:numCache>
                <c:formatCode>0.00</c:formatCode>
                <c:ptCount val="3"/>
                <c:pt idx="0">
                  <c:v>0.6940563179930932</c:v>
                </c:pt>
                <c:pt idx="1">
                  <c:v>0.74064339174072369</c:v>
                </c:pt>
                <c:pt idx="2">
                  <c:v>0.78812959684333295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44704"/>
        <c:axId val="82345280"/>
      </c:scatterChart>
      <c:valAx>
        <c:axId val="82344704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82345280"/>
        <c:crosses val="autoZero"/>
        <c:crossBetween val="midCat"/>
      </c:valAx>
      <c:valAx>
        <c:axId val="82345280"/>
        <c:scaling>
          <c:orientation val="minMax"/>
          <c:max val="0.82000000000000006"/>
          <c:min val="0.6700000000000001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23447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2.9187957638647635E-2"/>
          <c:w val="0.1864041787990002"/>
          <c:h val="0.7551095421721353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параметров'!$BB$3:$BB$5</c:f>
              <c:numCache>
                <c:formatCode>0.00</c:formatCode>
                <c:ptCount val="3"/>
                <c:pt idx="0">
                  <c:v>0.99813663122089058</c:v>
                </c:pt>
                <c:pt idx="1">
                  <c:v>1.0914154070678921</c:v>
                </c:pt>
                <c:pt idx="2">
                  <c:v>1.169273660448515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параметров'!$BC$3:$BC$5</c:f>
              <c:numCache>
                <c:formatCode>0.00</c:formatCode>
                <c:ptCount val="3"/>
                <c:pt idx="0">
                  <c:v>1.320909195306843</c:v>
                </c:pt>
                <c:pt idx="1">
                  <c:v>1.4220605129095161</c:v>
                </c:pt>
                <c:pt idx="2">
                  <c:v>1.527854462722273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параметров'!$BD$3:$BD$5</c:f>
              <c:numCache>
                <c:formatCode>0.00</c:formatCode>
                <c:ptCount val="3"/>
                <c:pt idx="0">
                  <c:v>1.76161935760239</c:v>
                </c:pt>
                <c:pt idx="1">
                  <c:v>1.791064419948597</c:v>
                </c:pt>
                <c:pt idx="2">
                  <c:v>1.892163442214591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параметров'!$C$1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параметров'!$BA$3:$BA$5</c:f>
              <c:numCache>
                <c:formatCode>0.00</c:formatCode>
                <c:ptCount val="3"/>
                <c:pt idx="0">
                  <c:v>0.67152913655168456</c:v>
                </c:pt>
                <c:pt idx="1">
                  <c:v>0.7203415112797863</c:v>
                </c:pt>
                <c:pt idx="2">
                  <c:v>0.77016532191918385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88768"/>
        <c:axId val="99289344"/>
      </c:scatterChart>
      <c:valAx>
        <c:axId val="99288768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99289344"/>
        <c:crosses val="autoZero"/>
        <c:crossBetween val="midCat"/>
      </c:valAx>
      <c:valAx>
        <c:axId val="99289344"/>
        <c:scaling>
          <c:orientation val="minMax"/>
          <c:min val="0.78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92887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5210124958"/>
          <c:y val="2.6820699931903471E-2"/>
          <c:w val="0.1864041787990002"/>
          <c:h val="0.8938243078323545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1127344137979961"/>
                  <c:y val="-6.4966940794172798E-2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параметров'!$BG$3:$BG$5</c:f>
              <c:numCache>
                <c:formatCode>0.00</c:formatCode>
                <c:ptCount val="3"/>
                <c:pt idx="0">
                  <c:v>2.7951866594750601</c:v>
                </c:pt>
                <c:pt idx="1">
                  <c:v>2.55112847655354</c:v>
                </c:pt>
                <c:pt idx="2">
                  <c:v>2.36437526780171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0814496803537785"/>
                  <c:y val="4.3701007038896636E-2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параметров'!$BH$3:$BH$5</c:f>
              <c:numCache>
                <c:formatCode>0.00</c:formatCode>
                <c:ptCount val="3"/>
                <c:pt idx="0">
                  <c:v>2.8058568698159778</c:v>
                </c:pt>
                <c:pt idx="1">
                  <c:v>2.553576811850502</c:v>
                </c:pt>
                <c:pt idx="2">
                  <c:v>2.367429976926716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0170031294586904"/>
                  <c:y val="0.1774182391781287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параметров'!$BI$3:$BI$5</c:f>
              <c:numCache>
                <c:formatCode>0.00</c:formatCode>
                <c:ptCount val="3"/>
                <c:pt idx="0">
                  <c:v>2.6465295830648481</c:v>
                </c:pt>
                <c:pt idx="1">
                  <c:v>2.589277071200077</c:v>
                </c:pt>
                <c:pt idx="2">
                  <c:v>2.383516466677686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параметров'!$BF$1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21127344137979961"/>
                  <c:y val="-0.11888607693915512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параметров'!$BF$3:$BF$5</c:f>
              <c:numCache>
                <c:formatCode>0.00</c:formatCode>
                <c:ptCount val="3"/>
                <c:pt idx="0">
                  <c:v>2.779884220994032</c:v>
                </c:pt>
                <c:pt idx="1">
                  <c:v>2.5550995359232478</c:v>
                </c:pt>
                <c:pt idx="2">
                  <c:v>2.3872799904378641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91648"/>
        <c:axId val="99292224"/>
      </c:scatterChart>
      <c:valAx>
        <c:axId val="99291648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99292224"/>
        <c:crosses val="autoZero"/>
        <c:crossBetween val="midCat"/>
      </c:valAx>
      <c:valAx>
        <c:axId val="99292224"/>
        <c:scaling>
          <c:orientation val="minMax"/>
          <c:min val="2.200000000000000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92916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61364191726"/>
          <c:y val="0.10422446576714349"/>
          <c:w val="0.18974348280286149"/>
          <c:h val="0.7286750453746434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0"/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параметров'!$BL$3:$BL$5</c:f>
              <c:numCache>
                <c:formatCode>0.00</c:formatCode>
                <c:ptCount val="3"/>
                <c:pt idx="0">
                  <c:v>4.5661845582647862</c:v>
                </c:pt>
                <c:pt idx="1">
                  <c:v>4.6435609990761844</c:v>
                </c:pt>
                <c:pt idx="2">
                  <c:v>4.5962017072205983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0"/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параметров'!$BM$3:$BM$5</c:f>
              <c:numCache>
                <c:formatCode>0.00</c:formatCode>
                <c:ptCount val="3"/>
                <c:pt idx="0">
                  <c:v>4.593733230992326</c:v>
                </c:pt>
                <c:pt idx="1">
                  <c:v>4.6254892208931766</c:v>
                </c:pt>
                <c:pt idx="2">
                  <c:v>4.5898929496871137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0"/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параметров'!$BN$3:$BN$5</c:f>
              <c:numCache>
                <c:formatCode>0.00</c:formatCode>
                <c:ptCount val="3"/>
                <c:pt idx="0">
                  <c:v>4.6126801949029694</c:v>
                </c:pt>
                <c:pt idx="1">
                  <c:v>4.6069934307581928</c:v>
                </c:pt>
                <c:pt idx="2">
                  <c:v>4.6021273978497463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параметров'!$C$1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параметров'!$BK$3:$BK$5</c:f>
              <c:numCache>
                <c:formatCode>0.00</c:formatCode>
                <c:ptCount val="3"/>
                <c:pt idx="0">
                  <c:v>4.5802494080564973</c:v>
                </c:pt>
                <c:pt idx="1">
                  <c:v>4.6051968074429626</c:v>
                </c:pt>
                <c:pt idx="2">
                  <c:v>4.6029877094517273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94528"/>
        <c:axId val="101269504"/>
      </c:scatterChart>
      <c:valAx>
        <c:axId val="99294528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01269504"/>
        <c:crosses val="autoZero"/>
        <c:crossBetween val="midCat"/>
      </c:valAx>
      <c:valAx>
        <c:axId val="1012695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92945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581305096746924"/>
          <c:y val="7.7639837995351263E-2"/>
          <c:w val="0.20418694903253085"/>
          <c:h val="0.782952425345706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4.1447095869376831E-2"/>
                  <c:y val="0.54012121541450198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параметров'!$BV$3:$BV$5</c:f>
              <c:numCache>
                <c:formatCode>0.00</c:formatCode>
                <c:ptCount val="3"/>
                <c:pt idx="0">
                  <c:v>36.953751954429293</c:v>
                </c:pt>
                <c:pt idx="1">
                  <c:v>37.132224844809322</c:v>
                </c:pt>
                <c:pt idx="2">
                  <c:v>37.232425038529932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4.4463917858826037E-2"/>
                  <c:y val="0.63377885076298179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параметров'!$BW$3:$BW$5</c:f>
              <c:numCache>
                <c:formatCode>0.00</c:formatCode>
                <c:ptCount val="3"/>
                <c:pt idx="0">
                  <c:v>36.951397061097687</c:v>
                </c:pt>
                <c:pt idx="1">
                  <c:v>37.132224844809322</c:v>
                </c:pt>
                <c:pt idx="2">
                  <c:v>37.232425038529932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5.345404738738465E-2"/>
                  <c:y val="0.7323658353403287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параметров'!$BX$3:$BX$5</c:f>
              <c:numCache>
                <c:formatCode>0.00</c:formatCode>
                <c:ptCount val="3"/>
                <c:pt idx="0">
                  <c:v>37.110526979979298</c:v>
                </c:pt>
                <c:pt idx="1">
                  <c:v>37.132224844809322</c:v>
                </c:pt>
                <c:pt idx="2">
                  <c:v>37.232425038529932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параметров'!$C$1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4.1447095869376831E-2"/>
                  <c:y val="0.45632227852375695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параметров'!$BU$3:$BU$5</c:f>
              <c:numCache>
                <c:formatCode>0.00</c:formatCode>
                <c:ptCount val="3"/>
                <c:pt idx="0">
                  <c:v>36.940597539775922</c:v>
                </c:pt>
                <c:pt idx="1">
                  <c:v>37.120524779235062</c:v>
                </c:pt>
                <c:pt idx="2">
                  <c:v>37.225584306065187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71808"/>
        <c:axId val="101272384"/>
      </c:scatterChart>
      <c:valAx>
        <c:axId val="101271808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01272384"/>
        <c:crosses val="autoZero"/>
        <c:crossBetween val="midCat"/>
      </c:valAx>
      <c:valAx>
        <c:axId val="101272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12718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0.16228025453652828"/>
          <c:w val="0.18974337534396521"/>
          <c:h val="0.7095565332313823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1.7110086703631164E-2"/>
                  <c:y val="-0.1619742474934161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параметров'!$CA$3:$CA$5</c:f>
              <c:numCache>
                <c:formatCode>0.00</c:formatCode>
                <c:ptCount val="3"/>
                <c:pt idx="0">
                  <c:v>269.57689949047023</c:v>
                </c:pt>
                <c:pt idx="1">
                  <c:v>330.67132919381822</c:v>
                </c:pt>
                <c:pt idx="2">
                  <c:v>389.89694775065112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6.403772480246088E-3"/>
                  <c:y val="-0.25948030375841441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параметров'!$CB$3:$CB$5</c:f>
              <c:numCache>
                <c:formatCode>0.00</c:formatCode>
                <c:ptCount val="3"/>
                <c:pt idx="0">
                  <c:v>136.17985126249431</c:v>
                </c:pt>
                <c:pt idx="1">
                  <c:v>188.75231963159561</c:v>
                </c:pt>
                <c:pt idx="2">
                  <c:v>231.36486825666239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5.3820439165867349E-3"/>
                  <c:y val="-0.31199652908259828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параметров'!$CC$3:$CC$5</c:f>
              <c:numCache>
                <c:formatCode>0.00</c:formatCode>
                <c:ptCount val="3"/>
                <c:pt idx="0">
                  <c:v>77.679242935239216</c:v>
                </c:pt>
                <c:pt idx="1">
                  <c:v>89.496154135898806</c:v>
                </c:pt>
                <c:pt idx="2">
                  <c:v>129.95583669065161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'скан параметров'!$M$1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1.9388277552609808E-2"/>
                  <c:y val="0.14624883562564198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параметров'!$BZ$3:$BZ$5</c:f>
              <c:numCache>
                <c:formatCode>0.00</c:formatCode>
                <c:ptCount val="3"/>
                <c:pt idx="0">
                  <c:v>533.0290021070914</c:v>
                </c:pt>
                <c:pt idx="1">
                  <c:v>646.2035210199474</c:v>
                </c:pt>
                <c:pt idx="2">
                  <c:v>741.25167915965119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74688"/>
        <c:axId val="101275264"/>
      </c:scatterChart>
      <c:valAx>
        <c:axId val="101274688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01275264"/>
        <c:crosses val="autoZero"/>
        <c:crossBetween val="midCat"/>
      </c:valAx>
      <c:valAx>
        <c:axId val="10127526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1274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0.16228025453652828"/>
          <c:w val="0.1864041787990002"/>
          <c:h val="0.7277060743332034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1077182375860634"/>
                  <c:y val="-0.2078555196096887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параметров'!$CF$3:$CF$5</c:f>
              <c:numCache>
                <c:formatCode>0.00</c:formatCode>
                <c:ptCount val="3"/>
                <c:pt idx="0">
                  <c:v>224.10505736820241</c:v>
                </c:pt>
                <c:pt idx="1">
                  <c:v>222.5340923766847</c:v>
                </c:pt>
                <c:pt idx="2">
                  <c:v>223.4290862920214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6.6834983520870153E-2"/>
                  <c:y val="-8.8328892390753783E-2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параметров'!$CG$3:$CG$5</c:f>
              <c:numCache>
                <c:formatCode>0.00</c:formatCode>
                <c:ptCount val="3"/>
                <c:pt idx="0">
                  <c:v>223.4531869862</c:v>
                </c:pt>
                <c:pt idx="1">
                  <c:v>222.96651121033409</c:v>
                </c:pt>
                <c:pt idx="2">
                  <c:v>223.49566734379852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4.6671989118542832E-2"/>
                  <c:y val="-0.1371834009016439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параметров'!$CH$3:$CH$5</c:f>
              <c:numCache>
                <c:formatCode>0.00</c:formatCode>
                <c:ptCount val="3"/>
                <c:pt idx="0">
                  <c:v>222.94696508974158</c:v>
                </c:pt>
                <c:pt idx="1">
                  <c:v>223.24765378177682</c:v>
                </c:pt>
                <c:pt idx="2">
                  <c:v>223.18757710029021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'скан параметров'!$AG$1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7.570323464051841E-2"/>
                  <c:y val="-0.31367622714596499"/>
                </c:manualLayout>
              </c:layout>
              <c:numFmt formatCode="General" sourceLinked="0"/>
            </c:trendlineLbl>
          </c:trendline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параметров'!$CE$3:$CE$5</c:f>
              <c:numCache>
                <c:formatCode>0.00</c:formatCode>
                <c:ptCount val="3"/>
                <c:pt idx="0">
                  <c:v>223.63838075916701</c:v>
                </c:pt>
                <c:pt idx="1">
                  <c:v>223.17329512962689</c:v>
                </c:pt>
                <c:pt idx="2">
                  <c:v>223.39213508229881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79360"/>
        <c:axId val="104079936"/>
      </c:scatterChart>
      <c:valAx>
        <c:axId val="10407936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04079936"/>
        <c:crosses val="autoZero"/>
        <c:crossBetween val="midCat"/>
      </c:valAx>
      <c:valAx>
        <c:axId val="1040799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40793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2621819844"/>
          <c:y val="0.16228025453652828"/>
          <c:w val="0.1864041787990002"/>
          <c:h val="0.7255334467989311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параметров'!$CP$3:$CP$5</c:f>
              <c:numCache>
                <c:formatCode>0.00</c:formatCode>
                <c:ptCount val="3"/>
                <c:pt idx="0">
                  <c:v>0.41331188315759437</c:v>
                </c:pt>
                <c:pt idx="1">
                  <c:v>0.28120448450546298</c:v>
                </c:pt>
                <c:pt idx="2">
                  <c:v>0.23925323058769801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параметров'!$CQ$3:$CQ$5</c:f>
              <c:numCache>
                <c:formatCode>0.00</c:formatCode>
                <c:ptCount val="3"/>
                <c:pt idx="0">
                  <c:v>0.28094423242828442</c:v>
                </c:pt>
                <c:pt idx="1">
                  <c:v>0.18416120226577551</c:v>
                </c:pt>
                <c:pt idx="2">
                  <c:v>0.15937304406324029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параметров'!$CR$3:$CR$5</c:f>
              <c:numCache>
                <c:formatCode>0.00</c:formatCode>
                <c:ptCount val="3"/>
                <c:pt idx="0">
                  <c:v>0.1405667384711049</c:v>
                </c:pt>
                <c:pt idx="1">
                  <c:v>0.1304345490753393</c:v>
                </c:pt>
                <c:pt idx="2">
                  <c:v>0.11909961584830391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'скан параметров'!$BK$1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параметров'!$CO$3:$CO$5</c:f>
              <c:numCache>
                <c:formatCode>0.00</c:formatCode>
                <c:ptCount val="3"/>
                <c:pt idx="0">
                  <c:v>0.70588171784061704</c:v>
                </c:pt>
                <c:pt idx="1">
                  <c:v>0.46638044010589502</c:v>
                </c:pt>
                <c:pt idx="2">
                  <c:v>0.38597169052844521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82240"/>
        <c:axId val="104082816"/>
      </c:scatterChart>
      <c:valAx>
        <c:axId val="10408224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04082816"/>
        <c:crosses val="autoZero"/>
        <c:crossBetween val="midCat"/>
      </c:valAx>
      <c:valAx>
        <c:axId val="10408281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4082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5210124958"/>
          <c:y val="9.1827549300316808E-2"/>
          <c:w val="0.1864041787990002"/>
          <c:h val="0.824120546082818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параметров'!$CZ$3:$CZ$5</c:f>
              <c:numCache>
                <c:formatCode>0.00</c:formatCode>
                <c:ptCount val="3"/>
                <c:pt idx="0">
                  <c:v>0.65315651556684517</c:v>
                </c:pt>
                <c:pt idx="1">
                  <c:v>0.56632182954179133</c:v>
                </c:pt>
                <c:pt idx="2">
                  <c:v>0.47717854734808018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параметров'!$DA$3:$DA$5</c:f>
              <c:numCache>
                <c:formatCode>0.00</c:formatCode>
                <c:ptCount val="3"/>
                <c:pt idx="0">
                  <c:v>0.64857082034698721</c:v>
                </c:pt>
                <c:pt idx="1">
                  <c:v>0.56296471802617143</c:v>
                </c:pt>
                <c:pt idx="2">
                  <c:v>0.47717690892925579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параметров'!$DB$3:$DB$5</c:f>
              <c:numCache>
                <c:formatCode>0.00</c:formatCode>
                <c:ptCount val="3"/>
                <c:pt idx="0">
                  <c:v>0.59395569890916655</c:v>
                </c:pt>
                <c:pt idx="1">
                  <c:v>0.56611449955973048</c:v>
                </c:pt>
                <c:pt idx="2">
                  <c:v>0.48951193683096372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'скан параметров'!$CY$1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параметров'!$CY$3:$CY$5</c:f>
              <c:numCache>
                <c:formatCode>0.00</c:formatCode>
                <c:ptCount val="3"/>
                <c:pt idx="0">
                  <c:v>0.64880621227576285</c:v>
                </c:pt>
                <c:pt idx="1">
                  <c:v>0.55192371128986661</c:v>
                </c:pt>
                <c:pt idx="2">
                  <c:v>0.47512589478167949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85120"/>
        <c:axId val="104085696"/>
      </c:scatterChart>
      <c:valAx>
        <c:axId val="10408512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04085696"/>
        <c:crosses val="autoZero"/>
        <c:crossBetween val="midCat"/>
      </c:valAx>
      <c:valAx>
        <c:axId val="104085696"/>
        <c:scaling>
          <c:orientation val="minMax"/>
          <c:min val="0.45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40851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5210124958"/>
          <c:y val="9.1827549300316808E-2"/>
          <c:w val="0.1864041787990002"/>
          <c:h val="0.824120546082818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параметров'!$CU$3:$CU$5</c:f>
              <c:numCache>
                <c:formatCode>0.00</c:formatCode>
                <c:ptCount val="3"/>
                <c:pt idx="0">
                  <c:v>3.702072592544623</c:v>
                </c:pt>
                <c:pt idx="1">
                  <c:v>4.3174071970637558</c:v>
                </c:pt>
                <c:pt idx="2">
                  <c:v>4.9276231324178168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параметров'!$CV$3:$CV$5</c:f>
              <c:numCache>
                <c:formatCode>0.00</c:formatCode>
                <c:ptCount val="3"/>
                <c:pt idx="0">
                  <c:v>3.668768637513363</c:v>
                </c:pt>
                <c:pt idx="1">
                  <c:v>4.2834453359459861</c:v>
                </c:pt>
                <c:pt idx="2">
                  <c:v>4.932816084859498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параметров'!$CW$3:$CW$5</c:f>
              <c:numCache>
                <c:formatCode>0.00</c:formatCode>
                <c:ptCount val="3"/>
                <c:pt idx="0">
                  <c:v>4.1198174389051747</c:v>
                </c:pt>
                <c:pt idx="1">
                  <c:v>4.2942022542426752</c:v>
                </c:pt>
                <c:pt idx="2">
                  <c:v>4.9527603404993341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'скан параметров'!$BF$1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параметров'!$CT$3:$CT$5</c:f>
              <c:numCache>
                <c:formatCode>0.00</c:formatCode>
                <c:ptCount val="3"/>
                <c:pt idx="0">
                  <c:v>3.7482382067662781</c:v>
                </c:pt>
                <c:pt idx="1">
                  <c:v>4.3462938243189857</c:v>
                </c:pt>
                <c:pt idx="2">
                  <c:v>4.9522512355594923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00032"/>
        <c:axId val="101500608"/>
      </c:scatterChart>
      <c:valAx>
        <c:axId val="101500032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01500608"/>
        <c:crosses val="autoZero"/>
        <c:crossBetween val="midCat"/>
      </c:valAx>
      <c:valAx>
        <c:axId val="101500608"/>
        <c:scaling>
          <c:orientation val="minMax"/>
          <c:min val="3.5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1500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5210124958"/>
          <c:y val="9.1827549300316808E-2"/>
          <c:w val="0.1864041787990002"/>
          <c:h val="0.824120546082818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параметров'!$DE$3:$DE$5</c:f>
              <c:numCache>
                <c:formatCode>0.00</c:formatCode>
                <c:ptCount val="3"/>
                <c:pt idx="0">
                  <c:v>2.8782320654677291</c:v>
                </c:pt>
                <c:pt idx="1">
                  <c:v>2.6647128156310602</c:v>
                </c:pt>
                <c:pt idx="2">
                  <c:v>2.497485035293376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параметров'!$DF$3:$DF$5</c:f>
              <c:numCache>
                <c:formatCode>0.00</c:formatCode>
                <c:ptCount val="3"/>
                <c:pt idx="0">
                  <c:v>2.9049567278379991</c:v>
                </c:pt>
                <c:pt idx="1">
                  <c:v>2.6862756154774412</c:v>
                </c:pt>
                <c:pt idx="2">
                  <c:v>2.5275674175291059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параметров'!$DG$3:$DG$5</c:f>
              <c:numCache>
                <c:formatCode>0.00</c:formatCode>
                <c:ptCount val="3"/>
                <c:pt idx="0">
                  <c:v>2.7864806718549562</c:v>
                </c:pt>
                <c:pt idx="1">
                  <c:v>2.729813870123543</c:v>
                </c:pt>
                <c:pt idx="2">
                  <c:v>2.560056267265165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'скан параметров'!$AG$1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параметров'!$DD$3:$DD$5</c:f>
              <c:numCache>
                <c:formatCode>0.00</c:formatCode>
                <c:ptCount val="3"/>
                <c:pt idx="0">
                  <c:v>2.8612596587687991</c:v>
                </c:pt>
                <c:pt idx="1">
                  <c:v>2.635831199209576</c:v>
                </c:pt>
                <c:pt idx="2">
                  <c:v>2.4637119646989949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04640"/>
        <c:axId val="101505216"/>
      </c:scatterChart>
      <c:valAx>
        <c:axId val="10150464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101505216"/>
        <c:crosses val="autoZero"/>
        <c:crossBetween val="midCat"/>
      </c:valAx>
      <c:valAx>
        <c:axId val="10150521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15046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5210124958"/>
          <c:y val="9.1827549300316808E-2"/>
          <c:w val="0.1864041787990002"/>
          <c:h val="0.824120546082818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параметров'!$CK$3:$CK$5</c:f>
              <c:numCache>
                <c:formatCode>0.00</c:formatCode>
                <c:ptCount val="3"/>
                <c:pt idx="0">
                  <c:v>1.2994346074542891</c:v>
                </c:pt>
                <c:pt idx="1">
                  <c:v>1.3701469366681931</c:v>
                </c:pt>
                <c:pt idx="2">
                  <c:v>1.427740795722773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параметров'!$CL$3:$CL$5</c:f>
              <c:numCache>
                <c:formatCode>0.00</c:formatCode>
                <c:ptCount val="3"/>
                <c:pt idx="0">
                  <c:v>1.7062359159960889</c:v>
                </c:pt>
                <c:pt idx="1">
                  <c:v>1.778798200900654</c:v>
                </c:pt>
                <c:pt idx="2">
                  <c:v>1.8644888433814319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параметров'!$CM$3:$CM$5</c:f>
              <c:numCache>
                <c:formatCode>0.00</c:formatCode>
                <c:ptCount val="3"/>
                <c:pt idx="0">
                  <c:v>2.221891470368123</c:v>
                </c:pt>
                <c:pt idx="1">
                  <c:v>2.2404322115732058</c:v>
                </c:pt>
                <c:pt idx="2">
                  <c:v>2.3149339128232009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'скан параметров'!$AL$1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параметров'!$CJ$3:$CJ$5</c:f>
              <c:numCache>
                <c:formatCode>0.00</c:formatCode>
                <c:ptCount val="3"/>
                <c:pt idx="0">
                  <c:v>0.88232409746766405</c:v>
                </c:pt>
                <c:pt idx="1">
                  <c:v>0.90779402077261129</c:v>
                </c:pt>
                <c:pt idx="2">
                  <c:v>0.94176546568597608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29152"/>
        <c:axId val="97329728"/>
      </c:scatterChart>
      <c:valAx>
        <c:axId val="97329152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97329728"/>
        <c:crosses val="autoZero"/>
        <c:crossBetween val="midCat"/>
      </c:valAx>
      <c:valAx>
        <c:axId val="97329728"/>
        <c:scaling>
          <c:orientation val="minMax"/>
          <c:min val="0.70000000000000007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973291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5210124958"/>
          <c:y val="9.1827549300316808E-2"/>
          <c:w val="0.1864041787990002"/>
          <c:h val="0.824120546082818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0235429629"/>
          <c:y val="5.1400586847775355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параметров'!$BQ$3:$BQ$5</c:f>
              <c:numCache>
                <c:formatCode>0.00</c:formatCode>
                <c:ptCount val="3"/>
                <c:pt idx="0">
                  <c:v>3.3567525043259838</c:v>
                </c:pt>
                <c:pt idx="1">
                  <c:v>3.4179118457545208</c:v>
                </c:pt>
                <c:pt idx="2">
                  <c:v>3.3804597238160818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параметров'!$BR$3:$BR$5</c:f>
              <c:numCache>
                <c:formatCode>0.00</c:formatCode>
                <c:ptCount val="3"/>
                <c:pt idx="0">
                  <c:v>3.378532164730732</c:v>
                </c:pt>
                <c:pt idx="1">
                  <c:v>3.403605641299317</c:v>
                </c:pt>
                <c:pt idx="2">
                  <c:v>3.375473900135971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параметров'!$BS$3:$BS$5</c:f>
              <c:numCache>
                <c:formatCode>0.00</c:formatCode>
                <c:ptCount val="3"/>
                <c:pt idx="0">
                  <c:v>3.3935072398094688</c:v>
                </c:pt>
                <c:pt idx="1">
                  <c:v>3.388987843213191</c:v>
                </c:pt>
                <c:pt idx="2">
                  <c:v>3.385152876351238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'скан параметров'!$C$1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параметров'!$BP$3:$BP$5</c:f>
              <c:numCache>
                <c:formatCode>0.00</c:formatCode>
                <c:ptCount val="3"/>
                <c:pt idx="0">
                  <c:v>3.367853816126742</c:v>
                </c:pt>
                <c:pt idx="1">
                  <c:v>3.3875903170306971</c:v>
                </c:pt>
                <c:pt idx="2">
                  <c:v>3.3858277142123989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2032"/>
        <c:axId val="97332608"/>
      </c:scatterChart>
      <c:valAx>
        <c:axId val="97332032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97332608"/>
        <c:crosses val="autoZero"/>
        <c:crossBetween val="midCat"/>
      </c:valAx>
      <c:valAx>
        <c:axId val="97332608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97332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5210124958"/>
          <c:y val="9.1827549300316808E-2"/>
          <c:w val="0.12315900639399191"/>
          <c:h val="0.743989474890888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параметров'!$AW$3:$AW$5</c:f>
              <c:numCache>
                <c:formatCode>0.00</c:formatCode>
                <c:ptCount val="3"/>
                <c:pt idx="0">
                  <c:v>0.53094234287480657</c:v>
                </c:pt>
                <c:pt idx="1">
                  <c:v>0.82785024361895843</c:v>
                </c:pt>
                <c:pt idx="2">
                  <c:v>1.070029728659041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параметров'!$AX$3:$AX$5</c:f>
              <c:numCache>
                <c:formatCode>0.00</c:formatCode>
                <c:ptCount val="3"/>
                <c:pt idx="0">
                  <c:v>0.77197757508628428</c:v>
                </c:pt>
                <c:pt idx="1">
                  <c:v>1.2085852427142121</c:v>
                </c:pt>
                <c:pt idx="2">
                  <c:v>1.5685334649168581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параметров'!$AY$3:$AY$5</c:f>
              <c:numCache>
                <c:formatCode>0.00</c:formatCode>
                <c:ptCount val="3"/>
                <c:pt idx="0">
                  <c:v>1.5807749934181199</c:v>
                </c:pt>
                <c:pt idx="1">
                  <c:v>1.7642409632180041</c:v>
                </c:pt>
                <c:pt idx="2">
                  <c:v>2.141893267584547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параметров'!$C$1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параметров'!$AV$3:$AV$5</c:f>
              <c:numCache>
                <c:formatCode>0.00</c:formatCode>
                <c:ptCount val="3"/>
                <c:pt idx="0">
                  <c:v>0.31870935142095591</c:v>
                </c:pt>
                <c:pt idx="1">
                  <c:v>0.50459271983545151</c:v>
                </c:pt>
                <c:pt idx="2">
                  <c:v>0.63169069234756037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4912"/>
        <c:axId val="97335488"/>
      </c:scatterChart>
      <c:valAx>
        <c:axId val="97334912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97335488"/>
        <c:crosses val="autoZero"/>
        <c:crossBetween val="midCat"/>
      </c:valAx>
      <c:valAx>
        <c:axId val="973354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7334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077991820693609"/>
          <c:y val="9.59049703506826E-2"/>
          <c:w val="0.13013658134218303"/>
          <c:h val="0.807058518968958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6477932518895939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параметров'!$D$3:$D$5</c:f>
              <c:numCache>
                <c:formatCode>0.00</c:formatCode>
                <c:ptCount val="3"/>
                <c:pt idx="0">
                  <c:v>4.3757055545660668</c:v>
                </c:pt>
                <c:pt idx="1">
                  <c:v>5.3229730055373556</c:v>
                </c:pt>
                <c:pt idx="2">
                  <c:v>6.2850776598650251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параметров'!$E$3:$E$5</c:f>
              <c:numCache>
                <c:formatCode>0.00</c:formatCode>
                <c:ptCount val="3"/>
                <c:pt idx="0">
                  <c:v>4.3283921143060704</c:v>
                </c:pt>
                <c:pt idx="1">
                  <c:v>5.2732445925655336</c:v>
                </c:pt>
                <c:pt idx="2">
                  <c:v>6.2110695778386766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параметров'!$F$3:$F$5</c:f>
              <c:numCache>
                <c:formatCode>0.00</c:formatCode>
                <c:ptCount val="3"/>
                <c:pt idx="0">
                  <c:v>4.9148052650883676</c:v>
                </c:pt>
                <c:pt idx="1">
                  <c:v>5.1773221858265872</c:v>
                </c:pt>
                <c:pt idx="2">
                  <c:v>6.1011487748740887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параметров'!$C$1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параметров'!$C$3:$C$5</c:f>
              <c:numCache>
                <c:formatCode>0.00</c:formatCode>
                <c:ptCount val="3"/>
                <c:pt idx="0">
                  <c:v>4.4021821885204897</c:v>
                </c:pt>
                <c:pt idx="1">
                  <c:v>5.3950266899004333</c:v>
                </c:pt>
                <c:pt idx="2">
                  <c:v>6.375354543468954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42720"/>
        <c:axId val="97543296"/>
      </c:scatterChart>
      <c:valAx>
        <c:axId val="9754272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97543296"/>
        <c:crosses val="autoZero"/>
        <c:crossBetween val="midCat"/>
      </c:valAx>
      <c:valAx>
        <c:axId val="97543296"/>
        <c:scaling>
          <c:orientation val="minMax"/>
          <c:min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75427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025655210124958"/>
          <c:y val="5.6890779019703977E-2"/>
          <c:w val="0.12404429320422423"/>
          <c:h val="0.910173665520963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3271388973176"/>
          <c:y val="5.1400554097404488E-2"/>
          <c:w val="0.70890041670291359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'скан параметров'!$I$1</c:f>
              <c:strCache>
                <c:ptCount val="1"/>
                <c:pt idx="0">
                  <c:v>1,5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параметров'!$D$3:$D$5</c:f>
              <c:numCache>
                <c:formatCode>0.00</c:formatCode>
                <c:ptCount val="3"/>
                <c:pt idx="0">
                  <c:v>4.3757055545660668</c:v>
                </c:pt>
                <c:pt idx="1">
                  <c:v>5.3229730055373556</c:v>
                </c:pt>
                <c:pt idx="2">
                  <c:v>6.2850776598650251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'скан параметров'!$J$1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параметров'!$E$3:$E$5</c:f>
              <c:numCache>
                <c:formatCode>0.00</c:formatCode>
                <c:ptCount val="3"/>
                <c:pt idx="0">
                  <c:v>4.3283921143060704</c:v>
                </c:pt>
                <c:pt idx="1">
                  <c:v>5.2732445925655336</c:v>
                </c:pt>
                <c:pt idx="2">
                  <c:v>6.2110695778386766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'скан параметров'!$K$1</c:f>
              <c:strCache>
                <c:ptCount val="1"/>
                <c:pt idx="0">
                  <c:v>2,5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параметров'!$F$3:$F$5</c:f>
              <c:numCache>
                <c:formatCode>0.00</c:formatCode>
                <c:ptCount val="3"/>
                <c:pt idx="0">
                  <c:v>4.9148052650883676</c:v>
                </c:pt>
                <c:pt idx="1">
                  <c:v>5.1773221858265872</c:v>
                </c:pt>
                <c:pt idx="2">
                  <c:v>6.1011487748740887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'скан параметров'!$H$1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'скан параметров'!$A$3:$A$5</c:f>
              <c:numCache>
                <c:formatCode>0.00</c:formatCode>
                <c:ptCount val="3"/>
                <c:pt idx="0">
                  <c:v>6</c:v>
                </c:pt>
                <c:pt idx="1">
                  <c:v>7</c:v>
                </c:pt>
                <c:pt idx="2">
                  <c:v>8</c:v>
                </c:pt>
              </c:numCache>
            </c:numRef>
          </c:xVal>
          <c:yVal>
            <c:numRef>
              <c:f>'скан параметров'!$C$3:$C$5</c:f>
              <c:numCache>
                <c:formatCode>0.00</c:formatCode>
                <c:ptCount val="3"/>
                <c:pt idx="0">
                  <c:v>4.4021821885204897</c:v>
                </c:pt>
                <c:pt idx="1">
                  <c:v>5.3950266899004333</c:v>
                </c:pt>
                <c:pt idx="2">
                  <c:v>6.375354543468954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45600"/>
        <c:axId val="97546176"/>
      </c:scatterChart>
      <c:valAx>
        <c:axId val="97545600"/>
        <c:scaling>
          <c:orientation val="minMax"/>
          <c:max val="8"/>
          <c:min val="6"/>
        </c:scaling>
        <c:delete val="0"/>
        <c:axPos val="b"/>
        <c:numFmt formatCode="0.00" sourceLinked="1"/>
        <c:majorTickMark val="out"/>
        <c:minorTickMark val="none"/>
        <c:tickLblPos val="nextTo"/>
        <c:crossAx val="97546176"/>
        <c:crosses val="autoZero"/>
        <c:crossBetween val="midCat"/>
      </c:valAx>
      <c:valAx>
        <c:axId val="97546176"/>
        <c:scaling>
          <c:orientation val="minMax"/>
          <c:min val="4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97545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238425954693242"/>
          <c:y val="5.6444703356607652E-2"/>
          <c:w val="0.12940470466097362"/>
          <c:h val="0.9015414532598312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157201027724441"/>
          <c:y val="5.1400554097404488E-2"/>
          <c:w val="0.64808138618120037"/>
          <c:h val="0.8326195683872849"/>
        </c:manualLayout>
      </c:layout>
      <c:scatterChart>
        <c:scatterStyle val="lineMarker"/>
        <c:varyColors val="0"/>
        <c:ser>
          <c:idx val="13"/>
          <c:order val="0"/>
          <c:tx>
            <c:strRef>
              <c:f>ASTRA!$A$77</c:f>
              <c:strCache>
                <c:ptCount val="1"/>
                <c:pt idx="0">
                  <c:v>tau*tot(D+T)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0761689161624412"/>
                  <c:y val="9.2477964733406068E-2"/>
                </c:manualLayout>
              </c:layout>
              <c:numFmt formatCode="General" sourceLinked="0"/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ASTRA!$B$77:$E$77</c:f>
              <c:numCache>
                <c:formatCode>0.00</c:formatCode>
                <c:ptCount val="4"/>
                <c:pt idx="0">
                  <c:v>0.15782996820197831</c:v>
                </c:pt>
                <c:pt idx="1">
                  <c:v>0.23231190388968209</c:v>
                </c:pt>
                <c:pt idx="2">
                  <c:v>0.28966817965585773</c:v>
                </c:pt>
                <c:pt idx="3">
                  <c:v>0.54537985439518744</c:v>
                </c:pt>
              </c:numCache>
            </c:numRef>
          </c:yVal>
          <c:smooth val="0"/>
        </c:ser>
        <c:ser>
          <c:idx val="14"/>
          <c:order val="1"/>
          <c:tx>
            <c:strRef>
              <c:f>ASTRA!$A$88</c:f>
              <c:strCache>
                <c:ptCount val="1"/>
                <c:pt idx="0">
                  <c:v>tau*tot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ASTRA!$B$88:$E$88</c:f>
              <c:numCache>
                <c:formatCode>0.00</c:formatCode>
                <c:ptCount val="4"/>
                <c:pt idx="0">
                  <c:v>9.9507832580382954E-2</c:v>
                </c:pt>
                <c:pt idx="1">
                  <c:v>0.15680022103575497</c:v>
                </c:pt>
                <c:pt idx="2">
                  <c:v>0.21925454636355571</c:v>
                </c:pt>
                <c:pt idx="3">
                  <c:v>0.31360044207150994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48480"/>
        <c:axId val="97549056"/>
      </c:scatterChart>
      <c:valAx>
        <c:axId val="9754848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7549056"/>
        <c:crosses val="autoZero"/>
        <c:crossBetween val="midCat"/>
      </c:valAx>
      <c:valAx>
        <c:axId val="97549056"/>
        <c:scaling>
          <c:orientation val="minMax"/>
          <c:min val="1.0000000000000002E-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7548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0.29678953847583212"/>
          <c:w val="0.25043222711234758"/>
          <c:h val="0.5724832183587671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1"/>
          <c:order val="0"/>
          <c:tx>
            <c:strRef>
              <c:f>ASTRA!$A$73</c:f>
              <c:strCache>
                <c:ptCount val="1"/>
                <c:pt idx="0">
                  <c:v>tau_pel(D)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ASTRA!$B$73:$E$73</c:f>
              <c:numCache>
                <c:formatCode>0.00</c:formatCode>
                <c:ptCount val="4"/>
                <c:pt idx="0">
                  <c:v>0.19134849849634819</c:v>
                </c:pt>
                <c:pt idx="1">
                  <c:v>0.32088385867532049</c:v>
                </c:pt>
                <c:pt idx="2">
                  <c:v>0.44510736523572758</c:v>
                </c:pt>
                <c:pt idx="3">
                  <c:v>1.009200169097402</c:v>
                </c:pt>
              </c:numCache>
            </c:numRef>
          </c:yVal>
          <c:smooth val="0"/>
        </c:ser>
        <c:ser>
          <c:idx val="7"/>
          <c:order val="1"/>
          <c:tx>
            <c:strRef>
              <c:f>ASTRA!$A$74</c:f>
              <c:strCache>
                <c:ptCount val="1"/>
                <c:pt idx="0">
                  <c:v>tau_pel(T)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8834826051259427"/>
                  <c:y val="-0.308095480623984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ASTRA!$B$74:$E$74</c:f>
              <c:numCache>
                <c:formatCode>0.00</c:formatCode>
                <c:ptCount val="4"/>
                <c:pt idx="0">
                  <c:v>0.2010696940182547</c:v>
                </c:pt>
                <c:pt idx="1">
                  <c:v>0.3362520509892678</c:v>
                </c:pt>
                <c:pt idx="2">
                  <c:v>0.48836534497906231</c:v>
                </c:pt>
                <c:pt idx="3">
                  <c:v>1.057247077115923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ASTRA!$A$86</c:f>
              <c:strCache>
                <c:ptCount val="1"/>
                <c:pt idx="0">
                  <c:v>tau_pel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ASTRA!$B$86:$E$86</c:f>
              <c:numCache>
                <c:formatCode>0.00</c:formatCode>
                <c:ptCount val="4"/>
                <c:pt idx="0">
                  <c:v>0.22424300299804614</c:v>
                </c:pt>
                <c:pt idx="1">
                  <c:v>0.35335261078479996</c:v>
                </c:pt>
                <c:pt idx="2">
                  <c:v>0.49409475236857625</c:v>
                </c:pt>
                <c:pt idx="3">
                  <c:v>0.70670522156959992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0976"/>
        <c:axId val="102991552"/>
      </c:scatterChart>
      <c:valAx>
        <c:axId val="102990976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02991552"/>
        <c:crosses val="autoZero"/>
        <c:crossBetween val="midCat"/>
      </c:valAx>
      <c:valAx>
        <c:axId val="102991552"/>
        <c:scaling>
          <c:logBase val="1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9909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9053E-4"/>
          <c:y val="0.1853508311461067"/>
          <c:w val="0.22577667679852315"/>
          <c:h val="0.6836600758238553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938684256449649"/>
          <c:y val="5.1400554097404488E-2"/>
          <c:w val="0.73026655389394823"/>
          <c:h val="0.8326195683872849"/>
        </c:manualLayout>
      </c:layout>
      <c:scatterChart>
        <c:scatterStyle val="lineMarker"/>
        <c:varyColors val="0"/>
        <c:ser>
          <c:idx val="10"/>
          <c:order val="0"/>
          <c:tx>
            <c:strRef>
              <c:f>ASTRA!$A$90</c:f>
              <c:strCache>
                <c:ptCount val="1"/>
                <c:pt idx="0">
                  <c:v>τе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ASTRA!$B$90:$E$90</c:f>
              <c:numCache>
                <c:formatCode>General</c:formatCode>
                <c:ptCount val="4"/>
                <c:pt idx="0">
                  <c:v>0.77</c:v>
                </c:pt>
                <c:pt idx="1">
                  <c:v>0.77</c:v>
                </c:pt>
                <c:pt idx="2">
                  <c:v>0.77</c:v>
                </c:pt>
                <c:pt idx="3">
                  <c:v>0.77</c:v>
                </c:pt>
              </c:numCache>
            </c:numRef>
          </c:yVal>
          <c:smooth val="0"/>
        </c:ser>
        <c:ser>
          <c:idx val="12"/>
          <c:order val="1"/>
          <c:tx>
            <c:strRef>
              <c:f>ASTRA!$A$91</c:f>
              <c:strCache>
                <c:ptCount val="1"/>
                <c:pt idx="0">
                  <c:v>τp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ASTRA!$B$91:$E$91</c:f>
              <c:numCache>
                <c:formatCode>General</c:formatCode>
                <c:ptCount val="4"/>
                <c:pt idx="0">
                  <c:v>1.155</c:v>
                </c:pt>
                <c:pt idx="1">
                  <c:v>1.54</c:v>
                </c:pt>
                <c:pt idx="2">
                  <c:v>1.925</c:v>
                </c:pt>
                <c:pt idx="3">
                  <c:v>2.31</c:v>
                </c:pt>
              </c:numCache>
            </c:numRef>
          </c:yVal>
          <c:smooth val="0"/>
        </c:ser>
        <c:ser>
          <c:idx val="9"/>
          <c:order val="2"/>
          <c:tx>
            <c:strRef>
              <c:f>ASTRA!$A$78</c:f>
              <c:strCache>
                <c:ptCount val="1"/>
                <c:pt idx="0">
                  <c:v>τе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ASTRA!$B$78:$E$78</c:f>
              <c:numCache>
                <c:formatCode>0.00</c:formatCode>
                <c:ptCount val="4"/>
                <c:pt idx="0">
                  <c:v>0.6940563179930932</c:v>
                </c:pt>
                <c:pt idx="1">
                  <c:v>0.7045453826597029</c:v>
                </c:pt>
                <c:pt idx="2">
                  <c:v>0.69242340150749127</c:v>
                </c:pt>
                <c:pt idx="3">
                  <c:v>0.73443818459725008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ASTRA!$A$79</c:f>
              <c:strCache>
                <c:ptCount val="1"/>
                <c:pt idx="0">
                  <c:v>τp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ASTRA!$B$79:$E$79</c:f>
              <c:numCache>
                <c:formatCode>0.00</c:formatCode>
                <c:ptCount val="4"/>
                <c:pt idx="0">
                  <c:v>0.67152913655168456</c:v>
                </c:pt>
                <c:pt idx="1">
                  <c:v>0.99813663122089058</c:v>
                </c:pt>
                <c:pt idx="2">
                  <c:v>1.320909195306843</c:v>
                </c:pt>
                <c:pt idx="3">
                  <c:v>1.76161935760239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3856"/>
        <c:axId val="102994432"/>
      </c:scatterChart>
      <c:valAx>
        <c:axId val="102993856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02994432"/>
        <c:crossesAt val="0.5"/>
        <c:crossBetween val="midCat"/>
      </c:valAx>
      <c:valAx>
        <c:axId val="102994432"/>
        <c:scaling>
          <c:orientation val="minMax"/>
          <c:max val="2.5"/>
          <c:min val="0.5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29938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1.6820564325209082E-2"/>
          <c:y val="3.7202592238899199E-2"/>
          <c:w val="0.13263348672407549"/>
          <c:h val="0.8673637795275590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2"/>
          <c:order val="0"/>
          <c:tx>
            <c:strRef>
              <c:f>ASTRA!$A$75</c:f>
              <c:strCache>
                <c:ptCount val="1"/>
                <c:pt idx="0">
                  <c:v>tau_sep(D)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0070C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ASTRA!$B$75:$E$75</c:f>
              <c:numCache>
                <c:formatCode>0.00</c:formatCode>
                <c:ptCount val="4"/>
                <c:pt idx="0">
                  <c:v>2.0579207300877651E-2</c:v>
                </c:pt>
                <c:pt idx="1">
                  <c:v>3.9420410179144813E-2</c:v>
                </c:pt>
                <c:pt idx="2">
                  <c:v>7.0231065720481642E-2</c:v>
                </c:pt>
                <c:pt idx="3">
                  <c:v>0.1078810150169575</c:v>
                </c:pt>
              </c:numCache>
            </c:numRef>
          </c:yVal>
          <c:smooth val="0"/>
        </c:ser>
        <c:ser>
          <c:idx val="8"/>
          <c:order val="1"/>
          <c:tx>
            <c:strRef>
              <c:f>ASTRA!$A$76</c:f>
              <c:strCache>
                <c:ptCount val="1"/>
                <c:pt idx="0">
                  <c:v>tau_sep(T)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6407232723684415"/>
                  <c:y val="-0.3680265474836134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ASTRA!$B$76:$E$76</c:f>
              <c:numCache>
                <c:formatCode>0.00</c:formatCode>
                <c:ptCount val="4"/>
                <c:pt idx="0">
                  <c:v>2.2764643685802711E-2</c:v>
                </c:pt>
                <c:pt idx="1">
                  <c:v>3.4722498036228837E-2</c:v>
                </c:pt>
                <c:pt idx="2">
                  <c:v>3.9057753365996283E-2</c:v>
                </c:pt>
                <c:pt idx="3">
                  <c:v>0.101663990209114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ASTRA!$A$87</c:f>
              <c:strCache>
                <c:ptCount val="1"/>
                <c:pt idx="0">
                  <c:v>tau_sep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solidFill>
                <a:srgbClr val="FFC000"/>
              </a:solidFill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ASTRA!$B$87:$E$87</c:f>
              <c:numCache>
                <c:formatCode>0.00</c:formatCode>
                <c:ptCount val="4"/>
                <c:pt idx="0">
                  <c:v>5.1856194443298163E-2</c:v>
                </c:pt>
                <c:pt idx="1">
                  <c:v>8.1712791243984992E-2</c:v>
                </c:pt>
                <c:pt idx="2">
                  <c:v>0.11425941148523325</c:v>
                </c:pt>
                <c:pt idx="3">
                  <c:v>0.16342558248796998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7312"/>
        <c:axId val="96673792"/>
      </c:scatterChart>
      <c:valAx>
        <c:axId val="102997312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6673792"/>
        <c:crosses val="autoZero"/>
        <c:crossBetween val="midCat"/>
      </c:valAx>
      <c:valAx>
        <c:axId val="966737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9973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8.6020475539342854E-3"/>
          <c:y val="0.12016564596092155"/>
          <c:w val="0.22577667679852315"/>
          <c:h val="0.802178594342373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ASTRA!$A$71</c:f>
              <c:strCache>
                <c:ptCount val="1"/>
                <c:pt idx="0">
                  <c:v>tau_NB(D)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871434965150923"/>
                  <c:y val="-0.17381020858226282"/>
                </c:manualLayout>
              </c:layout>
              <c:numFmt formatCode="General" sourceLinked="0"/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ASTRA!$B$71:$E$71</c:f>
              <c:numCache>
                <c:formatCode>0.00</c:formatCode>
                <c:ptCount val="4"/>
                <c:pt idx="0">
                  <c:v>0.41862230972473069</c:v>
                </c:pt>
                <c:pt idx="1">
                  <c:v>0.70095312070656457</c:v>
                </c:pt>
                <c:pt idx="2">
                  <c:v>1.0160302689353471</c:v>
                </c:pt>
                <c:pt idx="3">
                  <c:v>2.1199578261063641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ASTRA!$A$72</c:f>
              <c:strCache>
                <c:ptCount val="1"/>
                <c:pt idx="0">
                  <c:v>tau_NB(T)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ASTRA!$B$72:$E$72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ASTRA!$A$85</c:f>
              <c:strCache>
                <c:ptCount val="1"/>
                <c:pt idx="0">
                  <c:v>tau_NB 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ASTRA!$B$85:$E$85</c:f>
              <c:numCache>
                <c:formatCode>0.00</c:formatCode>
                <c:ptCount val="4"/>
                <c:pt idx="0">
                  <c:v>0.2662885660601797</c:v>
                </c:pt>
                <c:pt idx="1">
                  <c:v>0.41960622530694996</c:v>
                </c:pt>
                <c:pt idx="2">
                  <c:v>0.58673751843768429</c:v>
                </c:pt>
                <c:pt idx="3">
                  <c:v>0.83921245061389993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75520"/>
        <c:axId val="96676096"/>
      </c:scatterChart>
      <c:valAx>
        <c:axId val="9667552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6676096"/>
        <c:crosses val="autoZero"/>
        <c:crossBetween val="midCat"/>
      </c:valAx>
      <c:valAx>
        <c:axId val="96676096"/>
        <c:scaling>
          <c:logBase val="1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6675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0.25646194225721786"/>
          <c:w val="0.22577667679852315"/>
          <c:h val="0.677734149897929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157201027724441"/>
          <c:y val="5.1400554097404488E-2"/>
          <c:w val="0.64808138618120037"/>
          <c:h val="0.8326195683872849"/>
        </c:manualLayout>
      </c:layout>
      <c:scatterChart>
        <c:scatterStyle val="lineMarker"/>
        <c:varyColors val="0"/>
        <c:ser>
          <c:idx val="13"/>
          <c:order val="0"/>
          <c:tx>
            <c:strRef>
              <c:f>ASTRA!$A$77</c:f>
              <c:strCache>
                <c:ptCount val="1"/>
                <c:pt idx="0">
                  <c:v>tau*tot(D+T)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9.9881618394277782E-2"/>
                  <c:y val="0.13423361655764393"/>
                </c:manualLayout>
              </c:layout>
              <c:numFmt formatCode="General" sourceLinked="0"/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ASTRA!$F$77:$I$77</c:f>
              <c:numCache>
                <c:formatCode>0.00</c:formatCode>
                <c:ptCount val="4"/>
                <c:pt idx="0">
                  <c:v>0.26800494850259537</c:v>
                </c:pt>
                <c:pt idx="1">
                  <c:v>0.39060445355217371</c:v>
                </c:pt>
                <c:pt idx="2">
                  <c:v>0.50423272157667343</c:v>
                </c:pt>
                <c:pt idx="3">
                  <c:v>0.61864894702468287</c:v>
                </c:pt>
              </c:numCache>
            </c:numRef>
          </c:yVal>
          <c:smooth val="0"/>
        </c:ser>
        <c:ser>
          <c:idx val="14"/>
          <c:order val="1"/>
          <c:tx>
            <c:strRef>
              <c:f>ASTRA!$A$88</c:f>
              <c:strCache>
                <c:ptCount val="1"/>
                <c:pt idx="0">
                  <c:v>tau*tot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ASTRA!$F$88:$I$88</c:f>
              <c:numCache>
                <c:formatCode>0.00</c:formatCode>
                <c:ptCount val="4"/>
                <c:pt idx="0">
                  <c:v>0.19650482586848247</c:v>
                </c:pt>
                <c:pt idx="1">
                  <c:v>0.28919578146682323</c:v>
                </c:pt>
                <c:pt idx="2">
                  <c:v>0.40335201099320078</c:v>
                </c:pt>
                <c:pt idx="3">
                  <c:v>0.53969635273738137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78400"/>
        <c:axId val="96678976"/>
      </c:scatterChart>
      <c:valAx>
        <c:axId val="9667840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6678976"/>
        <c:crosses val="autoZero"/>
        <c:crossBetween val="midCat"/>
      </c:valAx>
      <c:valAx>
        <c:axId val="96678976"/>
        <c:scaling>
          <c:orientation val="minMax"/>
          <c:min val="0.19000000000000003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66784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0.24865609860441454"/>
          <c:w val="0.24495321593149769"/>
          <c:h val="0.679613814792974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1"/>
          <c:order val="0"/>
          <c:tx>
            <c:strRef>
              <c:f>ASTRA!$A$73</c:f>
              <c:strCache>
                <c:ptCount val="1"/>
                <c:pt idx="0">
                  <c:v>tau_pel(D)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ASTRA!$F$73:$I$73</c:f>
              <c:numCache>
                <c:formatCode>0.00</c:formatCode>
                <c:ptCount val="4"/>
                <c:pt idx="0">
                  <c:v>0.32582668124976838</c:v>
                </c:pt>
                <c:pt idx="1">
                  <c:v>0.53978801943141064</c:v>
                </c:pt>
                <c:pt idx="2">
                  <c:v>0.76265808106171828</c:v>
                </c:pt>
                <c:pt idx="3">
                  <c:v>1.8332910247706939</c:v>
                </c:pt>
              </c:numCache>
            </c:numRef>
          </c:yVal>
          <c:smooth val="0"/>
        </c:ser>
        <c:ser>
          <c:idx val="7"/>
          <c:order val="1"/>
          <c:tx>
            <c:strRef>
              <c:f>ASTRA!$A$74</c:f>
              <c:strCache>
                <c:ptCount val="1"/>
                <c:pt idx="0">
                  <c:v>tau_pel(T)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7862146848519381"/>
                  <c:y val="-0.2618633399442435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ASTRA!$F$74:$I$74</c:f>
              <c:numCache>
                <c:formatCode>0.00</c:formatCode>
                <c:ptCount val="4"/>
                <c:pt idx="0">
                  <c:v>0.33152476201835379</c:v>
                </c:pt>
                <c:pt idx="1">
                  <c:v>0.55521220115795289</c:v>
                </c:pt>
                <c:pt idx="2">
                  <c:v>0.82232796836757627</c:v>
                </c:pt>
                <c:pt idx="3">
                  <c:v>1.185145056118313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ASTRA!$A$86</c:f>
              <c:strCache>
                <c:ptCount val="1"/>
                <c:pt idx="0">
                  <c:v>tau_pel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ASTRA!$F$86:$I$86</c:f>
              <c:numCache>
                <c:formatCode>0.00</c:formatCode>
                <c:ptCount val="4"/>
                <c:pt idx="0">
                  <c:v>0.3453143056523818</c:v>
                </c:pt>
                <c:pt idx="1">
                  <c:v>0.50819841209218453</c:v>
                </c:pt>
                <c:pt idx="2">
                  <c:v>0.70880304844436248</c:v>
                </c:pt>
                <c:pt idx="3">
                  <c:v>0.94839844510161186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81280"/>
        <c:axId val="156737536"/>
      </c:scatterChart>
      <c:valAx>
        <c:axId val="9668128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56737536"/>
        <c:crosses val="autoZero"/>
        <c:crossBetween val="midCat"/>
      </c:valAx>
      <c:valAx>
        <c:axId val="156737536"/>
        <c:scaling>
          <c:logBase val="1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66812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0.23191926230460133"/>
          <c:w val="0.22577667679852315"/>
          <c:h val="0.7022767286832508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938684256449649"/>
          <c:y val="5.1400554097404488E-2"/>
          <c:w val="0.73026655389394823"/>
          <c:h val="0.8326195683872849"/>
        </c:manualLayout>
      </c:layout>
      <c:scatterChart>
        <c:scatterStyle val="lineMarker"/>
        <c:varyColors val="0"/>
        <c:ser>
          <c:idx val="10"/>
          <c:order val="0"/>
          <c:tx>
            <c:strRef>
              <c:f>ASTRA!$A$90</c:f>
              <c:strCache>
                <c:ptCount val="1"/>
                <c:pt idx="0">
                  <c:v>τе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ASTRA!$F$90:$I$90</c:f>
              <c:numCache>
                <c:formatCode>General</c:formatCode>
                <c:ptCount val="4"/>
                <c:pt idx="0">
                  <c:v>0.73</c:v>
                </c:pt>
                <c:pt idx="1">
                  <c:v>0.73</c:v>
                </c:pt>
                <c:pt idx="2">
                  <c:v>0.73</c:v>
                </c:pt>
                <c:pt idx="3">
                  <c:v>0.73</c:v>
                </c:pt>
              </c:numCache>
            </c:numRef>
          </c:yVal>
          <c:smooth val="0"/>
        </c:ser>
        <c:ser>
          <c:idx val="12"/>
          <c:order val="1"/>
          <c:tx>
            <c:strRef>
              <c:f>ASTRA!$A$91</c:f>
              <c:strCache>
                <c:ptCount val="1"/>
                <c:pt idx="0">
                  <c:v>τp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ASTRA!$F$91:$I$91</c:f>
              <c:numCache>
                <c:formatCode>General</c:formatCode>
                <c:ptCount val="4"/>
                <c:pt idx="0">
                  <c:v>1.095</c:v>
                </c:pt>
                <c:pt idx="1">
                  <c:v>1.46</c:v>
                </c:pt>
                <c:pt idx="2">
                  <c:v>1.825</c:v>
                </c:pt>
                <c:pt idx="3">
                  <c:v>2.19</c:v>
                </c:pt>
              </c:numCache>
            </c:numRef>
          </c:yVal>
          <c:smooth val="0"/>
        </c:ser>
        <c:ser>
          <c:idx val="9"/>
          <c:order val="2"/>
          <c:tx>
            <c:strRef>
              <c:f>ASTRA!$A$78</c:f>
              <c:strCache>
                <c:ptCount val="1"/>
                <c:pt idx="0">
                  <c:v>τе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ASTRA!$F$78:$I$78</c:f>
              <c:numCache>
                <c:formatCode>0.00</c:formatCode>
                <c:ptCount val="4"/>
                <c:pt idx="0">
                  <c:v>0.74064339174072369</c:v>
                </c:pt>
                <c:pt idx="1">
                  <c:v>0.73590572122771503</c:v>
                </c:pt>
                <c:pt idx="2">
                  <c:v>0.7387853660538346</c:v>
                </c:pt>
                <c:pt idx="3">
                  <c:v>0.74688266789457802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ASTRA!$A$79</c:f>
              <c:strCache>
                <c:ptCount val="1"/>
                <c:pt idx="0">
                  <c:v>τp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ASTRA!$F$79:$I$79</c:f>
              <c:numCache>
                <c:formatCode>0.00</c:formatCode>
                <c:ptCount val="4"/>
                <c:pt idx="0">
                  <c:v>0.7203415112797863</c:v>
                </c:pt>
                <c:pt idx="1">
                  <c:v>1.0914154070678921</c:v>
                </c:pt>
                <c:pt idx="2">
                  <c:v>1.4220605129095161</c:v>
                </c:pt>
                <c:pt idx="3">
                  <c:v>1.791064419948597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39840"/>
        <c:axId val="156740416"/>
      </c:scatterChart>
      <c:valAx>
        <c:axId val="15673984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56740416"/>
        <c:crossesAt val="0.1"/>
        <c:crossBetween val="midCat"/>
      </c:valAx>
      <c:valAx>
        <c:axId val="156740416"/>
        <c:scaling>
          <c:orientation val="minMax"/>
          <c:max val="2.2999999999999998"/>
          <c:min val="0.5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567398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1.6820564325209082E-2"/>
          <c:y val="3.7202592238899199E-2"/>
          <c:w val="0.13263348672407549"/>
          <c:h val="0.8673637795275590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2"/>
          <c:order val="0"/>
          <c:tx>
            <c:strRef>
              <c:f>ASTRA!$A$75</c:f>
              <c:strCache>
                <c:ptCount val="1"/>
                <c:pt idx="0">
                  <c:v>tau_sep(D)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ASTRA!$F$75:$I$75</c:f>
              <c:numCache>
                <c:formatCode>0.00</c:formatCode>
                <c:ptCount val="4"/>
                <c:pt idx="0">
                  <c:v>3.2605450723411082E-2</c:v>
                </c:pt>
                <c:pt idx="1">
                  <c:v>4.3968234036749917E-2</c:v>
                </c:pt>
                <c:pt idx="2">
                  <c:v>7.0178646731538258E-2</c:v>
                </c:pt>
                <c:pt idx="3">
                  <c:v>0.1233961314759483</c:v>
                </c:pt>
              </c:numCache>
            </c:numRef>
          </c:yVal>
          <c:smooth val="0"/>
        </c:ser>
        <c:ser>
          <c:idx val="8"/>
          <c:order val="1"/>
          <c:tx>
            <c:strRef>
              <c:f>ASTRA!$A$76</c:f>
              <c:strCache>
                <c:ptCount val="1"/>
                <c:pt idx="0">
                  <c:v>tau_sep(T)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7445524431330903"/>
                  <c:y val="-0.1746315905058933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ASTRA!$F$76:$I$76</c:f>
              <c:numCache>
                <c:formatCode>0.00</c:formatCode>
                <c:ptCount val="4"/>
                <c:pt idx="0">
                  <c:v>2.852828437417005E-2</c:v>
                </c:pt>
                <c:pt idx="1">
                  <c:v>4.1621891638244028E-2</c:v>
                </c:pt>
                <c:pt idx="2">
                  <c:v>7.5139610047732258E-2</c:v>
                </c:pt>
                <c:pt idx="3">
                  <c:v>9.6939763581797372E-2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ASTRA!$A$87</c:f>
              <c:strCache>
                <c:ptCount val="1"/>
                <c:pt idx="0">
                  <c:v>tau_sep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ASTRA!$F$87:$I$87</c:f>
              <c:numCache>
                <c:formatCode>0.00</c:formatCode>
                <c:ptCount val="4"/>
                <c:pt idx="0">
                  <c:v>9.348287832578292E-2</c:v>
                </c:pt>
                <c:pt idx="1">
                  <c:v>0.1375785756492654</c:v>
                </c:pt>
                <c:pt idx="2">
                  <c:v>0.19188590814239645</c:v>
                </c:pt>
                <c:pt idx="3">
                  <c:v>0.25674875033137562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42720"/>
        <c:axId val="156743296"/>
      </c:scatterChart>
      <c:valAx>
        <c:axId val="15674272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56743296"/>
        <c:crosses val="autoZero"/>
        <c:crossBetween val="midCat"/>
      </c:valAx>
      <c:valAx>
        <c:axId val="156743296"/>
        <c:scaling>
          <c:logBase val="1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7427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8.6020475539342854E-3"/>
          <c:y val="0.13157178361554364"/>
          <c:w val="0.22577667679852315"/>
          <c:h val="0.790772303904489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ASTRA!$A$71</c:f>
              <c:strCache>
                <c:ptCount val="1"/>
                <c:pt idx="0">
                  <c:v>tau_NB(D)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876829197783391"/>
                  <c:y val="-0.1331812862131154"/>
                </c:manualLayout>
              </c:layout>
              <c:numFmt formatCode="General" sourceLinked="0"/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ASTRA!$F$71:$I$71</c:f>
              <c:numCache>
                <c:formatCode>0.00</c:formatCode>
                <c:ptCount val="4"/>
                <c:pt idx="0">
                  <c:v>0.63476934575504662</c:v>
                </c:pt>
                <c:pt idx="1">
                  <c:v>1.064684734900829</c:v>
                </c:pt>
                <c:pt idx="2">
                  <c:v>1.584500946963034</c:v>
                </c:pt>
                <c:pt idx="3">
                  <c:v>2.2628265372665961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ASTRA!$A$72</c:f>
              <c:strCache>
                <c:ptCount val="1"/>
                <c:pt idx="0">
                  <c:v>tau_NB(T)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ASTRA!$B$72:$E$72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ASTRA!$A$85</c:f>
              <c:strCache>
                <c:ptCount val="1"/>
                <c:pt idx="0">
                  <c:v>tau_NB 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ASTRA!$F$85:$I$85</c:f>
              <c:numCache>
                <c:formatCode>0.00</c:formatCode>
                <c:ptCount val="4"/>
                <c:pt idx="0">
                  <c:v>0.35485337486929841</c:v>
                </c:pt>
                <c:pt idx="1">
                  <c:v>0.52223704226047685</c:v>
                </c:pt>
                <c:pt idx="2">
                  <c:v>0.72838324315277037</c:v>
                </c:pt>
                <c:pt idx="3">
                  <c:v>0.97459729717624222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2928"/>
        <c:axId val="98173504"/>
      </c:scatterChart>
      <c:valAx>
        <c:axId val="98172928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8173504"/>
        <c:crosses val="autoZero"/>
        <c:crossBetween val="midCat"/>
      </c:valAx>
      <c:valAx>
        <c:axId val="98173504"/>
        <c:scaling>
          <c:logBase val="1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8172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0.32041483752584027"/>
          <c:w val="0.22577667679852315"/>
          <c:h val="0.613781153462011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431151586766932"/>
          <c:y val="5.1400554097404488E-2"/>
          <c:w val="0.64534188059077546"/>
          <c:h val="0.8326195683872849"/>
        </c:manualLayout>
      </c:layout>
      <c:scatterChart>
        <c:scatterStyle val="lineMarker"/>
        <c:varyColors val="0"/>
        <c:ser>
          <c:idx val="13"/>
          <c:order val="0"/>
          <c:tx>
            <c:strRef>
              <c:f>ASTRA!$A$77</c:f>
              <c:strCache>
                <c:ptCount val="1"/>
                <c:pt idx="0">
                  <c:v>tau*tot(D+T)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1611473695656262"/>
                  <c:y val="6.6414740284194432E-2"/>
                </c:manualLayout>
              </c:layout>
              <c:numFmt formatCode="General" sourceLinked="0"/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ASTRA!$J$77:$M$77</c:f>
              <c:numCache>
                <c:formatCode>0.00</c:formatCode>
                <c:ptCount val="4"/>
                <c:pt idx="0">
                  <c:v>0.36111306131804349</c:v>
                </c:pt>
                <c:pt idx="1">
                  <c:v>0.54031573554169243</c:v>
                </c:pt>
                <c:pt idx="2">
                  <c:v>0.69735661932150639</c:v>
                </c:pt>
                <c:pt idx="3">
                  <c:v>0.84238739640577953</c:v>
                </c:pt>
              </c:numCache>
            </c:numRef>
          </c:yVal>
          <c:smooth val="0"/>
        </c:ser>
        <c:ser>
          <c:idx val="14"/>
          <c:order val="1"/>
          <c:tx>
            <c:strRef>
              <c:f>ASTRA!$A$88</c:f>
              <c:strCache>
                <c:ptCount val="1"/>
                <c:pt idx="0">
                  <c:v>tau*tot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ASTRA!$J$88:$M$88</c:f>
              <c:numCache>
                <c:formatCode>0.00</c:formatCode>
                <c:ptCount val="4"/>
                <c:pt idx="0">
                  <c:v>0.26611609066615222</c:v>
                </c:pt>
                <c:pt idx="1">
                  <c:v>0.37862045419981005</c:v>
                </c:pt>
                <c:pt idx="2">
                  <c:v>0.51176171281952343</c:v>
                </c:pt>
                <c:pt idx="3">
                  <c:v>0.66529022666538051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5808"/>
        <c:axId val="98176384"/>
      </c:scatterChart>
      <c:valAx>
        <c:axId val="98175808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8176384"/>
        <c:crosses val="autoZero"/>
        <c:crossBetween val="midCat"/>
      </c:valAx>
      <c:valAx>
        <c:axId val="98176384"/>
        <c:scaling>
          <c:orientation val="minMax"/>
          <c:min val="0.2400000000000000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81758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0.29088983346108283"/>
          <c:w val="0.24495321593149769"/>
          <c:h val="0.6373799735210089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1"/>
          <c:order val="0"/>
          <c:tx>
            <c:strRef>
              <c:f>ASTRA!$A$73</c:f>
              <c:strCache>
                <c:ptCount val="1"/>
                <c:pt idx="0">
                  <c:v>tau_pel(D)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ASTRA!$J$73:$M$73</c:f>
              <c:numCache>
                <c:formatCode>0.00</c:formatCode>
                <c:ptCount val="4"/>
                <c:pt idx="0">
                  <c:v>0.434852567446183</c:v>
                </c:pt>
                <c:pt idx="1">
                  <c:v>0.73764856928505318</c:v>
                </c:pt>
                <c:pt idx="2">
                  <c:v>1.0871159941605</c:v>
                </c:pt>
                <c:pt idx="3">
                  <c:v>1.4261847405495349</c:v>
                </c:pt>
              </c:numCache>
            </c:numRef>
          </c:yVal>
          <c:smooth val="0"/>
        </c:ser>
        <c:ser>
          <c:idx val="7"/>
          <c:order val="1"/>
          <c:tx>
            <c:strRef>
              <c:f>ASTRA!$A$74</c:f>
              <c:strCache>
                <c:ptCount val="1"/>
                <c:pt idx="0">
                  <c:v>tau_pel(T)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9564335453314461"/>
                  <c:y val="-0.2232637051088011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ASTRA!$J$74:$M$74</c:f>
              <c:numCache>
                <c:formatCode>0.00</c:formatCode>
                <c:ptCount val="4"/>
                <c:pt idx="0">
                  <c:v>0.44463676113951001</c:v>
                </c:pt>
                <c:pt idx="1">
                  <c:v>0.75051486838039083</c:v>
                </c:pt>
                <c:pt idx="2">
                  <c:v>1.096639686083418</c:v>
                </c:pt>
                <c:pt idx="3">
                  <c:v>1.6393634129227801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ASTRA!$A$86</c:f>
              <c:strCache>
                <c:ptCount val="1"/>
                <c:pt idx="0">
                  <c:v>tau_pel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ASTRA!$J$86:$M$86</c:f>
              <c:numCache>
                <c:formatCode>0.00</c:formatCode>
                <c:ptCount val="4"/>
                <c:pt idx="0">
                  <c:v>0.42838199960892798</c:v>
                </c:pt>
                <c:pt idx="1">
                  <c:v>0.60948658480945028</c:v>
                </c:pt>
                <c:pt idx="2">
                  <c:v>0.82381153770947679</c:v>
                </c:pt>
                <c:pt idx="3">
                  <c:v>1.0709549990223199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8688"/>
        <c:axId val="98179264"/>
      </c:scatterChart>
      <c:valAx>
        <c:axId val="98178688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8179264"/>
        <c:crosses val="autoZero"/>
        <c:crossBetween val="midCat"/>
      </c:valAx>
      <c:valAx>
        <c:axId val="98179264"/>
        <c:scaling>
          <c:logBase val="1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8178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0.24461009040536599"/>
          <c:w val="0.22577667679852315"/>
          <c:h val="0.6895860017497811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21263481549214"/>
          <c:y val="5.1400554097404488E-2"/>
          <c:w val="0.72752704830352333"/>
          <c:h val="0.8326195683872849"/>
        </c:manualLayout>
      </c:layout>
      <c:scatterChart>
        <c:scatterStyle val="lineMarker"/>
        <c:varyColors val="0"/>
        <c:ser>
          <c:idx val="10"/>
          <c:order val="0"/>
          <c:tx>
            <c:strRef>
              <c:f>ASTRA!$A$90</c:f>
              <c:strCache>
                <c:ptCount val="1"/>
                <c:pt idx="0">
                  <c:v>τе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ASTRA!$J$90:$M$90</c:f>
              <c:numCache>
                <c:formatCode>General</c:formatCode>
                <c:ptCount val="4"/>
                <c:pt idx="0">
                  <c:v>0.69</c:v>
                </c:pt>
                <c:pt idx="1">
                  <c:v>0.69</c:v>
                </c:pt>
                <c:pt idx="2">
                  <c:v>0.69</c:v>
                </c:pt>
                <c:pt idx="3">
                  <c:v>0.69</c:v>
                </c:pt>
              </c:numCache>
            </c:numRef>
          </c:yVal>
          <c:smooth val="0"/>
        </c:ser>
        <c:ser>
          <c:idx val="12"/>
          <c:order val="1"/>
          <c:tx>
            <c:strRef>
              <c:f>ASTRA!$A$91</c:f>
              <c:strCache>
                <c:ptCount val="1"/>
                <c:pt idx="0">
                  <c:v>τp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ASTRA!$J$91:$M$91</c:f>
              <c:numCache>
                <c:formatCode>General</c:formatCode>
                <c:ptCount val="4"/>
                <c:pt idx="0">
                  <c:v>1.0349999999999999</c:v>
                </c:pt>
                <c:pt idx="1">
                  <c:v>1.38</c:v>
                </c:pt>
                <c:pt idx="2">
                  <c:v>1.7249999999999999</c:v>
                </c:pt>
                <c:pt idx="3">
                  <c:v>2.0699999999999998</c:v>
                </c:pt>
              </c:numCache>
            </c:numRef>
          </c:yVal>
          <c:smooth val="0"/>
        </c:ser>
        <c:ser>
          <c:idx val="9"/>
          <c:order val="2"/>
          <c:tx>
            <c:strRef>
              <c:f>ASTRA!$A$78</c:f>
              <c:strCache>
                <c:ptCount val="1"/>
                <c:pt idx="0">
                  <c:v>τе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ASTRA!$J$78:$M$78</c:f>
              <c:numCache>
                <c:formatCode>0.00</c:formatCode>
                <c:ptCount val="4"/>
                <c:pt idx="0">
                  <c:v>0.78812959684333295</c:v>
                </c:pt>
                <c:pt idx="1">
                  <c:v>0.78749420826813032</c:v>
                </c:pt>
                <c:pt idx="2">
                  <c:v>0.78897175613577097</c:v>
                </c:pt>
                <c:pt idx="3">
                  <c:v>0.79196567352181702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ASTRA!$A$79</c:f>
              <c:strCache>
                <c:ptCount val="1"/>
                <c:pt idx="0">
                  <c:v>τp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ASTRA!$J$79:$M$79</c:f>
              <c:numCache>
                <c:formatCode>0.00</c:formatCode>
                <c:ptCount val="4"/>
                <c:pt idx="0">
                  <c:v>0.77016532191918385</c:v>
                </c:pt>
                <c:pt idx="1">
                  <c:v>1.169273660448515</c:v>
                </c:pt>
                <c:pt idx="2">
                  <c:v>1.527854462722273</c:v>
                </c:pt>
                <c:pt idx="3">
                  <c:v>1.892163442214591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71520"/>
        <c:axId val="98772096"/>
      </c:scatterChart>
      <c:valAx>
        <c:axId val="9877152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8772096"/>
        <c:crossesAt val="0.5"/>
        <c:crossBetween val="midCat"/>
      </c:valAx>
      <c:valAx>
        <c:axId val="98772096"/>
        <c:scaling>
          <c:orientation val="minMax"/>
          <c:max val="2.5"/>
          <c:min val="0.5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98771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1.6820564325209082E-2"/>
          <c:y val="3.7202592238899199E-2"/>
          <c:w val="0.13263348672407549"/>
          <c:h val="0.8673637795275590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2"/>
          <c:order val="0"/>
          <c:tx>
            <c:strRef>
              <c:f>ASTRA!$A$75</c:f>
              <c:strCache>
                <c:ptCount val="1"/>
                <c:pt idx="0">
                  <c:v>tau_sep(D)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ASTRA!$J$75:$M$75</c:f>
              <c:numCache>
                <c:formatCode>0.00</c:formatCode>
                <c:ptCount val="4"/>
                <c:pt idx="0">
                  <c:v>2.7640264367971269E-2</c:v>
                </c:pt>
                <c:pt idx="1">
                  <c:v>5.9338378725267087E-2</c:v>
                </c:pt>
                <c:pt idx="2">
                  <c:v>0.1015783835701583</c:v>
                </c:pt>
                <c:pt idx="3">
                  <c:v>9.5957041677058111E-2</c:v>
                </c:pt>
              </c:numCache>
            </c:numRef>
          </c:yVal>
          <c:smooth val="0"/>
        </c:ser>
        <c:ser>
          <c:idx val="8"/>
          <c:order val="1"/>
          <c:tx>
            <c:strRef>
              <c:f>ASTRA!$A$76</c:f>
              <c:strCache>
                <c:ptCount val="1"/>
                <c:pt idx="0">
                  <c:v>tau_sep(T)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6926378577507659"/>
                  <c:y val="-0.1486036172723103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ASTRA!$J$76:$M$76</c:f>
              <c:numCache>
                <c:formatCode>0.00</c:formatCode>
                <c:ptCount val="4"/>
                <c:pt idx="0">
                  <c:v>3.1060425913463599E-2</c:v>
                </c:pt>
                <c:pt idx="1">
                  <c:v>5.6847000970641257E-2</c:v>
                </c:pt>
                <c:pt idx="2">
                  <c:v>8.2933686315911692E-2</c:v>
                </c:pt>
                <c:pt idx="3">
                  <c:v>0.14073505060076499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ASTRA!$A$87</c:f>
              <c:strCache>
                <c:ptCount val="1"/>
                <c:pt idx="0">
                  <c:v>tau_sep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ASTRA!$J$87:$M$87</c:f>
              <c:numCache>
                <c:formatCode>0.00</c:formatCode>
                <c:ptCount val="4"/>
                <c:pt idx="0">
                  <c:v>0.12115854534393922</c:v>
                </c:pt>
                <c:pt idx="1">
                  <c:v>0.17238004418853142</c:v>
                </c:pt>
                <c:pt idx="2">
                  <c:v>0.23299720258449852</c:v>
                </c:pt>
                <c:pt idx="3">
                  <c:v>0.30289636335984804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74400"/>
        <c:axId val="98774976"/>
      </c:scatterChart>
      <c:valAx>
        <c:axId val="9877440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8774976"/>
        <c:crossesAt val="1"/>
        <c:crossBetween val="midCat"/>
      </c:valAx>
      <c:valAx>
        <c:axId val="98774976"/>
        <c:scaling>
          <c:logBase val="1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87744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8.6020475539342854E-3"/>
          <c:y val="0.12609157188684747"/>
          <c:w val="0.22577667679852315"/>
          <c:h val="0.796252668416447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965590015533772"/>
          <c:y val="5.1400554097404488E-2"/>
          <c:w val="0.669997536022282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ASTRA!$A$71</c:f>
              <c:strCache>
                <c:ptCount val="1"/>
                <c:pt idx="0">
                  <c:v>tau_NB(D)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0.2876829197783391"/>
                  <c:y val="-0.11638408967199565"/>
                </c:manualLayout>
              </c:layout>
              <c:numFmt formatCode="General" sourceLinked="0"/>
            </c:trendlineLbl>
          </c:trendline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ASTRA!$J$71:$M$71</c:f>
              <c:numCache>
                <c:formatCode>0.00</c:formatCode>
                <c:ptCount val="4"/>
                <c:pt idx="0">
                  <c:v>0.78118838449983641</c:v>
                </c:pt>
                <c:pt idx="1">
                  <c:v>1.2920193701147249</c:v>
                </c:pt>
                <c:pt idx="2">
                  <c:v>1.8987558906408379</c:v>
                </c:pt>
                <c:pt idx="3">
                  <c:v>2.6840505428183752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ASTRA!$A$72</c:f>
              <c:strCache>
                <c:ptCount val="1"/>
                <c:pt idx="0">
                  <c:v>tau_NB(T)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ASTRA!$B$72:$E$72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ASTRA!$A$85</c:f>
              <c:strCache>
                <c:ptCount val="1"/>
                <c:pt idx="0">
                  <c:v>tau_NB 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ASTRA!$J$85:$M$85</c:f>
              <c:numCache>
                <c:formatCode>0.00</c:formatCode>
                <c:ptCount val="4"/>
                <c:pt idx="0">
                  <c:v>0.45434454503977206</c:v>
                </c:pt>
                <c:pt idx="1">
                  <c:v>0.64642516570699271</c:v>
                </c:pt>
                <c:pt idx="2">
                  <c:v>0.87373950969186931</c:v>
                </c:pt>
                <c:pt idx="3">
                  <c:v>1.1358613625994303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77280"/>
        <c:axId val="98777856"/>
      </c:scatterChart>
      <c:valAx>
        <c:axId val="9877728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8777856"/>
        <c:crosses val="autoZero"/>
        <c:crossBetween val="midCat"/>
      </c:valAx>
      <c:valAx>
        <c:axId val="98777856"/>
        <c:scaling>
          <c:logBase val="1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87772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0.29201749781277342"/>
          <c:w val="0.22577667679852315"/>
          <c:h val="0.642178594342373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0513497673469486"/>
          <c:y val="4.8555730533683297E-2"/>
          <c:w val="0.669997536022282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ASTRA!$A$71</c:f>
              <c:strCache>
                <c:ptCount val="1"/>
                <c:pt idx="0">
                  <c:v>tau_NB(D)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ASTRA!$B$71:$E$71</c:f>
              <c:numCache>
                <c:formatCode>0.00</c:formatCode>
                <c:ptCount val="4"/>
                <c:pt idx="0">
                  <c:v>0.41862230972473069</c:v>
                </c:pt>
                <c:pt idx="1">
                  <c:v>0.70095312070656457</c:v>
                </c:pt>
                <c:pt idx="2">
                  <c:v>1.0160302689353471</c:v>
                </c:pt>
                <c:pt idx="3">
                  <c:v>2.1199578261063641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ASTRA!$A$85</c:f>
              <c:strCache>
                <c:ptCount val="1"/>
                <c:pt idx="0">
                  <c:v>tau_NB 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ASTRA!$B$85:$E$85</c:f>
              <c:numCache>
                <c:formatCode>0.00</c:formatCode>
                <c:ptCount val="4"/>
                <c:pt idx="0">
                  <c:v>0.2662885660601797</c:v>
                </c:pt>
                <c:pt idx="1">
                  <c:v>0.41960622530694996</c:v>
                </c:pt>
                <c:pt idx="2">
                  <c:v>0.58673751843768429</c:v>
                </c:pt>
                <c:pt idx="3">
                  <c:v>0.83921245061389993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ASTRA!$A$73</c:f>
              <c:strCache>
                <c:ptCount val="1"/>
                <c:pt idx="0">
                  <c:v>tau_pel(D)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ASTRA!$B$73:$E$73</c:f>
              <c:numCache>
                <c:formatCode>0.00</c:formatCode>
                <c:ptCount val="4"/>
                <c:pt idx="0">
                  <c:v>0.19134849849634819</c:v>
                </c:pt>
                <c:pt idx="1">
                  <c:v>0.32088385867532049</c:v>
                </c:pt>
                <c:pt idx="2">
                  <c:v>0.44510736523572758</c:v>
                </c:pt>
                <c:pt idx="3">
                  <c:v>1.009200169097402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ASTRA!$A$86</c:f>
              <c:strCache>
                <c:ptCount val="1"/>
                <c:pt idx="0">
                  <c:v>tau_pel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ASTRA!$B$86:$E$86</c:f>
              <c:numCache>
                <c:formatCode>0.00</c:formatCode>
                <c:ptCount val="4"/>
                <c:pt idx="0">
                  <c:v>0.22424300299804614</c:v>
                </c:pt>
                <c:pt idx="1">
                  <c:v>0.35335261078479996</c:v>
                </c:pt>
                <c:pt idx="2">
                  <c:v>0.49409475236857625</c:v>
                </c:pt>
                <c:pt idx="3">
                  <c:v>0.70670522156959992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ASTRA!$A$75</c:f>
              <c:strCache>
                <c:ptCount val="1"/>
                <c:pt idx="0">
                  <c:v>tau_sep(D)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ASTRA!$B$75:$E$75</c:f>
              <c:numCache>
                <c:formatCode>0.00</c:formatCode>
                <c:ptCount val="4"/>
                <c:pt idx="0">
                  <c:v>2.0579207300877651E-2</c:v>
                </c:pt>
                <c:pt idx="1">
                  <c:v>3.9420410179144813E-2</c:v>
                </c:pt>
                <c:pt idx="2">
                  <c:v>7.0231065720481642E-2</c:v>
                </c:pt>
                <c:pt idx="3">
                  <c:v>0.1078810150169575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ASTRA!$A$87</c:f>
              <c:strCache>
                <c:ptCount val="1"/>
                <c:pt idx="0">
                  <c:v>tau_sep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ASTRA!$B$87:$E$87</c:f>
              <c:numCache>
                <c:formatCode>0.00</c:formatCode>
                <c:ptCount val="4"/>
                <c:pt idx="0">
                  <c:v>5.1856194443298163E-2</c:v>
                </c:pt>
                <c:pt idx="1">
                  <c:v>8.1712791243984992E-2</c:v>
                </c:pt>
                <c:pt idx="2">
                  <c:v>0.11425941148523325</c:v>
                </c:pt>
                <c:pt idx="3">
                  <c:v>0.16342558248796998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34240"/>
        <c:axId val="99034816"/>
      </c:scatterChart>
      <c:valAx>
        <c:axId val="99034240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9034816"/>
        <c:crosses val="autoZero"/>
        <c:crossBetween val="midCat"/>
      </c:valAx>
      <c:valAx>
        <c:axId val="99034816"/>
        <c:scaling>
          <c:orientation val="minMax"/>
          <c:max val="2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9034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4.3128608923884516E-2"/>
          <c:w val="0.22525617073634241"/>
          <c:h val="0.879985068533099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0513497673469486"/>
          <c:y val="4.8555730533683297E-2"/>
          <c:w val="0.669997536022282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ASTRA!$A$71</c:f>
              <c:strCache>
                <c:ptCount val="1"/>
                <c:pt idx="0">
                  <c:v>tau_NB(D)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ASTRA!$F$70:$I$70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ASTRA!$F$71:$I$71</c:f>
              <c:numCache>
                <c:formatCode>0.00</c:formatCode>
                <c:ptCount val="4"/>
                <c:pt idx="0">
                  <c:v>0.63476934575504662</c:v>
                </c:pt>
                <c:pt idx="1">
                  <c:v>1.064684734900829</c:v>
                </c:pt>
                <c:pt idx="2">
                  <c:v>1.584500946963034</c:v>
                </c:pt>
                <c:pt idx="3">
                  <c:v>2.2628265372665961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ASTRA!$A$85</c:f>
              <c:strCache>
                <c:ptCount val="1"/>
                <c:pt idx="0">
                  <c:v>tau_NB 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ASTRA!$F$85:$I$85</c:f>
              <c:numCache>
                <c:formatCode>0.00</c:formatCode>
                <c:ptCount val="4"/>
                <c:pt idx="0">
                  <c:v>0.35485337486929841</c:v>
                </c:pt>
                <c:pt idx="1">
                  <c:v>0.52223704226047685</c:v>
                </c:pt>
                <c:pt idx="2">
                  <c:v>0.72838324315277037</c:v>
                </c:pt>
                <c:pt idx="3">
                  <c:v>0.97459729717624222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ASTRA!$A$73</c:f>
              <c:strCache>
                <c:ptCount val="1"/>
                <c:pt idx="0">
                  <c:v>tau_pel(D)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ASTRA!$F$73:$I$73</c:f>
              <c:numCache>
                <c:formatCode>0.00</c:formatCode>
                <c:ptCount val="4"/>
                <c:pt idx="0">
                  <c:v>0.32582668124976838</c:v>
                </c:pt>
                <c:pt idx="1">
                  <c:v>0.53978801943141064</c:v>
                </c:pt>
                <c:pt idx="2">
                  <c:v>0.76265808106171828</c:v>
                </c:pt>
                <c:pt idx="3">
                  <c:v>1.8332910247706939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ASTRA!$A$86</c:f>
              <c:strCache>
                <c:ptCount val="1"/>
                <c:pt idx="0">
                  <c:v>tau_pel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ASTRA!$F$86:$I$86</c:f>
              <c:numCache>
                <c:formatCode>0.00</c:formatCode>
                <c:ptCount val="4"/>
                <c:pt idx="0">
                  <c:v>0.3453143056523818</c:v>
                </c:pt>
                <c:pt idx="1">
                  <c:v>0.50819841209218453</c:v>
                </c:pt>
                <c:pt idx="2">
                  <c:v>0.70880304844436248</c:v>
                </c:pt>
                <c:pt idx="3">
                  <c:v>0.94839844510161186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ASTRA!$A$75</c:f>
              <c:strCache>
                <c:ptCount val="1"/>
                <c:pt idx="0">
                  <c:v>tau_sep(D)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ASTRA!$F$75:$I$75</c:f>
              <c:numCache>
                <c:formatCode>0.00</c:formatCode>
                <c:ptCount val="4"/>
                <c:pt idx="0">
                  <c:v>3.2605450723411082E-2</c:v>
                </c:pt>
                <c:pt idx="1">
                  <c:v>4.3968234036749917E-2</c:v>
                </c:pt>
                <c:pt idx="2">
                  <c:v>7.0178646731538258E-2</c:v>
                </c:pt>
                <c:pt idx="3">
                  <c:v>0.1233961314759483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ASTRA!$A$87</c:f>
              <c:strCache>
                <c:ptCount val="1"/>
                <c:pt idx="0">
                  <c:v>tau_sep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ASTRA!$F$87:$I$87</c:f>
              <c:numCache>
                <c:formatCode>0.00</c:formatCode>
                <c:ptCount val="4"/>
                <c:pt idx="0">
                  <c:v>9.348287832578292E-2</c:v>
                </c:pt>
                <c:pt idx="1">
                  <c:v>0.1375785756492654</c:v>
                </c:pt>
                <c:pt idx="2">
                  <c:v>0.19188590814239645</c:v>
                </c:pt>
                <c:pt idx="3">
                  <c:v>0.25674875033137562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37696"/>
        <c:axId val="99038272"/>
      </c:scatterChart>
      <c:valAx>
        <c:axId val="99037696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99038272"/>
        <c:crosses val="autoZero"/>
        <c:crossBetween val="midCat"/>
      </c:valAx>
      <c:valAx>
        <c:axId val="99038272"/>
        <c:scaling>
          <c:orientation val="minMax"/>
          <c:max val="2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90376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4.3128608923884516E-2"/>
          <c:w val="0.22525617073634241"/>
          <c:h val="0.879985068533099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0513497673469486"/>
          <c:y val="4.8555730533683297E-2"/>
          <c:w val="0.669997536022282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ASTRA!$A$71</c:f>
              <c:strCache>
                <c:ptCount val="1"/>
                <c:pt idx="0">
                  <c:v>tau_NB(D)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ASTRA!$J$71:$M$71</c:f>
              <c:numCache>
                <c:formatCode>0.00</c:formatCode>
                <c:ptCount val="4"/>
                <c:pt idx="0">
                  <c:v>0.78118838449983641</c:v>
                </c:pt>
                <c:pt idx="1">
                  <c:v>1.2920193701147249</c:v>
                </c:pt>
                <c:pt idx="2">
                  <c:v>1.8987558906408379</c:v>
                </c:pt>
                <c:pt idx="3">
                  <c:v>2.6840505428183752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ASTRA!$A$85</c:f>
              <c:strCache>
                <c:ptCount val="1"/>
                <c:pt idx="0">
                  <c:v>tau_NB 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ASTRA!$J$85:$M$85</c:f>
              <c:numCache>
                <c:formatCode>0.00</c:formatCode>
                <c:ptCount val="4"/>
                <c:pt idx="0">
                  <c:v>0.45434454503977206</c:v>
                </c:pt>
                <c:pt idx="1">
                  <c:v>0.64642516570699271</c:v>
                </c:pt>
                <c:pt idx="2">
                  <c:v>0.87373950969186931</c:v>
                </c:pt>
                <c:pt idx="3">
                  <c:v>1.1358613625994303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ASTRA!$A$73</c:f>
              <c:strCache>
                <c:ptCount val="1"/>
                <c:pt idx="0">
                  <c:v>tau_pel(D)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ASTRA!$J$73:$M$73</c:f>
              <c:numCache>
                <c:formatCode>0.00</c:formatCode>
                <c:ptCount val="4"/>
                <c:pt idx="0">
                  <c:v>0.434852567446183</c:v>
                </c:pt>
                <c:pt idx="1">
                  <c:v>0.73764856928505318</c:v>
                </c:pt>
                <c:pt idx="2">
                  <c:v>1.0871159941605</c:v>
                </c:pt>
                <c:pt idx="3">
                  <c:v>1.4261847405495349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ASTRA!$A$86</c:f>
              <c:strCache>
                <c:ptCount val="1"/>
                <c:pt idx="0">
                  <c:v>tau_pel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ASTRA!$J$86:$M$86</c:f>
              <c:numCache>
                <c:formatCode>0.00</c:formatCode>
                <c:ptCount val="4"/>
                <c:pt idx="0">
                  <c:v>0.42838199960892798</c:v>
                </c:pt>
                <c:pt idx="1">
                  <c:v>0.60948658480945028</c:v>
                </c:pt>
                <c:pt idx="2">
                  <c:v>0.82381153770947679</c:v>
                </c:pt>
                <c:pt idx="3">
                  <c:v>1.0709549990223199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ASTRA!$A$75</c:f>
              <c:strCache>
                <c:ptCount val="1"/>
                <c:pt idx="0">
                  <c:v>tau_sep(D)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ASTRA!$J$75:$M$75</c:f>
              <c:numCache>
                <c:formatCode>0.00</c:formatCode>
                <c:ptCount val="4"/>
                <c:pt idx="0">
                  <c:v>2.7640264367971269E-2</c:v>
                </c:pt>
                <c:pt idx="1">
                  <c:v>5.9338378725267087E-2</c:v>
                </c:pt>
                <c:pt idx="2">
                  <c:v>0.1015783835701583</c:v>
                </c:pt>
                <c:pt idx="3">
                  <c:v>9.5957041677058111E-2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ASTRA!$A$87</c:f>
              <c:strCache>
                <c:ptCount val="1"/>
                <c:pt idx="0">
                  <c:v>tau_sep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ASTRA!$B$84:$E$84</c:f>
              <c:numCache>
                <c:formatCode>General</c:formatCode>
                <c:ptCount val="4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</c:numCache>
            </c:numRef>
          </c:xVal>
          <c:yVal>
            <c:numRef>
              <c:f>ASTRA!$J$87:$M$87</c:f>
              <c:numCache>
                <c:formatCode>0.00</c:formatCode>
                <c:ptCount val="4"/>
                <c:pt idx="0">
                  <c:v>0.12115854534393922</c:v>
                </c:pt>
                <c:pt idx="1">
                  <c:v>0.17238004418853142</c:v>
                </c:pt>
                <c:pt idx="2">
                  <c:v>0.23299720258449852</c:v>
                </c:pt>
                <c:pt idx="3">
                  <c:v>0.30289636335984804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0576"/>
        <c:axId val="100155392"/>
      </c:scatterChart>
      <c:valAx>
        <c:axId val="99040576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00155392"/>
        <c:crosses val="autoZero"/>
        <c:crossBetween val="midCat"/>
      </c:valAx>
      <c:valAx>
        <c:axId val="100155392"/>
        <c:scaling>
          <c:orientation val="minMax"/>
          <c:max val="2.8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9040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8353078265948955E-4"/>
          <c:y val="4.3128608923884516E-2"/>
          <c:w val="0.22525617073634241"/>
          <c:h val="0.879985068533099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ASTRA!$A$126</c:f>
              <c:strCache>
                <c:ptCount val="1"/>
                <c:pt idx="0">
                  <c:v>τp</c:v>
                </c:pt>
              </c:strCache>
            </c:strRef>
          </c:tx>
          <c:marker>
            <c:symbol val="none"/>
          </c:marker>
          <c:yVal>
            <c:numRef>
              <c:f>ASTRA!$B$126:$M$126</c:f>
              <c:numCache>
                <c:formatCode>0.00</c:formatCode>
                <c:ptCount val="12"/>
                <c:pt idx="0">
                  <c:v>0.58141050783695636</c:v>
                </c:pt>
                <c:pt idx="1">
                  <c:v>0.64814066962395489</c:v>
                </c:pt>
                <c:pt idx="2">
                  <c:v>0.68618659496459378</c:v>
                </c:pt>
                <c:pt idx="3">
                  <c:v>0.76260578251185707</c:v>
                </c:pt>
                <c:pt idx="4">
                  <c:v>0.65784612902263595</c:v>
                </c:pt>
                <c:pt idx="5">
                  <c:v>0.74754479936156992</c:v>
                </c:pt>
                <c:pt idx="6">
                  <c:v>0.77921123995041974</c:v>
                </c:pt>
                <c:pt idx="7">
                  <c:v>0.8178376346797247</c:v>
                </c:pt>
                <c:pt idx="8">
                  <c:v>0.74412108397988785</c:v>
                </c:pt>
                <c:pt idx="9">
                  <c:v>0.84729975394819934</c:v>
                </c:pt>
                <c:pt idx="10">
                  <c:v>0.8857127320129119</c:v>
                </c:pt>
                <c:pt idx="11">
                  <c:v>0.91408861942733866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ASTRA!$A$125</c:f>
              <c:strCache>
                <c:ptCount val="1"/>
                <c:pt idx="0">
                  <c:v>τе</c:v>
                </c:pt>
              </c:strCache>
            </c:strRef>
          </c:tx>
          <c:marker>
            <c:symbol val="none"/>
          </c:marker>
          <c:yVal>
            <c:numRef>
              <c:f>ASTRA!$B$125:$M$125</c:f>
              <c:numCache>
                <c:formatCode>0.00</c:formatCode>
                <c:ptCount val="12"/>
                <c:pt idx="0">
                  <c:v>0.9013718415494717</c:v>
                </c:pt>
                <c:pt idx="1">
                  <c:v>0.9149940034541596</c:v>
                </c:pt>
                <c:pt idx="2">
                  <c:v>0.89925117078894967</c:v>
                </c:pt>
                <c:pt idx="3">
                  <c:v>0.95381582415227284</c:v>
                </c:pt>
                <c:pt idx="4">
                  <c:v>1.0145799886859228</c:v>
                </c:pt>
                <c:pt idx="5">
                  <c:v>1.0080900290790618</c:v>
                </c:pt>
                <c:pt idx="6">
                  <c:v>1.0120347480189515</c:v>
                </c:pt>
                <c:pt idx="7">
                  <c:v>1.0231269423213398</c:v>
                </c:pt>
                <c:pt idx="8">
                  <c:v>1.1422168070193233</c:v>
                </c:pt>
                <c:pt idx="9">
                  <c:v>1.1412959540117831</c:v>
                </c:pt>
                <c:pt idx="10">
                  <c:v>1.1434373277330014</c:v>
                </c:pt>
                <c:pt idx="11">
                  <c:v>1.147776338437416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ASTRA!$A$124</c:f>
              <c:strCache>
                <c:ptCount val="1"/>
                <c:pt idx="0">
                  <c:v>tau*tot</c:v>
                </c:pt>
              </c:strCache>
            </c:strRef>
          </c:tx>
          <c:marker>
            <c:symbol val="none"/>
          </c:marker>
          <c:yVal>
            <c:numRef>
              <c:f>ASTRA!$B$124:$M$124</c:f>
              <c:numCache>
                <c:formatCode>0.00</c:formatCode>
                <c:ptCount val="12"/>
                <c:pt idx="0">
                  <c:v>1.5861059788884702</c:v>
                </c:pt>
                <c:pt idx="1">
                  <c:v>1.4815789311719674</c:v>
                </c:pt>
                <c:pt idx="2">
                  <c:v>1.3211501629505371</c:v>
                </c:pt>
                <c:pt idx="3">
                  <c:v>1.7390914719145234</c:v>
                </c:pt>
                <c:pt idx="4">
                  <c:v>1.3638593725019597</c:v>
                </c:pt>
                <c:pt idx="5">
                  <c:v>1.350657508110934</c:v>
                </c:pt>
                <c:pt idx="6">
                  <c:v>1.2501058822914191</c:v>
                </c:pt>
                <c:pt idx="7">
                  <c:v>1.1462907686643571</c:v>
                </c:pt>
                <c:pt idx="8">
                  <c:v>1.356975673338997</c:v>
                </c:pt>
                <c:pt idx="9">
                  <c:v>1.4270643055553218</c:v>
                </c:pt>
                <c:pt idx="10">
                  <c:v>1.3626588348695683</c:v>
                </c:pt>
                <c:pt idx="11">
                  <c:v>1.2661953575179652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57120"/>
        <c:axId val="100157696"/>
      </c:scatterChart>
      <c:valAx>
        <c:axId val="10015712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0157696"/>
        <c:crosses val="autoZero"/>
        <c:crossBetween val="midCat"/>
      </c:valAx>
      <c:valAx>
        <c:axId val="100157696"/>
        <c:scaling>
          <c:orientation val="minMax"/>
          <c:min val="0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0157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ASTRA!$A$121</c:f>
              <c:strCache>
                <c:ptCount val="1"/>
                <c:pt idx="0">
                  <c:v>tau_pel</c:v>
                </c:pt>
              </c:strCache>
            </c:strRef>
          </c:tx>
          <c:marker>
            <c:symbol val="none"/>
          </c:marker>
          <c:yVal>
            <c:numRef>
              <c:f>ASTRA!$B$121:$M$121</c:f>
              <c:numCache>
                <c:formatCode>0.00</c:formatCode>
                <c:ptCount val="12"/>
                <c:pt idx="0">
                  <c:v>0.85330866933678828</c:v>
                </c:pt>
                <c:pt idx="1">
                  <c:v>0.90811231863444841</c:v>
                </c:pt>
                <c:pt idx="2">
                  <c:v>0.90085426550673842</c:v>
                </c:pt>
                <c:pt idx="3">
                  <c:v>1.4280355348952389</c:v>
                </c:pt>
                <c:pt idx="4">
                  <c:v>0.94356554569670492</c:v>
                </c:pt>
                <c:pt idx="5">
                  <c:v>1.0621599882793336</c:v>
                </c:pt>
                <c:pt idx="6">
                  <c:v>1.075980249711896</c:v>
                </c:pt>
                <c:pt idx="7">
                  <c:v>1.9330388342995166</c:v>
                </c:pt>
                <c:pt idx="8">
                  <c:v>1.0151046678972553</c:v>
                </c:pt>
                <c:pt idx="9">
                  <c:v>1.2102785978721278</c:v>
                </c:pt>
                <c:pt idx="10">
                  <c:v>1.3196173449853763</c:v>
                </c:pt>
                <c:pt idx="11">
                  <c:v>1.3316943679720492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ASTRA!$A$120</c:f>
              <c:strCache>
                <c:ptCount val="1"/>
                <c:pt idx="0">
                  <c:v>tau_NB </c:v>
                </c:pt>
              </c:strCache>
            </c:strRef>
          </c:tx>
          <c:marker>
            <c:symbol val="none"/>
          </c:marker>
          <c:yVal>
            <c:numRef>
              <c:f>ASTRA!$B$120:$M$120</c:f>
              <c:numCache>
                <c:formatCode>0.00</c:formatCode>
                <c:ptCount val="12"/>
                <c:pt idx="0">
                  <c:v>1.5720626533777813</c:v>
                </c:pt>
                <c:pt idx="1">
                  <c:v>1.6705021957045656</c:v>
                </c:pt>
                <c:pt idx="2">
                  <c:v>1.731660643827154</c:v>
                </c:pt>
                <c:pt idx="3">
                  <c:v>2.5261277100400195</c:v>
                </c:pt>
                <c:pt idx="4">
                  <c:v>1.7888214984255073</c:v>
                </c:pt>
                <c:pt idx="5">
                  <c:v>2.0387001471446653</c:v>
                </c:pt>
                <c:pt idx="6">
                  <c:v>2.175367104966063</c:v>
                </c:pt>
                <c:pt idx="7">
                  <c:v>2.3218067029559961</c:v>
                </c:pt>
                <c:pt idx="8">
                  <c:v>1.7193744109582152</c:v>
                </c:pt>
                <c:pt idx="9">
                  <c:v>1.9987145282341356</c:v>
                </c:pt>
                <c:pt idx="10">
                  <c:v>2.1731372675483662</c:v>
                </c:pt>
                <c:pt idx="11">
                  <c:v>2.3630089297833834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ASTRA!$A$122</c:f>
              <c:strCache>
                <c:ptCount val="1"/>
                <c:pt idx="0">
                  <c:v>tau_sep</c:v>
                </c:pt>
              </c:strCache>
            </c:strRef>
          </c:tx>
          <c:marker>
            <c:symbol val="none"/>
          </c:marker>
          <c:yVal>
            <c:numRef>
              <c:f>ASTRA!$B$123:$M$123</c:f>
              <c:numCache>
                <c:formatCode>0.00</c:formatCode>
                <c:ptCount val="12"/>
                <c:pt idx="0">
                  <c:v>2.519834398144511</c:v>
                </c:pt>
                <c:pt idx="1">
                  <c:v>2.072854921413648</c:v>
                </c:pt>
                <c:pt idx="2">
                  <c:v>1.6269069864322381</c:v>
                </c:pt>
                <c:pt idx="3">
                  <c:v>1.5148687881948608</c:v>
                </c:pt>
                <c:pt idx="4">
                  <c:v>2.8670935764326408</c:v>
                </c:pt>
                <c:pt idx="5">
                  <c:v>3.1290448357392124</c:v>
                </c:pt>
                <c:pt idx="6">
                  <c:v>2.7342491922997283</c:v>
                </c:pt>
                <c:pt idx="7">
                  <c:v>2.0806871922189853</c:v>
                </c:pt>
                <c:pt idx="8">
                  <c:v>4.3834076161852558</c:v>
                </c:pt>
                <c:pt idx="9">
                  <c:v>2.9050346148930029</c:v>
                </c:pt>
                <c:pt idx="10">
                  <c:v>2.2937675752988498</c:v>
                </c:pt>
                <c:pt idx="11">
                  <c:v>3.1565829673995256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ASTRA!$A$124</c:f>
              <c:strCache>
                <c:ptCount val="1"/>
                <c:pt idx="0">
                  <c:v>tau*tot</c:v>
                </c:pt>
              </c:strCache>
            </c:strRef>
          </c:tx>
          <c:marker>
            <c:symbol val="none"/>
          </c:marker>
          <c:yVal>
            <c:numRef>
              <c:f>ASTRA!$B$124:$M$124</c:f>
              <c:numCache>
                <c:formatCode>0.00</c:formatCode>
                <c:ptCount val="12"/>
                <c:pt idx="0">
                  <c:v>1.5861059788884702</c:v>
                </c:pt>
                <c:pt idx="1">
                  <c:v>1.4815789311719674</c:v>
                </c:pt>
                <c:pt idx="2">
                  <c:v>1.3211501629505371</c:v>
                </c:pt>
                <c:pt idx="3">
                  <c:v>1.7390914719145234</c:v>
                </c:pt>
                <c:pt idx="4">
                  <c:v>1.3638593725019597</c:v>
                </c:pt>
                <c:pt idx="5">
                  <c:v>1.350657508110934</c:v>
                </c:pt>
                <c:pt idx="6">
                  <c:v>1.2501058822914191</c:v>
                </c:pt>
                <c:pt idx="7">
                  <c:v>1.1462907686643571</c:v>
                </c:pt>
                <c:pt idx="8">
                  <c:v>1.356975673338997</c:v>
                </c:pt>
                <c:pt idx="9">
                  <c:v>1.4270643055553218</c:v>
                </c:pt>
                <c:pt idx="10">
                  <c:v>1.3626588348695683</c:v>
                </c:pt>
                <c:pt idx="11">
                  <c:v>1.2661953575179652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59424"/>
        <c:axId val="100160000"/>
      </c:scatterChart>
      <c:valAx>
        <c:axId val="1001594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0160000"/>
        <c:crosses val="autoZero"/>
        <c:crossBetween val="midCat"/>
      </c:valAx>
      <c:valAx>
        <c:axId val="100160000"/>
        <c:scaling>
          <c:orientation val="minMax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0159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77985996901479"/>
          <c:y val="6.5306359825786517E-2"/>
          <c:w val="0.19918568168245299"/>
          <c:h val="0.24544374612908793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806526373582644E-2"/>
          <c:y val="4.8555730533683297E-2"/>
          <c:w val="0.7322078454864318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ASTRA!$B$69</c:f>
              <c:strCache>
                <c:ptCount val="1"/>
                <c:pt idx="0">
                  <c:v>6,E+19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ASTRA!$B$8:$E$8</c:f>
              <c:numCache>
                <c:formatCode>0.00</c:formatCode>
                <c:ptCount val="4"/>
                <c:pt idx="0">
                  <c:v>0.70588171784061704</c:v>
                </c:pt>
                <c:pt idx="1">
                  <c:v>0.41331188315759437</c:v>
                </c:pt>
                <c:pt idx="2">
                  <c:v>0.28094423242828442</c:v>
                </c:pt>
                <c:pt idx="3">
                  <c:v>0.1405667384711049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ASTRA!$F$69</c:f>
              <c:strCache>
                <c:ptCount val="1"/>
                <c:pt idx="0">
                  <c:v>7,E+19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ASTRA!$G$8:$J$8</c:f>
              <c:numCache>
                <c:formatCode>0.00</c:formatCode>
                <c:ptCount val="4"/>
                <c:pt idx="0">
                  <c:v>0.46638044010589502</c:v>
                </c:pt>
                <c:pt idx="1">
                  <c:v>0.28120448450546298</c:v>
                </c:pt>
                <c:pt idx="2">
                  <c:v>0.18416120226577551</c:v>
                </c:pt>
                <c:pt idx="3">
                  <c:v>0.1304345490753393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ASTRA!$J$69</c:f>
              <c:strCache>
                <c:ptCount val="1"/>
                <c:pt idx="0">
                  <c:v>8,E+19</c:v>
                </c:pt>
              </c:strCache>
            </c:strRef>
          </c:tx>
          <c:xVal>
            <c:numRef>
              <c:f>ASTRA!$B$70:$E$70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ASTRA!$L$8:$O$8</c:f>
              <c:numCache>
                <c:formatCode>0.00</c:formatCode>
                <c:ptCount val="4"/>
                <c:pt idx="0">
                  <c:v>0.38597169052844521</c:v>
                </c:pt>
                <c:pt idx="1">
                  <c:v>0.23925323058769801</c:v>
                </c:pt>
                <c:pt idx="2">
                  <c:v>0.15937304406324029</c:v>
                </c:pt>
                <c:pt idx="3">
                  <c:v>0.11909961584830391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61728"/>
        <c:axId val="100162304"/>
      </c:scatterChart>
      <c:valAx>
        <c:axId val="100161728"/>
        <c:scaling>
          <c:orientation val="minMax"/>
          <c:max val="2.5"/>
          <c:min val="0.5"/>
        </c:scaling>
        <c:delete val="0"/>
        <c:axPos val="b"/>
        <c:numFmt formatCode="General" sourceLinked="1"/>
        <c:majorTickMark val="out"/>
        <c:minorTickMark val="none"/>
        <c:tickLblPos val="nextTo"/>
        <c:crossAx val="100162304"/>
        <c:crosses val="autoZero"/>
        <c:crossBetween val="midCat"/>
      </c:valAx>
      <c:valAx>
        <c:axId val="1001623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0161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18" Type="http://schemas.openxmlformats.org/officeDocument/2006/relationships/chart" Target="../charts/chart34.xml"/><Relationship Id="rId3" Type="http://schemas.openxmlformats.org/officeDocument/2006/relationships/chart" Target="../charts/chart19.xml"/><Relationship Id="rId21" Type="http://schemas.openxmlformats.org/officeDocument/2006/relationships/chart" Target="../charts/chart37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17" Type="http://schemas.openxmlformats.org/officeDocument/2006/relationships/chart" Target="../charts/chart33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20" Type="http://schemas.openxmlformats.org/officeDocument/2006/relationships/chart" Target="../charts/chart36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23" Type="http://schemas.openxmlformats.org/officeDocument/2006/relationships/chart" Target="../charts/chart39.xml"/><Relationship Id="rId10" Type="http://schemas.openxmlformats.org/officeDocument/2006/relationships/chart" Target="../charts/chart26.xml"/><Relationship Id="rId19" Type="http://schemas.openxmlformats.org/officeDocument/2006/relationships/chart" Target="../charts/chart35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Relationship Id="rId22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597510</xdr:colOff>
      <xdr:row>43</xdr:row>
      <xdr:rowOff>179294</xdr:rowOff>
    </xdr:from>
    <xdr:to>
      <xdr:col>28</xdr:col>
      <xdr:colOff>575817</xdr:colOff>
      <xdr:row>56</xdr:row>
      <xdr:rowOff>89566</xdr:rowOff>
    </xdr:to>
    <xdr:graphicFrame macro="">
      <xdr:nvGraphicFramePr>
        <xdr:cNvPr id="65" name="Диаграмма 6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10725</xdr:colOff>
      <xdr:row>43</xdr:row>
      <xdr:rowOff>206506</xdr:rowOff>
    </xdr:from>
    <xdr:to>
      <xdr:col>28</xdr:col>
      <xdr:colOff>546524</xdr:colOff>
      <xdr:row>56</xdr:row>
      <xdr:rowOff>94447</xdr:rowOff>
    </xdr:to>
    <xdr:graphicFrame macro="">
      <xdr:nvGraphicFramePr>
        <xdr:cNvPr id="66" name="Диаграмма 6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626728</xdr:colOff>
      <xdr:row>52</xdr:row>
      <xdr:rowOff>20951</xdr:rowOff>
    </xdr:from>
    <xdr:to>
      <xdr:col>28</xdr:col>
      <xdr:colOff>19208</xdr:colOff>
      <xdr:row>55</xdr:row>
      <xdr:rowOff>31217</xdr:rowOff>
    </xdr:to>
    <xdr:sp macro="" textlink="">
      <xdr:nvSpPr>
        <xdr:cNvPr id="67" name="TextBox 66"/>
        <xdr:cNvSpPr txBox="1"/>
      </xdr:nvSpPr>
      <xdr:spPr>
        <a:xfrm>
          <a:off x="21921907" y="10471237"/>
          <a:ext cx="2277194" cy="608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400" b="1" i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Nplasma </a:t>
          </a:r>
          <a:r>
            <a:rPr lang="ru-RU" sz="1400" b="1" i="0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ТРИТИЙ</a:t>
          </a:r>
          <a:r>
            <a:rPr lang="ru-RU" sz="1400" b="1" i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</a:t>
          </a:r>
          <a:r>
            <a:rPr lang="ru-RU" sz="1400" b="1" i="0" baseline="0">
              <a:solidFill>
                <a:srgbClr val="0070C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ДЕЙТЕРИЙ</a:t>
          </a:r>
        </a:p>
      </xdr:txBody>
    </xdr:sp>
    <xdr:clientData/>
  </xdr:twoCellAnchor>
  <xdr:twoCellAnchor>
    <xdr:from>
      <xdr:col>2</xdr:col>
      <xdr:colOff>5417</xdr:colOff>
      <xdr:row>44</xdr:row>
      <xdr:rowOff>22413</xdr:rowOff>
    </xdr:from>
    <xdr:to>
      <xdr:col>3</xdr:col>
      <xdr:colOff>4295</xdr:colOff>
      <xdr:row>50</xdr:row>
      <xdr:rowOff>11206</xdr:rowOff>
    </xdr:to>
    <xdr:sp macro="" textlink="">
      <xdr:nvSpPr>
        <xdr:cNvPr id="22" name="Прямоугольник 21"/>
        <xdr:cNvSpPr/>
      </xdr:nvSpPr>
      <xdr:spPr>
        <a:xfrm>
          <a:off x="5585946" y="8415619"/>
          <a:ext cx="816908" cy="11766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590549</xdr:colOff>
      <xdr:row>28</xdr:row>
      <xdr:rowOff>145675</xdr:rowOff>
    </xdr:from>
    <xdr:to>
      <xdr:col>7</xdr:col>
      <xdr:colOff>845344</xdr:colOff>
      <xdr:row>41</xdr:row>
      <xdr:rowOff>68035</xdr:rowOff>
    </xdr:to>
    <xdr:sp macro="" textlink="">
      <xdr:nvSpPr>
        <xdr:cNvPr id="42" name="Прямоугольник 41"/>
        <xdr:cNvSpPr/>
      </xdr:nvSpPr>
      <xdr:spPr>
        <a:xfrm>
          <a:off x="590549" y="5692587"/>
          <a:ext cx="9208295" cy="26453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49306</xdr:colOff>
      <xdr:row>33</xdr:row>
      <xdr:rowOff>196663</xdr:rowOff>
    </xdr:from>
    <xdr:to>
      <xdr:col>7</xdr:col>
      <xdr:colOff>136711</xdr:colOff>
      <xdr:row>36</xdr:row>
      <xdr:rowOff>4483</xdr:rowOff>
    </xdr:to>
    <xdr:sp macro="" textlink="">
      <xdr:nvSpPr>
        <xdr:cNvPr id="43" name="TextBox 42"/>
        <xdr:cNvSpPr txBox="1"/>
      </xdr:nvSpPr>
      <xdr:spPr>
        <a:xfrm>
          <a:off x="6996953" y="6718487"/>
          <a:ext cx="1902758" cy="468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600" b="1" i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параметры </a:t>
          </a:r>
          <a:r>
            <a:rPr lang="en-US" sz="1600" b="1" i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NBIs</a:t>
          </a:r>
          <a:endParaRPr lang="ru-RU" sz="1600" b="1" i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590548</xdr:colOff>
      <xdr:row>68</xdr:row>
      <xdr:rowOff>156882</xdr:rowOff>
    </xdr:from>
    <xdr:to>
      <xdr:col>7</xdr:col>
      <xdr:colOff>833436</xdr:colOff>
      <xdr:row>76</xdr:row>
      <xdr:rowOff>95250</xdr:rowOff>
    </xdr:to>
    <xdr:sp macro="" textlink="">
      <xdr:nvSpPr>
        <xdr:cNvPr id="44" name="Прямоугольник 43"/>
        <xdr:cNvSpPr/>
      </xdr:nvSpPr>
      <xdr:spPr>
        <a:xfrm>
          <a:off x="590548" y="13805647"/>
          <a:ext cx="9005888" cy="15520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590548</xdr:colOff>
      <xdr:row>64</xdr:row>
      <xdr:rowOff>152400</xdr:rowOff>
    </xdr:from>
    <xdr:to>
      <xdr:col>7</xdr:col>
      <xdr:colOff>833436</xdr:colOff>
      <xdr:row>68</xdr:row>
      <xdr:rowOff>57150</xdr:rowOff>
    </xdr:to>
    <xdr:sp macro="" textlink="">
      <xdr:nvSpPr>
        <xdr:cNvPr id="45" name="Прямоугольник 44"/>
        <xdr:cNvSpPr/>
      </xdr:nvSpPr>
      <xdr:spPr>
        <a:xfrm>
          <a:off x="590548" y="12558713"/>
          <a:ext cx="8863013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225236</xdr:colOff>
      <xdr:row>65</xdr:row>
      <xdr:rowOff>57150</xdr:rowOff>
    </xdr:from>
    <xdr:to>
      <xdr:col>7</xdr:col>
      <xdr:colOff>463360</xdr:colOff>
      <xdr:row>68</xdr:row>
      <xdr:rowOff>38100</xdr:rowOff>
    </xdr:to>
    <xdr:sp macro="" textlink="">
      <xdr:nvSpPr>
        <xdr:cNvPr id="46" name="TextBox 45"/>
        <xdr:cNvSpPr txBox="1"/>
      </xdr:nvSpPr>
      <xdr:spPr>
        <a:xfrm>
          <a:off x="6623795" y="13100797"/>
          <a:ext cx="2602565" cy="586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600" b="1" i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эффективность</a:t>
          </a:r>
          <a:r>
            <a:rPr lang="ru-RU" sz="1600" b="1" i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ввода топлива в </a:t>
          </a:r>
          <a:r>
            <a:rPr lang="en-US" sz="1600" b="1" i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CORE</a:t>
          </a:r>
          <a:endParaRPr lang="ru-RU" sz="1600" b="1" i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22176</xdr:colOff>
      <xdr:row>12</xdr:row>
      <xdr:rowOff>171449</xdr:rowOff>
    </xdr:from>
    <xdr:to>
      <xdr:col>22</xdr:col>
      <xdr:colOff>7471</xdr:colOff>
      <xdr:row>31</xdr:row>
      <xdr:rowOff>11205</xdr:rowOff>
    </xdr:to>
    <xdr:sp macro="" textlink="">
      <xdr:nvSpPr>
        <xdr:cNvPr id="50" name="Прямоугольник 49"/>
        <xdr:cNvSpPr/>
      </xdr:nvSpPr>
      <xdr:spPr>
        <a:xfrm>
          <a:off x="19285088" y="2558302"/>
          <a:ext cx="2024765" cy="35713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361629</xdr:colOff>
      <xdr:row>1</xdr:row>
      <xdr:rowOff>52819</xdr:rowOff>
    </xdr:from>
    <xdr:to>
      <xdr:col>7</xdr:col>
      <xdr:colOff>1359</xdr:colOff>
      <xdr:row>4</xdr:row>
      <xdr:rowOff>64026</xdr:rowOff>
    </xdr:to>
    <xdr:sp macro="" textlink="">
      <xdr:nvSpPr>
        <xdr:cNvPr id="52" name="TextBox 51"/>
        <xdr:cNvSpPr txBox="1"/>
      </xdr:nvSpPr>
      <xdr:spPr>
        <a:xfrm>
          <a:off x="7309276" y="254525"/>
          <a:ext cx="1455083" cy="627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600" b="1" i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параметры плазмы</a:t>
          </a:r>
        </a:p>
      </xdr:txBody>
    </xdr:sp>
    <xdr:clientData/>
  </xdr:twoCellAnchor>
  <xdr:twoCellAnchor>
    <xdr:from>
      <xdr:col>3</xdr:col>
      <xdr:colOff>502018</xdr:colOff>
      <xdr:row>25</xdr:row>
      <xdr:rowOff>50987</xdr:rowOff>
    </xdr:from>
    <xdr:to>
      <xdr:col>7</xdr:col>
      <xdr:colOff>72272</xdr:colOff>
      <xdr:row>28</xdr:row>
      <xdr:rowOff>60512</xdr:rowOff>
    </xdr:to>
    <xdr:sp macro="" textlink="">
      <xdr:nvSpPr>
        <xdr:cNvPr id="53" name="TextBox 52"/>
        <xdr:cNvSpPr txBox="1"/>
      </xdr:nvSpPr>
      <xdr:spPr>
        <a:xfrm>
          <a:off x="6900577" y="4779869"/>
          <a:ext cx="1934695" cy="592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600" b="1" i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параметры бланкета</a:t>
          </a: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11</xdr:col>
      <xdr:colOff>9526</xdr:colOff>
      <xdr:row>27</xdr:row>
      <xdr:rowOff>0</xdr:rowOff>
    </xdr:to>
    <xdr:sp macro="" textlink="">
      <xdr:nvSpPr>
        <xdr:cNvPr id="54" name="Прямоугольник 53"/>
        <xdr:cNvSpPr/>
      </xdr:nvSpPr>
      <xdr:spPr>
        <a:xfrm>
          <a:off x="10948147" y="4941794"/>
          <a:ext cx="737908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449262</xdr:colOff>
      <xdr:row>59</xdr:row>
      <xdr:rowOff>75591</xdr:rowOff>
    </xdr:from>
    <xdr:to>
      <xdr:col>6</xdr:col>
      <xdr:colOff>670603</xdr:colOff>
      <xdr:row>65</xdr:row>
      <xdr:rowOff>19824</xdr:rowOff>
    </xdr:to>
    <xdr:sp macro="" textlink="">
      <xdr:nvSpPr>
        <xdr:cNvPr id="56" name="TextBox 55"/>
        <xdr:cNvSpPr txBox="1"/>
      </xdr:nvSpPr>
      <xdr:spPr>
        <a:xfrm>
          <a:off x="6847821" y="11976238"/>
          <a:ext cx="2047900" cy="1120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600" b="1" i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параметры </a:t>
          </a:r>
          <a:r>
            <a:rPr lang="en-US" sz="1600" b="1" i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PIS</a:t>
          </a:r>
        </a:p>
        <a:p>
          <a:pPr algn="ctr"/>
          <a:r>
            <a:rPr lang="en-US" sz="1600" b="1" i="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fueling </a:t>
          </a:r>
          <a:r>
            <a:rPr lang="ru-RU" sz="1600" b="1" i="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и</a:t>
          </a:r>
          <a:endParaRPr lang="en-US" sz="1600" b="1" i="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ru-RU" sz="1600" b="1" i="0" u="none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подавление</a:t>
          </a:r>
          <a:r>
            <a:rPr lang="en-US" sz="1600" b="1" i="0" u="none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ELM</a:t>
          </a:r>
          <a:endParaRPr lang="ru-RU" sz="1600" b="1" i="0" u="none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600074</xdr:colOff>
      <xdr:row>41</xdr:row>
      <xdr:rowOff>168088</xdr:rowOff>
    </xdr:from>
    <xdr:to>
      <xdr:col>7</xdr:col>
      <xdr:colOff>845344</xdr:colOff>
      <xdr:row>64</xdr:row>
      <xdr:rowOff>67235</xdr:rowOff>
    </xdr:to>
    <xdr:sp macro="" textlink="">
      <xdr:nvSpPr>
        <xdr:cNvPr id="57" name="Прямоугольник 56"/>
        <xdr:cNvSpPr/>
      </xdr:nvSpPr>
      <xdr:spPr>
        <a:xfrm>
          <a:off x="600074" y="8368659"/>
          <a:ext cx="9416484" cy="44983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75635</xdr:colOff>
      <xdr:row>70</xdr:row>
      <xdr:rowOff>0</xdr:rowOff>
    </xdr:from>
    <xdr:to>
      <xdr:col>7</xdr:col>
      <xdr:colOff>452712</xdr:colOff>
      <xdr:row>72</xdr:row>
      <xdr:rowOff>180975</xdr:rowOff>
    </xdr:to>
    <xdr:sp macro="" textlink="">
      <xdr:nvSpPr>
        <xdr:cNvPr id="59" name="TextBox 58"/>
        <xdr:cNvSpPr txBox="1"/>
      </xdr:nvSpPr>
      <xdr:spPr>
        <a:xfrm>
          <a:off x="6474194" y="13850471"/>
          <a:ext cx="2741518" cy="584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600" b="1" i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очистка / разделение</a:t>
          </a:r>
          <a:r>
            <a:rPr lang="ru-RU" sz="1600" b="1" i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изотопов водорода</a:t>
          </a:r>
          <a:endParaRPr lang="ru-RU" sz="1600" b="1" i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735318</xdr:colOff>
      <xdr:row>35</xdr:row>
      <xdr:rowOff>242981</xdr:rowOff>
    </xdr:from>
    <xdr:to>
      <xdr:col>11</xdr:col>
      <xdr:colOff>0</xdr:colOff>
      <xdr:row>36</xdr:row>
      <xdr:rowOff>201707</xdr:rowOff>
    </xdr:to>
    <xdr:sp macro="" textlink="">
      <xdr:nvSpPr>
        <xdr:cNvPr id="49" name="Прямоугольник 48"/>
        <xdr:cNvSpPr/>
      </xdr:nvSpPr>
      <xdr:spPr>
        <a:xfrm>
          <a:off x="11268847" y="7257863"/>
          <a:ext cx="743859" cy="2052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42862</xdr:colOff>
      <xdr:row>0</xdr:row>
      <xdr:rowOff>19049</xdr:rowOff>
    </xdr:from>
    <xdr:to>
      <xdr:col>22</xdr:col>
      <xdr:colOff>19051</xdr:colOff>
      <xdr:row>12</xdr:row>
      <xdr:rowOff>47625</xdr:rowOff>
    </xdr:to>
    <xdr:sp macro="" textlink="">
      <xdr:nvSpPr>
        <xdr:cNvPr id="19" name="Прямоугольник 18"/>
        <xdr:cNvSpPr/>
      </xdr:nvSpPr>
      <xdr:spPr>
        <a:xfrm>
          <a:off x="16968787" y="19049"/>
          <a:ext cx="4233864" cy="243840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768725</xdr:colOff>
      <xdr:row>67</xdr:row>
      <xdr:rowOff>11206</xdr:rowOff>
    </xdr:from>
    <xdr:to>
      <xdr:col>22</xdr:col>
      <xdr:colOff>56030</xdr:colOff>
      <xdr:row>75</xdr:row>
      <xdr:rowOff>197224</xdr:rowOff>
    </xdr:to>
    <xdr:sp macro="" textlink="">
      <xdr:nvSpPr>
        <xdr:cNvPr id="20" name="Прямоугольник 19"/>
        <xdr:cNvSpPr/>
      </xdr:nvSpPr>
      <xdr:spPr>
        <a:xfrm>
          <a:off x="14776078" y="13458265"/>
          <a:ext cx="4542864" cy="179966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602318</xdr:colOff>
      <xdr:row>11</xdr:row>
      <xdr:rowOff>136712</xdr:rowOff>
    </xdr:from>
    <xdr:to>
      <xdr:col>28</xdr:col>
      <xdr:colOff>459442</xdr:colOff>
      <xdr:row>26</xdr:row>
      <xdr:rowOff>22412</xdr:rowOff>
    </xdr:to>
    <xdr:sp macro="" textlink="">
      <xdr:nvSpPr>
        <xdr:cNvPr id="1025" name="Объект 4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>
    <xdr:from>
      <xdr:col>0</xdr:col>
      <xdr:colOff>545726</xdr:colOff>
      <xdr:row>1</xdr:row>
      <xdr:rowOff>122144</xdr:rowOff>
    </xdr:from>
    <xdr:to>
      <xdr:col>7</xdr:col>
      <xdr:colOff>788614</xdr:colOff>
      <xdr:row>28</xdr:row>
      <xdr:rowOff>78441</xdr:rowOff>
    </xdr:to>
    <xdr:sp macro="" textlink="">
      <xdr:nvSpPr>
        <xdr:cNvPr id="23" name="Прямоугольник 22"/>
        <xdr:cNvSpPr/>
      </xdr:nvSpPr>
      <xdr:spPr>
        <a:xfrm>
          <a:off x="545726" y="323850"/>
          <a:ext cx="9196388" cy="53015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264460</xdr:colOff>
      <xdr:row>14</xdr:row>
      <xdr:rowOff>134469</xdr:rowOff>
    </xdr:from>
    <xdr:to>
      <xdr:col>7</xdr:col>
      <xdr:colOff>555812</xdr:colOff>
      <xdr:row>15</xdr:row>
      <xdr:rowOff>168086</xdr:rowOff>
    </xdr:to>
    <xdr:sp macro="" textlink="">
      <xdr:nvSpPr>
        <xdr:cNvPr id="34" name="TextBox 33"/>
        <xdr:cNvSpPr txBox="1"/>
      </xdr:nvSpPr>
      <xdr:spPr>
        <a:xfrm>
          <a:off x="7212107" y="2734234"/>
          <a:ext cx="2050676" cy="22411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100" b="1" i="0" baseline="0">
              <a:solidFill>
                <a:srgbClr val="FF0000"/>
              </a:solidFill>
            </a:rPr>
            <a:t>не полное </a:t>
          </a:r>
          <a:r>
            <a:rPr lang="ru-RU" sz="1100" b="1" i="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поглощение</a:t>
          </a:r>
          <a:r>
            <a:rPr lang="ru-RU" sz="1100" b="1" i="0" baseline="0">
              <a:solidFill>
                <a:srgbClr val="FF0000"/>
              </a:solidFill>
            </a:rPr>
            <a:t> пучка!</a:t>
          </a:r>
          <a:endParaRPr lang="en-US" sz="1100" b="1" i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409378</xdr:colOff>
      <xdr:row>58</xdr:row>
      <xdr:rowOff>121116</xdr:rowOff>
    </xdr:from>
    <xdr:to>
      <xdr:col>51</xdr:col>
      <xdr:colOff>212911</xdr:colOff>
      <xdr:row>69</xdr:row>
      <xdr:rowOff>46804</xdr:rowOff>
    </xdr:to>
    <xdr:graphicFrame macro="">
      <xdr:nvGraphicFramePr>
        <xdr:cNvPr id="55" name="Диаграмма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375744</xdr:colOff>
      <xdr:row>33</xdr:row>
      <xdr:rowOff>128822</xdr:rowOff>
    </xdr:from>
    <xdr:to>
      <xdr:col>51</xdr:col>
      <xdr:colOff>190500</xdr:colOff>
      <xdr:row>44</xdr:row>
      <xdr:rowOff>88899</xdr:rowOff>
    </xdr:to>
    <xdr:graphicFrame macro="">
      <xdr:nvGraphicFramePr>
        <xdr:cNvPr id="58" name="Диаграмма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378482</xdr:colOff>
      <xdr:row>45</xdr:row>
      <xdr:rowOff>198678</xdr:rowOff>
    </xdr:from>
    <xdr:to>
      <xdr:col>51</xdr:col>
      <xdr:colOff>201706</xdr:colOff>
      <xdr:row>57</xdr:row>
      <xdr:rowOff>9730</xdr:rowOff>
    </xdr:to>
    <xdr:graphicFrame macro="">
      <xdr:nvGraphicFramePr>
        <xdr:cNvPr id="38" name="Диаграмма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702468</xdr:colOff>
      <xdr:row>12</xdr:row>
      <xdr:rowOff>178593</xdr:rowOff>
    </xdr:from>
    <xdr:to>
      <xdr:col>15</xdr:col>
      <xdr:colOff>47625</xdr:colOff>
      <xdr:row>20</xdr:row>
      <xdr:rowOff>71437</xdr:rowOff>
    </xdr:to>
    <xdr:sp macro="" textlink="">
      <xdr:nvSpPr>
        <xdr:cNvPr id="5" name="Прямоугольная выноска 4"/>
        <xdr:cNvSpPr/>
      </xdr:nvSpPr>
      <xdr:spPr>
        <a:xfrm>
          <a:off x="13835062" y="2595562"/>
          <a:ext cx="2321719" cy="1452563"/>
        </a:xfrm>
        <a:prstGeom prst="wedgeRectCallout">
          <a:avLst>
            <a:gd name="adj1" fmla="val 64808"/>
            <a:gd name="adj2" fmla="val 11680"/>
          </a:avLst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672352</xdr:colOff>
      <xdr:row>11</xdr:row>
      <xdr:rowOff>112059</xdr:rowOff>
    </xdr:from>
    <xdr:to>
      <xdr:col>16</xdr:col>
      <xdr:colOff>459995</xdr:colOff>
      <xdr:row>11</xdr:row>
      <xdr:rowOff>115981</xdr:rowOff>
    </xdr:to>
    <xdr:cxnSp macro="">
      <xdr:nvCxnSpPr>
        <xdr:cNvPr id="6" name="Прямая со стрелкой 5"/>
        <xdr:cNvCxnSpPr/>
      </xdr:nvCxnSpPr>
      <xdr:spPr>
        <a:xfrm flipH="1" flipV="1">
          <a:off x="17257058" y="2330824"/>
          <a:ext cx="538437" cy="392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612320</xdr:colOff>
      <xdr:row>56</xdr:row>
      <xdr:rowOff>161604</xdr:rowOff>
    </xdr:from>
    <xdr:to>
      <xdr:col>28</xdr:col>
      <xdr:colOff>571499</xdr:colOff>
      <xdr:row>68</xdr:row>
      <xdr:rowOff>204026</xdr:rowOff>
    </xdr:to>
    <xdr:graphicFrame macro="">
      <xdr:nvGraphicFramePr>
        <xdr:cNvPr id="68" name="Диаграмма 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275340</xdr:colOff>
      <xdr:row>61</xdr:row>
      <xdr:rowOff>156081</xdr:rowOff>
    </xdr:from>
    <xdr:to>
      <xdr:col>27</xdr:col>
      <xdr:colOff>596308</xdr:colOff>
      <xdr:row>65</xdr:row>
      <xdr:rowOff>97651</xdr:rowOff>
    </xdr:to>
    <xdr:sp macro="" textlink="">
      <xdr:nvSpPr>
        <xdr:cNvPr id="69" name="TextBox 68"/>
        <xdr:cNvSpPr txBox="1"/>
      </xdr:nvSpPr>
      <xdr:spPr>
        <a:xfrm>
          <a:off x="22237269" y="12456938"/>
          <a:ext cx="1776932" cy="771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400" b="1" i="0" baseline="0">
              <a:latin typeface="Times New Roman" panose="02020603050405020304" pitchFamily="18" charset="0"/>
              <a:cs typeface="Times New Roman" panose="02020603050405020304" pitchFamily="18" charset="0"/>
            </a:rPr>
            <a:t>концентрация частиц в плазме (</a:t>
          </a:r>
          <a:r>
            <a:rPr lang="en-US" sz="1400" b="1" i="0" baseline="0">
              <a:latin typeface="Times New Roman" panose="02020603050405020304" pitchFamily="18" charset="0"/>
              <a:cs typeface="Times New Roman" panose="02020603050405020304" pitchFamily="18" charset="0"/>
            </a:rPr>
            <a:t>D+T)</a:t>
          </a:r>
          <a:endParaRPr lang="en-US" sz="1400" b="1" i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631530</xdr:colOff>
      <xdr:row>32</xdr:row>
      <xdr:rowOff>196025</xdr:rowOff>
    </xdr:from>
    <xdr:to>
      <xdr:col>28</xdr:col>
      <xdr:colOff>530678</xdr:colOff>
      <xdr:row>40</xdr:row>
      <xdr:rowOff>176893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68036</xdr:colOff>
      <xdr:row>73</xdr:row>
      <xdr:rowOff>68036</xdr:rowOff>
    </xdr:from>
    <xdr:to>
      <xdr:col>9</xdr:col>
      <xdr:colOff>519460</xdr:colOff>
      <xdr:row>75</xdr:row>
      <xdr:rowOff>171945</xdr:rowOff>
    </xdr:to>
    <xdr:sp macro="" textlink="">
      <xdr:nvSpPr>
        <xdr:cNvPr id="48" name="TextBox 47"/>
        <xdr:cNvSpPr txBox="1"/>
      </xdr:nvSpPr>
      <xdr:spPr>
        <a:xfrm>
          <a:off x="8803822" y="14586857"/>
          <a:ext cx="2029852" cy="512124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 baseline="0">
              <a:latin typeface="Times New Roman" pitchFamily="18" charset="0"/>
              <a:cs typeface="Times New Roman" pitchFamily="18" charset="0"/>
            </a:rPr>
            <a:t>посмотреть, на что влияют эти величины</a:t>
          </a:r>
        </a:p>
      </xdr:txBody>
    </xdr:sp>
    <xdr:clientData/>
  </xdr:twoCellAnchor>
  <xdr:twoCellAnchor>
    <xdr:from>
      <xdr:col>23</xdr:col>
      <xdr:colOff>545886</xdr:colOff>
      <xdr:row>31</xdr:row>
      <xdr:rowOff>140879</xdr:rowOff>
    </xdr:from>
    <xdr:to>
      <xdr:col>25</xdr:col>
      <xdr:colOff>136873</xdr:colOff>
      <xdr:row>33</xdr:row>
      <xdr:rowOff>45628</xdr:rowOff>
    </xdr:to>
    <xdr:sp macro="" textlink="">
      <xdr:nvSpPr>
        <xdr:cNvPr id="70" name="TextBox 69"/>
        <xdr:cNvSpPr txBox="1"/>
      </xdr:nvSpPr>
      <xdr:spPr>
        <a:xfrm>
          <a:off x="21174315" y="6264093"/>
          <a:ext cx="924487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400" b="1" i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fdivT</a:t>
          </a:r>
          <a:endParaRPr lang="ru-RU" sz="1400" b="1" i="0" baseline="0">
            <a:solidFill>
              <a:srgbClr val="0070C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394607</xdr:colOff>
      <xdr:row>33</xdr:row>
      <xdr:rowOff>133669</xdr:rowOff>
    </xdr:from>
    <xdr:to>
      <xdr:col>28</xdr:col>
      <xdr:colOff>449036</xdr:colOff>
      <xdr:row>35</xdr:row>
      <xdr:rowOff>149679</xdr:rowOff>
    </xdr:to>
    <xdr:sp macro="" textlink="">
      <xdr:nvSpPr>
        <xdr:cNvPr id="71" name="TextBox 70"/>
        <xdr:cNvSpPr txBox="1"/>
      </xdr:nvSpPr>
      <xdr:spPr>
        <a:xfrm>
          <a:off x="21689786" y="6665098"/>
          <a:ext cx="2939143" cy="424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ru-RU" sz="1400" b="1" i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диапазон допустимых значений</a:t>
          </a:r>
          <a:endParaRPr lang="ru-RU" sz="1400" b="1" i="0" baseline="0">
            <a:solidFill>
              <a:srgbClr val="0070C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435428</xdr:colOff>
      <xdr:row>57</xdr:row>
      <xdr:rowOff>11884</xdr:rowOff>
    </xdr:from>
    <xdr:to>
      <xdr:col>22</xdr:col>
      <xdr:colOff>175846</xdr:colOff>
      <xdr:row>59</xdr:row>
      <xdr:rowOff>68036</xdr:rowOff>
    </xdr:to>
    <xdr:sp macro="" textlink="">
      <xdr:nvSpPr>
        <xdr:cNvPr id="60" name="TextBox 59"/>
        <xdr:cNvSpPr txBox="1"/>
      </xdr:nvSpPr>
      <xdr:spPr>
        <a:xfrm>
          <a:off x="13675178" y="11414670"/>
          <a:ext cx="5768382" cy="491580"/>
        </a:xfrm>
        <a:prstGeom prst="rect">
          <a:avLst/>
        </a:prstGeom>
        <a:solidFill>
          <a:srgbClr val="00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200" baseline="0">
              <a:latin typeface="Times New Roman" pitchFamily="18" charset="0"/>
              <a:cs typeface="Times New Roman" pitchFamily="18" charset="0"/>
            </a:rPr>
            <a:t>(nT+D·Vpl·fcoreT,D + Sfus·</a:t>
          </a:r>
          <a:r>
            <a:rPr lang="el-GR" sz="1200" baseline="0">
              <a:latin typeface="Times New Roman" pitchFamily="18" charset="0"/>
              <a:cs typeface="Times New Roman" pitchFamily="18" charset="0"/>
            </a:rPr>
            <a:t>τ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tot – SNB T,D·</a:t>
          </a:r>
          <a:r>
            <a:rPr lang="el-GR" sz="1200" baseline="0">
              <a:latin typeface="Times New Roman" pitchFamily="18" charset="0"/>
              <a:cs typeface="Times New Roman" pitchFamily="18" charset="0"/>
            </a:rPr>
            <a:t>τ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NB – Spel_LFST·</a:t>
          </a:r>
          <a:r>
            <a:rPr lang="el-GR" sz="1200" baseline="0">
              <a:latin typeface="Times New Roman" pitchFamily="18" charset="0"/>
              <a:cs typeface="Times New Roman" pitchFamily="18" charset="0"/>
            </a:rPr>
            <a:t>τ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pel + </a:t>
          </a:r>
          <a:r>
            <a:rPr lang="en-US" sz="1200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(a∙PSOL/3Tped)∙(1–g)·</a:t>
          </a:r>
          <a:r>
            <a:rPr lang="el-GR" sz="1200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τ</a:t>
          </a:r>
          <a:r>
            <a:rPr lang="en-US" sz="1200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pel)/(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Vpl·nsepD+T + Ssep·</a:t>
          </a:r>
          <a:r>
            <a:rPr lang="el-GR" sz="1200" baseline="0">
              <a:latin typeface="Times New Roman" pitchFamily="18" charset="0"/>
              <a:cs typeface="Times New Roman" pitchFamily="18" charset="0"/>
            </a:rPr>
            <a:t>τ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sep) &gt; fdivT,D</a:t>
          </a:r>
        </a:p>
      </xdr:txBody>
    </xdr:sp>
    <xdr:clientData/>
  </xdr:twoCellAnchor>
  <xdr:twoCellAnchor>
    <xdr:from>
      <xdr:col>43</xdr:col>
      <xdr:colOff>516591</xdr:colOff>
      <xdr:row>69</xdr:row>
      <xdr:rowOff>193488</xdr:rowOff>
    </xdr:from>
    <xdr:to>
      <xdr:col>56</xdr:col>
      <xdr:colOff>12700</xdr:colOff>
      <xdr:row>71</xdr:row>
      <xdr:rowOff>86231</xdr:rowOff>
    </xdr:to>
    <xdr:sp macro="" textlink="">
      <xdr:nvSpPr>
        <xdr:cNvPr id="61" name="TextBox 60"/>
        <xdr:cNvSpPr txBox="1"/>
      </xdr:nvSpPr>
      <xdr:spPr>
        <a:xfrm>
          <a:off x="37803791" y="13903138"/>
          <a:ext cx="8538509" cy="2864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fcoreT·Ncore = fdivT·Nsep+ SNBT·</a:t>
          </a:r>
          <a:r>
            <a:rPr lang="el-G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τ_</a:t>
          </a:r>
          <a:r>
            <a:rPr lang="en-US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NB + (S</a:t>
          </a:r>
          <a:r>
            <a:rPr lang="en-US" sz="1100" b="0" i="0" baseline="-25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pel_HFS</a:t>
          </a:r>
          <a:r>
            <a:rPr lang="en-US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 + S</a:t>
          </a:r>
          <a:r>
            <a:rPr lang="en-US" sz="1100" b="0" i="0" baseline="-25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pel_LFS</a:t>
          </a:r>
          <a:r>
            <a:rPr lang="en-US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T)·</a:t>
          </a:r>
          <a:r>
            <a:rPr lang="el-G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τ_</a:t>
          </a:r>
          <a:r>
            <a:rPr lang="en-US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pel – fcoreT·a∙PSOL/(3 Tped) ∙ (1–g)]∙</a:t>
          </a:r>
          <a:r>
            <a:rPr lang="el-G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</a:t>
          </a:r>
          <a:r>
            <a:rPr lang="en-US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_pel + fdivT·Ssep </a:t>
          </a:r>
          <a:r>
            <a:rPr lang="el-G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τ_</a:t>
          </a:r>
          <a:r>
            <a:rPr lang="en-US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 – Sfus·</a:t>
          </a:r>
          <a:r>
            <a:rPr lang="el-G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τ_</a:t>
          </a:r>
          <a:r>
            <a:rPr lang="en-US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NB</a:t>
          </a:r>
          <a:endParaRPr lang="ru-RU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11206</xdr:colOff>
      <xdr:row>63</xdr:row>
      <xdr:rowOff>177696</xdr:rowOff>
    </xdr:from>
    <xdr:to>
      <xdr:col>22</xdr:col>
      <xdr:colOff>22412</xdr:colOff>
      <xdr:row>65</xdr:row>
      <xdr:rowOff>22412</xdr:rowOff>
    </xdr:to>
    <xdr:sp macro="" textlink="">
      <xdr:nvSpPr>
        <xdr:cNvPr id="72" name="Прямоугольник 71"/>
        <xdr:cNvSpPr/>
      </xdr:nvSpPr>
      <xdr:spPr>
        <a:xfrm>
          <a:off x="14802971" y="12795520"/>
          <a:ext cx="4482353" cy="248127"/>
        </a:xfrm>
        <a:prstGeom prst="rect">
          <a:avLst/>
        </a:prstGeom>
        <a:noFill/>
        <a:ln w="571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612329</xdr:colOff>
      <xdr:row>12</xdr:row>
      <xdr:rowOff>73639</xdr:rowOff>
    </xdr:from>
    <xdr:to>
      <xdr:col>26</xdr:col>
      <xdr:colOff>717175</xdr:colOff>
      <xdr:row>21</xdr:row>
      <xdr:rowOff>140873</xdr:rowOff>
    </xdr:to>
    <xdr:graphicFrame macro="">
      <xdr:nvGraphicFramePr>
        <xdr:cNvPr id="74" name="Диаграмма 7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607527</xdr:colOff>
      <xdr:row>22</xdr:row>
      <xdr:rowOff>33620</xdr:rowOff>
    </xdr:from>
    <xdr:to>
      <xdr:col>27</xdr:col>
      <xdr:colOff>11216</xdr:colOff>
      <xdr:row>31</xdr:row>
      <xdr:rowOff>62433</xdr:rowOff>
    </xdr:to>
    <xdr:graphicFrame macro="">
      <xdr:nvGraphicFramePr>
        <xdr:cNvPr id="76" name="Диаграмма 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298888</xdr:colOff>
      <xdr:row>22</xdr:row>
      <xdr:rowOff>139275</xdr:rowOff>
    </xdr:from>
    <xdr:to>
      <xdr:col>26</xdr:col>
      <xdr:colOff>369794</xdr:colOff>
      <xdr:row>24</xdr:row>
      <xdr:rowOff>78442</xdr:rowOff>
    </xdr:to>
    <xdr:sp macro="" textlink="">
      <xdr:nvSpPr>
        <xdr:cNvPr id="75" name="TextBox 74"/>
        <xdr:cNvSpPr txBox="1"/>
      </xdr:nvSpPr>
      <xdr:spPr>
        <a:xfrm>
          <a:off x="22564976" y="4475951"/>
          <a:ext cx="799289" cy="3313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 i="0" u="none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 gisT</a:t>
          </a:r>
          <a:endParaRPr lang="en-US" sz="1600" b="1" i="1" u="none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644339</xdr:colOff>
      <xdr:row>33</xdr:row>
      <xdr:rowOff>110458</xdr:rowOff>
    </xdr:from>
    <xdr:to>
      <xdr:col>47</xdr:col>
      <xdr:colOff>148878</xdr:colOff>
      <xdr:row>44</xdr:row>
      <xdr:rowOff>61628</xdr:rowOff>
    </xdr:to>
    <xdr:graphicFrame macro="">
      <xdr:nvGraphicFramePr>
        <xdr:cNvPr id="47" name="Диаграмма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637937</xdr:colOff>
      <xdr:row>45</xdr:row>
      <xdr:rowOff>186498</xdr:rowOff>
    </xdr:from>
    <xdr:to>
      <xdr:col>47</xdr:col>
      <xdr:colOff>142476</xdr:colOff>
      <xdr:row>56</xdr:row>
      <xdr:rowOff>184093</xdr:rowOff>
    </xdr:to>
    <xdr:graphicFrame macro="">
      <xdr:nvGraphicFramePr>
        <xdr:cNvPr id="62" name="Диаграмма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656345</xdr:colOff>
      <xdr:row>58</xdr:row>
      <xdr:rowOff>100851</xdr:rowOff>
    </xdr:from>
    <xdr:to>
      <xdr:col>47</xdr:col>
      <xdr:colOff>180893</xdr:colOff>
      <xdr:row>69</xdr:row>
      <xdr:rowOff>56025</xdr:rowOff>
    </xdr:to>
    <xdr:graphicFrame macro="">
      <xdr:nvGraphicFramePr>
        <xdr:cNvPr id="63" name="Диаграмма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701962</xdr:colOff>
      <xdr:row>44</xdr:row>
      <xdr:rowOff>102454</xdr:rowOff>
    </xdr:from>
    <xdr:to>
      <xdr:col>31</xdr:col>
      <xdr:colOff>445033</xdr:colOff>
      <xdr:row>56</xdr:row>
      <xdr:rowOff>95250</xdr:rowOff>
    </xdr:to>
    <xdr:graphicFrame macro="">
      <xdr:nvGraphicFramePr>
        <xdr:cNvPr id="64" name="Диаграмма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702765</xdr:colOff>
      <xdr:row>32</xdr:row>
      <xdr:rowOff>34418</xdr:rowOff>
    </xdr:from>
    <xdr:to>
      <xdr:col>31</xdr:col>
      <xdr:colOff>475450</xdr:colOff>
      <xdr:row>43</xdr:row>
      <xdr:rowOff>204107</xdr:rowOff>
    </xdr:to>
    <xdr:graphicFrame macro="">
      <xdr:nvGraphicFramePr>
        <xdr:cNvPr id="77" name="Диаграмма 7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456157</xdr:colOff>
      <xdr:row>41</xdr:row>
      <xdr:rowOff>80872</xdr:rowOff>
    </xdr:from>
    <xdr:to>
      <xdr:col>31</xdr:col>
      <xdr:colOff>246530</xdr:colOff>
      <xdr:row>41</xdr:row>
      <xdr:rowOff>97118</xdr:rowOff>
    </xdr:to>
    <xdr:cxnSp macro="">
      <xdr:nvCxnSpPr>
        <xdr:cNvPr id="78" name="Прямая соединительная линия 77"/>
        <xdr:cNvCxnSpPr/>
      </xdr:nvCxnSpPr>
      <xdr:spPr>
        <a:xfrm>
          <a:off x="26946863" y="8223813"/>
          <a:ext cx="1269549" cy="16246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680345</xdr:colOff>
      <xdr:row>57</xdr:row>
      <xdr:rowOff>34418</xdr:rowOff>
    </xdr:from>
    <xdr:to>
      <xdr:col>31</xdr:col>
      <xdr:colOff>435428</xdr:colOff>
      <xdr:row>68</xdr:row>
      <xdr:rowOff>122465</xdr:rowOff>
    </xdr:to>
    <xdr:graphicFrame macro="">
      <xdr:nvGraphicFramePr>
        <xdr:cNvPr id="79" name="Диаграмма 7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139373</xdr:colOff>
      <xdr:row>12</xdr:row>
      <xdr:rowOff>67938</xdr:rowOff>
    </xdr:from>
    <xdr:to>
      <xdr:col>30</xdr:col>
      <xdr:colOff>190500</xdr:colOff>
      <xdr:row>31</xdr:row>
      <xdr:rowOff>56029</xdr:rowOff>
    </xdr:to>
    <xdr:graphicFrame macro="">
      <xdr:nvGraphicFramePr>
        <xdr:cNvPr id="73" name="Диаграмма 7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32</xdr:col>
      <xdr:colOff>622811</xdr:colOff>
      <xdr:row>26</xdr:row>
      <xdr:rowOff>144556</xdr:rowOff>
    </xdr:from>
    <xdr:to>
      <xdr:col>37</xdr:col>
      <xdr:colOff>78441</xdr:colOff>
      <xdr:row>51</xdr:row>
      <xdr:rowOff>89648</xdr:rowOff>
    </xdr:to>
    <xdr:sp macro="" textlink="">
      <xdr:nvSpPr>
        <xdr:cNvPr id="80" name="Прямоугольник 79"/>
        <xdr:cNvSpPr/>
      </xdr:nvSpPr>
      <xdr:spPr>
        <a:xfrm>
          <a:off x="27707429" y="5254438"/>
          <a:ext cx="3019100" cy="50773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25</xdr:col>
      <xdr:colOff>437030</xdr:colOff>
      <xdr:row>12</xdr:row>
      <xdr:rowOff>157205</xdr:rowOff>
    </xdr:from>
    <xdr:to>
      <xdr:col>26</xdr:col>
      <xdr:colOff>526676</xdr:colOff>
      <xdr:row>14</xdr:row>
      <xdr:rowOff>78443</xdr:rowOff>
    </xdr:to>
    <xdr:sp macro="" textlink="">
      <xdr:nvSpPr>
        <xdr:cNvPr id="81" name="TextBox 80"/>
        <xdr:cNvSpPr txBox="1"/>
      </xdr:nvSpPr>
      <xdr:spPr>
        <a:xfrm>
          <a:off x="22703118" y="2544058"/>
          <a:ext cx="818029" cy="291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 i="0" u="none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SgisD</a:t>
          </a:r>
          <a:endParaRPr lang="en-US" sz="1600" b="1" i="1" u="none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0</xdr:colOff>
      <xdr:row>0</xdr:row>
      <xdr:rowOff>89648</xdr:rowOff>
    </xdr:from>
    <xdr:to>
      <xdr:col>64</xdr:col>
      <xdr:colOff>560294</xdr:colOff>
      <xdr:row>10</xdr:row>
      <xdr:rowOff>11207</xdr:rowOff>
    </xdr:to>
    <xdr:sp macro="" textlink="">
      <xdr:nvSpPr>
        <xdr:cNvPr id="4" name="Прямоугольник 3"/>
        <xdr:cNvSpPr/>
      </xdr:nvSpPr>
      <xdr:spPr>
        <a:xfrm>
          <a:off x="31992794" y="89648"/>
          <a:ext cx="17638059" cy="19610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41</xdr:col>
      <xdr:colOff>324969</xdr:colOff>
      <xdr:row>43</xdr:row>
      <xdr:rowOff>112057</xdr:rowOff>
    </xdr:from>
    <xdr:to>
      <xdr:col>42</xdr:col>
      <xdr:colOff>448235</xdr:colOff>
      <xdr:row>47</xdr:row>
      <xdr:rowOff>145676</xdr:rowOff>
    </xdr:to>
    <xdr:sp macro="" textlink="">
      <xdr:nvSpPr>
        <xdr:cNvPr id="82" name="Дуга 81"/>
        <xdr:cNvSpPr/>
      </xdr:nvSpPr>
      <xdr:spPr>
        <a:xfrm rot="10800000">
          <a:off x="34368440" y="8819028"/>
          <a:ext cx="840442" cy="851648"/>
        </a:xfrm>
        <a:prstGeom prst="arc">
          <a:avLst>
            <a:gd name="adj1" fmla="val 5498090"/>
            <a:gd name="adj2" fmla="val 16246039"/>
          </a:avLst>
        </a:prstGeom>
        <a:ln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36</xdr:col>
      <xdr:colOff>705971</xdr:colOff>
      <xdr:row>51</xdr:row>
      <xdr:rowOff>112058</xdr:rowOff>
    </xdr:from>
    <xdr:to>
      <xdr:col>38</xdr:col>
      <xdr:colOff>11206</xdr:colOff>
      <xdr:row>65</xdr:row>
      <xdr:rowOff>0</xdr:rowOff>
    </xdr:to>
    <xdr:cxnSp macro="">
      <xdr:nvCxnSpPr>
        <xdr:cNvPr id="7" name="Прямая со стрелкой 6"/>
        <xdr:cNvCxnSpPr/>
      </xdr:nvCxnSpPr>
      <xdr:spPr>
        <a:xfrm flipV="1">
          <a:off x="30950647" y="10432676"/>
          <a:ext cx="907677" cy="268941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9526</xdr:colOff>
      <xdr:row>28</xdr:row>
      <xdr:rowOff>0</xdr:rowOff>
    </xdr:to>
    <xdr:sp macro="" textlink="">
      <xdr:nvSpPr>
        <xdr:cNvPr id="83" name="Прямоугольник 82"/>
        <xdr:cNvSpPr/>
      </xdr:nvSpPr>
      <xdr:spPr>
        <a:xfrm>
          <a:off x="11351559" y="5143500"/>
          <a:ext cx="737908" cy="2017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30</xdr:col>
      <xdr:colOff>717176</xdr:colOff>
      <xdr:row>15</xdr:row>
      <xdr:rowOff>7470</xdr:rowOff>
    </xdr:from>
    <xdr:to>
      <xdr:col>48</xdr:col>
      <xdr:colOff>709706</xdr:colOff>
      <xdr:row>19</xdr:row>
      <xdr:rowOff>14941</xdr:rowOff>
    </xdr:to>
    <xdr:sp macro="" textlink="">
      <xdr:nvSpPr>
        <xdr:cNvPr id="84" name="Прямоугольник 83"/>
        <xdr:cNvSpPr/>
      </xdr:nvSpPr>
      <xdr:spPr>
        <a:xfrm>
          <a:off x="27954941" y="2928470"/>
          <a:ext cx="13850471" cy="76947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32</xdr:col>
      <xdr:colOff>622811</xdr:colOff>
      <xdr:row>26</xdr:row>
      <xdr:rowOff>144556</xdr:rowOff>
    </xdr:from>
    <xdr:to>
      <xdr:col>37</xdr:col>
      <xdr:colOff>78441</xdr:colOff>
      <xdr:row>51</xdr:row>
      <xdr:rowOff>89648</xdr:rowOff>
    </xdr:to>
    <xdr:sp macro="" textlink="">
      <xdr:nvSpPr>
        <xdr:cNvPr id="85" name="Прямоугольник 84"/>
        <xdr:cNvSpPr/>
      </xdr:nvSpPr>
      <xdr:spPr>
        <a:xfrm>
          <a:off x="29364499" y="5216619"/>
          <a:ext cx="3273567" cy="495365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41</xdr:col>
      <xdr:colOff>324969</xdr:colOff>
      <xdr:row>43</xdr:row>
      <xdr:rowOff>112057</xdr:rowOff>
    </xdr:from>
    <xdr:to>
      <xdr:col>42</xdr:col>
      <xdr:colOff>448235</xdr:colOff>
      <xdr:row>47</xdr:row>
      <xdr:rowOff>145676</xdr:rowOff>
    </xdr:to>
    <xdr:sp macro="" textlink="">
      <xdr:nvSpPr>
        <xdr:cNvPr id="86" name="Дуга 85"/>
        <xdr:cNvSpPr/>
      </xdr:nvSpPr>
      <xdr:spPr>
        <a:xfrm rot="10800000">
          <a:off x="36091344" y="8605182"/>
          <a:ext cx="869391" cy="843244"/>
        </a:xfrm>
        <a:prstGeom prst="arc">
          <a:avLst>
            <a:gd name="adj1" fmla="val 5498090"/>
            <a:gd name="adj2" fmla="val 16246039"/>
          </a:avLst>
        </a:prstGeom>
        <a:ln>
          <a:solidFill>
            <a:srgbClr val="FF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36</xdr:col>
      <xdr:colOff>705971</xdr:colOff>
      <xdr:row>51</xdr:row>
      <xdr:rowOff>112058</xdr:rowOff>
    </xdr:from>
    <xdr:to>
      <xdr:col>38</xdr:col>
      <xdr:colOff>11206</xdr:colOff>
      <xdr:row>65</xdr:row>
      <xdr:rowOff>0</xdr:rowOff>
    </xdr:to>
    <xdr:cxnSp macro="">
      <xdr:nvCxnSpPr>
        <xdr:cNvPr id="87" name="Прямая со стрелкой 86"/>
        <xdr:cNvCxnSpPr/>
      </xdr:nvCxnSpPr>
      <xdr:spPr>
        <a:xfrm flipV="1">
          <a:off x="32511534" y="10192683"/>
          <a:ext cx="980047" cy="25787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0.1733</cdr:x>
      <cdr:y>0.20347</cdr:y>
    </cdr:from>
    <cdr:to>
      <cdr:x>0.88246</cdr:x>
      <cdr:y>0.20752</cdr:y>
    </cdr:to>
    <cdr:cxnSp macro="">
      <cdr:nvCxnSpPr>
        <cdr:cNvPr id="2" name="Прямая соединительная линия 1"/>
        <cdr:cNvCxnSpPr/>
      </cdr:nvCxnSpPr>
      <cdr:spPr>
        <a:xfrm xmlns:a="http://schemas.openxmlformats.org/drawingml/2006/main" flipV="1">
          <a:off x="347762" y="472782"/>
          <a:ext cx="1423041" cy="9421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0.2684</cdr:x>
      <cdr:y>0.19233</cdr:y>
    </cdr:from>
    <cdr:to>
      <cdr:x>0.90272</cdr:x>
      <cdr:y>0.19543</cdr:y>
    </cdr:to>
    <cdr:cxnSp macro="">
      <cdr:nvCxnSpPr>
        <cdr:cNvPr id="2" name="Прямая соединительная линия 1"/>
        <cdr:cNvCxnSpPr/>
      </cdr:nvCxnSpPr>
      <cdr:spPr>
        <a:xfrm xmlns:a="http://schemas.openxmlformats.org/drawingml/2006/main">
          <a:off x="541816" y="429296"/>
          <a:ext cx="1280486" cy="6933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596714</xdr:colOff>
      <xdr:row>10</xdr:row>
      <xdr:rowOff>58749</xdr:rowOff>
    </xdr:from>
    <xdr:to>
      <xdr:col>14</xdr:col>
      <xdr:colOff>6350</xdr:colOff>
      <xdr:row>23</xdr:row>
      <xdr:rowOff>146155</xdr:rowOff>
    </xdr:to>
    <xdr:graphicFrame macro="">
      <xdr:nvGraphicFramePr>
        <xdr:cNvPr id="25" name="Диаграмма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570139</xdr:colOff>
      <xdr:row>24</xdr:row>
      <xdr:rowOff>35379</xdr:rowOff>
    </xdr:from>
    <xdr:to>
      <xdr:col>18</xdr:col>
      <xdr:colOff>530678</xdr:colOff>
      <xdr:row>38</xdr:row>
      <xdr:rowOff>12247</xdr:rowOff>
    </xdr:to>
    <xdr:graphicFrame macro="">
      <xdr:nvGraphicFramePr>
        <xdr:cNvPr id="26" name="Диаграмма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530680</xdr:colOff>
      <xdr:row>24</xdr:row>
      <xdr:rowOff>69397</xdr:rowOff>
    </xdr:from>
    <xdr:to>
      <xdr:col>28</xdr:col>
      <xdr:colOff>530680</xdr:colOff>
      <xdr:row>38</xdr:row>
      <xdr:rowOff>47626</xdr:rowOff>
    </xdr:to>
    <xdr:graphicFrame macro="">
      <xdr:nvGraphicFramePr>
        <xdr:cNvPr id="27" name="Диаграмма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436070</xdr:colOff>
      <xdr:row>10</xdr:row>
      <xdr:rowOff>56109</xdr:rowOff>
    </xdr:from>
    <xdr:to>
      <xdr:col>34</xdr:col>
      <xdr:colOff>565338</xdr:colOff>
      <xdr:row>23</xdr:row>
      <xdr:rowOff>143195</xdr:rowOff>
    </xdr:to>
    <xdr:graphicFrame macro="">
      <xdr:nvGraphicFramePr>
        <xdr:cNvPr id="28" name="Диаграмма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103295</xdr:colOff>
      <xdr:row>24</xdr:row>
      <xdr:rowOff>98089</xdr:rowOff>
    </xdr:from>
    <xdr:to>
      <xdr:col>39</xdr:col>
      <xdr:colOff>103415</xdr:colOff>
      <xdr:row>38</xdr:row>
      <xdr:rowOff>70994</xdr:rowOff>
    </xdr:to>
    <xdr:graphicFrame macro="">
      <xdr:nvGraphicFramePr>
        <xdr:cNvPr id="29" name="Диаграмма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610961</xdr:colOff>
      <xdr:row>10</xdr:row>
      <xdr:rowOff>40821</xdr:rowOff>
    </xdr:from>
    <xdr:to>
      <xdr:col>23</xdr:col>
      <xdr:colOff>530678</xdr:colOff>
      <xdr:row>23</xdr:row>
      <xdr:rowOff>126546</xdr:rowOff>
    </xdr:to>
    <xdr:graphicFrame macro="">
      <xdr:nvGraphicFramePr>
        <xdr:cNvPr id="30" name="Диаграмма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40821</xdr:colOff>
      <xdr:row>10</xdr:row>
      <xdr:rowOff>27215</xdr:rowOff>
    </xdr:from>
    <xdr:to>
      <xdr:col>45</xdr:col>
      <xdr:colOff>170093</xdr:colOff>
      <xdr:row>23</xdr:row>
      <xdr:rowOff>108977</xdr:rowOff>
    </xdr:to>
    <xdr:graphicFrame macro="">
      <xdr:nvGraphicFramePr>
        <xdr:cNvPr id="31" name="Диаграмма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593271</xdr:colOff>
      <xdr:row>24</xdr:row>
      <xdr:rowOff>107614</xdr:rowOff>
    </xdr:from>
    <xdr:to>
      <xdr:col>49</xdr:col>
      <xdr:colOff>136071</xdr:colOff>
      <xdr:row>38</xdr:row>
      <xdr:rowOff>80519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53</xdr:col>
      <xdr:colOff>5242</xdr:colOff>
      <xdr:row>24</xdr:row>
      <xdr:rowOff>49627</xdr:rowOff>
    </xdr:from>
    <xdr:to>
      <xdr:col>60</xdr:col>
      <xdr:colOff>134514</xdr:colOff>
      <xdr:row>37</xdr:row>
      <xdr:rowOff>187418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602319</xdr:colOff>
      <xdr:row>10</xdr:row>
      <xdr:rowOff>41738</xdr:rowOff>
    </xdr:from>
    <xdr:to>
      <xdr:col>63</xdr:col>
      <xdr:colOff>394607</xdr:colOff>
      <xdr:row>23</xdr:row>
      <xdr:rowOff>149114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63</xdr:col>
      <xdr:colOff>21571</xdr:colOff>
      <xdr:row>24</xdr:row>
      <xdr:rowOff>92448</xdr:rowOff>
    </xdr:from>
    <xdr:to>
      <xdr:col>70</xdr:col>
      <xdr:colOff>150842</xdr:colOff>
      <xdr:row>38</xdr:row>
      <xdr:rowOff>39739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578224</xdr:colOff>
      <xdr:row>10</xdr:row>
      <xdr:rowOff>125503</xdr:rowOff>
    </xdr:from>
    <xdr:to>
      <xdr:col>9</xdr:col>
      <xdr:colOff>145677</xdr:colOff>
      <xdr:row>12</xdr:row>
      <xdr:rowOff>39778</xdr:rowOff>
    </xdr:to>
    <xdr:sp macro="" textlink="">
      <xdr:nvSpPr>
        <xdr:cNvPr id="13" name="TextBox 12"/>
        <xdr:cNvSpPr txBox="1"/>
      </xdr:nvSpPr>
      <xdr:spPr>
        <a:xfrm>
          <a:off x="4814048" y="2142562"/>
          <a:ext cx="777688" cy="31768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Pfus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17</xdr:col>
      <xdr:colOff>581586</xdr:colOff>
      <xdr:row>13</xdr:row>
      <xdr:rowOff>12885</xdr:rowOff>
    </xdr:from>
    <xdr:to>
      <xdr:col>19</xdr:col>
      <xdr:colOff>43144</xdr:colOff>
      <xdr:row>14</xdr:row>
      <xdr:rowOff>124010</xdr:rowOff>
    </xdr:to>
    <xdr:sp macro="" textlink="">
      <xdr:nvSpPr>
        <xdr:cNvPr id="14" name="TextBox 13"/>
        <xdr:cNvSpPr txBox="1"/>
      </xdr:nvSpPr>
      <xdr:spPr>
        <a:xfrm>
          <a:off x="10944786" y="2571935"/>
          <a:ext cx="680758" cy="3079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Psol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25</xdr:col>
      <xdr:colOff>515471</xdr:colOff>
      <xdr:row>27</xdr:row>
      <xdr:rowOff>16809</xdr:rowOff>
    </xdr:from>
    <xdr:to>
      <xdr:col>27</xdr:col>
      <xdr:colOff>257735</xdr:colOff>
      <xdr:row>28</xdr:row>
      <xdr:rowOff>129428</xdr:rowOff>
    </xdr:to>
    <xdr:sp macro="" textlink="">
      <xdr:nvSpPr>
        <xdr:cNvPr id="15" name="TextBox 14"/>
        <xdr:cNvSpPr txBox="1"/>
      </xdr:nvSpPr>
      <xdr:spPr>
        <a:xfrm>
          <a:off x="15643412" y="5474074"/>
          <a:ext cx="952499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Tau_nb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36</xdr:col>
      <xdr:colOff>75079</xdr:colOff>
      <xdr:row>34</xdr:row>
      <xdr:rowOff>175372</xdr:rowOff>
    </xdr:from>
    <xdr:to>
      <xdr:col>37</xdr:col>
      <xdr:colOff>526676</xdr:colOff>
      <xdr:row>36</xdr:row>
      <xdr:rowOff>108697</xdr:rowOff>
    </xdr:to>
    <xdr:sp macro="" textlink="">
      <xdr:nvSpPr>
        <xdr:cNvPr id="16" name="TextBox 15"/>
        <xdr:cNvSpPr txBox="1"/>
      </xdr:nvSpPr>
      <xdr:spPr>
        <a:xfrm>
          <a:off x="21859314" y="7010960"/>
          <a:ext cx="1056715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Tau_sep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31</xdr:col>
      <xdr:colOff>324598</xdr:colOff>
      <xdr:row>20</xdr:row>
      <xdr:rowOff>65367</xdr:rowOff>
    </xdr:from>
    <xdr:to>
      <xdr:col>33</xdr:col>
      <xdr:colOff>79187</xdr:colOff>
      <xdr:row>21</xdr:row>
      <xdr:rowOff>179667</xdr:rowOff>
    </xdr:to>
    <xdr:sp macro="" textlink="">
      <xdr:nvSpPr>
        <xdr:cNvPr id="17" name="TextBox 16"/>
        <xdr:cNvSpPr txBox="1"/>
      </xdr:nvSpPr>
      <xdr:spPr>
        <a:xfrm>
          <a:off x="19222198" y="4002367"/>
          <a:ext cx="973789" cy="3111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Tau_pel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41</xdr:col>
      <xdr:colOff>593910</xdr:colOff>
      <xdr:row>19</xdr:row>
      <xdr:rowOff>31377</xdr:rowOff>
    </xdr:from>
    <xdr:to>
      <xdr:col>43</xdr:col>
      <xdr:colOff>493618</xdr:colOff>
      <xdr:row>20</xdr:row>
      <xdr:rowOff>145677</xdr:rowOff>
    </xdr:to>
    <xdr:sp macro="" textlink="">
      <xdr:nvSpPr>
        <xdr:cNvPr id="18" name="TextBox 17"/>
        <xdr:cNvSpPr txBox="1"/>
      </xdr:nvSpPr>
      <xdr:spPr>
        <a:xfrm>
          <a:off x="25403734" y="3863789"/>
          <a:ext cx="1109943" cy="3160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Tau_tot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45</xdr:col>
      <xdr:colOff>476250</xdr:colOff>
      <xdr:row>31</xdr:row>
      <xdr:rowOff>142875</xdr:rowOff>
    </xdr:from>
    <xdr:to>
      <xdr:col>47</xdr:col>
      <xdr:colOff>100853</xdr:colOff>
      <xdr:row>33</xdr:row>
      <xdr:rowOff>76200</xdr:rowOff>
    </xdr:to>
    <xdr:sp macro="" textlink="">
      <xdr:nvSpPr>
        <xdr:cNvPr id="19" name="TextBox 18"/>
        <xdr:cNvSpPr txBox="1"/>
      </xdr:nvSpPr>
      <xdr:spPr>
        <a:xfrm>
          <a:off x="27706544" y="6406963"/>
          <a:ext cx="834838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Tau_e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55</xdr:col>
      <xdr:colOff>52669</xdr:colOff>
      <xdr:row>24</xdr:row>
      <xdr:rowOff>153520</xdr:rowOff>
    </xdr:from>
    <xdr:to>
      <xdr:col>56</xdr:col>
      <xdr:colOff>462245</xdr:colOff>
      <xdr:row>26</xdr:row>
      <xdr:rowOff>54908</xdr:rowOff>
    </xdr:to>
    <xdr:sp macro="" textlink="">
      <xdr:nvSpPr>
        <xdr:cNvPr id="20" name="TextBox 19"/>
        <xdr:cNvSpPr txBox="1"/>
      </xdr:nvSpPr>
      <xdr:spPr>
        <a:xfrm>
          <a:off x="26072728" y="4994461"/>
          <a:ext cx="1014693" cy="3160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Tau_p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65</xdr:col>
      <xdr:colOff>136899</xdr:colOff>
      <xdr:row>32</xdr:row>
      <xdr:rowOff>71716</xdr:rowOff>
    </xdr:from>
    <xdr:to>
      <xdr:col>67</xdr:col>
      <xdr:colOff>546475</xdr:colOff>
      <xdr:row>34</xdr:row>
      <xdr:rowOff>11392</xdr:rowOff>
    </xdr:to>
    <xdr:sp macro="" textlink="">
      <xdr:nvSpPr>
        <xdr:cNvPr id="21" name="TextBox 20"/>
        <xdr:cNvSpPr txBox="1"/>
      </xdr:nvSpPr>
      <xdr:spPr>
        <a:xfrm>
          <a:off x="39760899" y="6320116"/>
          <a:ext cx="1628776" cy="2952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n_sep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71</xdr:col>
      <xdr:colOff>601759</xdr:colOff>
      <xdr:row>24</xdr:row>
      <xdr:rowOff>174528</xdr:rowOff>
    </xdr:from>
    <xdr:to>
      <xdr:col>78</xdr:col>
      <xdr:colOff>544287</xdr:colOff>
      <xdr:row>38</xdr:row>
      <xdr:rowOff>147433</xdr:rowOff>
    </xdr:to>
    <xdr:graphicFrame macro="">
      <xdr:nvGraphicFramePr>
        <xdr:cNvPr id="22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78</xdr:col>
      <xdr:colOff>841</xdr:colOff>
      <xdr:row>10</xdr:row>
      <xdr:rowOff>75079</xdr:rowOff>
    </xdr:from>
    <xdr:to>
      <xdr:col>85</xdr:col>
      <xdr:colOff>130112</xdr:colOff>
      <xdr:row>23</xdr:row>
      <xdr:rowOff>156841</xdr:rowOff>
    </xdr:to>
    <xdr:graphicFrame macro="">
      <xdr:nvGraphicFramePr>
        <xdr:cNvPr id="23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78</xdr:col>
      <xdr:colOff>595594</xdr:colOff>
      <xdr:row>10</xdr:row>
      <xdr:rowOff>180974</xdr:rowOff>
    </xdr:from>
    <xdr:to>
      <xdr:col>80</xdr:col>
      <xdr:colOff>395569</xdr:colOff>
      <xdr:row>12</xdr:row>
      <xdr:rowOff>95249</xdr:rowOff>
    </xdr:to>
    <xdr:sp macro="" textlink="">
      <xdr:nvSpPr>
        <xdr:cNvPr id="24" name="TextBox 23"/>
        <xdr:cNvSpPr txBox="1"/>
      </xdr:nvSpPr>
      <xdr:spPr>
        <a:xfrm>
          <a:off x="37507770" y="2198033"/>
          <a:ext cx="1010211" cy="31768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S_pel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83</xdr:col>
      <xdr:colOff>25215</xdr:colOff>
      <xdr:row>24</xdr:row>
      <xdr:rowOff>122704</xdr:rowOff>
    </xdr:from>
    <xdr:to>
      <xdr:col>90</xdr:col>
      <xdr:colOff>154485</xdr:colOff>
      <xdr:row>38</xdr:row>
      <xdr:rowOff>95609</xdr:rowOff>
    </xdr:to>
    <xdr:graphicFrame macro="">
      <xdr:nvGraphicFramePr>
        <xdr:cNvPr id="32" name="Диаграмма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93</xdr:col>
      <xdr:colOff>11208</xdr:colOff>
      <xdr:row>24</xdr:row>
      <xdr:rowOff>112059</xdr:rowOff>
    </xdr:from>
    <xdr:to>
      <xdr:col>100</xdr:col>
      <xdr:colOff>140479</xdr:colOff>
      <xdr:row>38</xdr:row>
      <xdr:rowOff>59350</xdr:rowOff>
    </xdr:to>
    <xdr:graphicFrame macro="">
      <xdr:nvGraphicFramePr>
        <xdr:cNvPr id="33" name="Диаграмма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101</xdr:col>
      <xdr:colOff>582706</xdr:colOff>
      <xdr:row>24</xdr:row>
      <xdr:rowOff>123264</xdr:rowOff>
    </xdr:from>
    <xdr:to>
      <xdr:col>108</xdr:col>
      <xdr:colOff>106860</xdr:colOff>
      <xdr:row>38</xdr:row>
      <xdr:rowOff>70555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96</xdr:col>
      <xdr:colOff>437031</xdr:colOff>
      <xdr:row>10</xdr:row>
      <xdr:rowOff>100853</xdr:rowOff>
    </xdr:from>
    <xdr:to>
      <xdr:col>103</xdr:col>
      <xdr:colOff>566302</xdr:colOff>
      <xdr:row>23</xdr:row>
      <xdr:rowOff>182615</xdr:rowOff>
    </xdr:to>
    <xdr:graphicFrame macro="">
      <xdr:nvGraphicFramePr>
        <xdr:cNvPr id="35" name="Диаграмма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105</xdr:col>
      <xdr:colOff>560294</xdr:colOff>
      <xdr:row>10</xdr:row>
      <xdr:rowOff>89647</xdr:rowOff>
    </xdr:from>
    <xdr:to>
      <xdr:col>112</xdr:col>
      <xdr:colOff>84447</xdr:colOff>
      <xdr:row>23</xdr:row>
      <xdr:rowOff>171409</xdr:rowOff>
    </xdr:to>
    <xdr:graphicFrame macro="">
      <xdr:nvGraphicFramePr>
        <xdr:cNvPr id="36" name="Диаграмма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86</xdr:col>
      <xdr:colOff>593912</xdr:colOff>
      <xdr:row>10</xdr:row>
      <xdr:rowOff>100853</xdr:rowOff>
    </xdr:from>
    <xdr:to>
      <xdr:col>94</xdr:col>
      <xdr:colOff>108857</xdr:colOff>
      <xdr:row>23</xdr:row>
      <xdr:rowOff>182615</xdr:rowOff>
    </xdr:to>
    <xdr:graphicFrame macro="">
      <xdr:nvGraphicFramePr>
        <xdr:cNvPr id="37" name="Диаграмма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68</xdr:col>
      <xdr:colOff>11206</xdr:colOff>
      <xdr:row>10</xdr:row>
      <xdr:rowOff>33618</xdr:rowOff>
    </xdr:from>
    <xdr:to>
      <xdr:col>75</xdr:col>
      <xdr:colOff>140477</xdr:colOff>
      <xdr:row>23</xdr:row>
      <xdr:rowOff>115380</xdr:rowOff>
    </xdr:to>
    <xdr:graphicFrame macro="">
      <xdr:nvGraphicFramePr>
        <xdr:cNvPr id="38" name="Диаграмма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46</xdr:col>
      <xdr:colOff>582706</xdr:colOff>
      <xdr:row>10</xdr:row>
      <xdr:rowOff>33617</xdr:rowOff>
    </xdr:from>
    <xdr:to>
      <xdr:col>53</xdr:col>
      <xdr:colOff>476250</xdr:colOff>
      <xdr:row>23</xdr:row>
      <xdr:rowOff>115379</xdr:rowOff>
    </xdr:to>
    <xdr:graphicFrame macro="">
      <xdr:nvGraphicFramePr>
        <xdr:cNvPr id="39" name="Диаграмма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1</xdr:colOff>
      <xdr:row>24</xdr:row>
      <xdr:rowOff>52668</xdr:rowOff>
    </xdr:from>
    <xdr:to>
      <xdr:col>6</xdr:col>
      <xdr:colOff>527051</xdr:colOff>
      <xdr:row>37</xdr:row>
      <xdr:rowOff>190459</xdr:rowOff>
    </xdr:to>
    <xdr:graphicFrame macro="">
      <xdr:nvGraphicFramePr>
        <xdr:cNvPr id="40" name="Диаграмма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10</xdr:row>
      <xdr:rowOff>22412</xdr:rowOff>
    </xdr:from>
    <xdr:to>
      <xdr:col>6</xdr:col>
      <xdr:colOff>526676</xdr:colOff>
      <xdr:row>23</xdr:row>
      <xdr:rowOff>109818</xdr:rowOff>
    </xdr:to>
    <xdr:graphicFrame macro="">
      <xdr:nvGraphicFramePr>
        <xdr:cNvPr id="41" name="Диаграмма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25</xdr:col>
      <xdr:colOff>515471</xdr:colOff>
      <xdr:row>27</xdr:row>
      <xdr:rowOff>16809</xdr:rowOff>
    </xdr:from>
    <xdr:to>
      <xdr:col>27</xdr:col>
      <xdr:colOff>257735</xdr:colOff>
      <xdr:row>28</xdr:row>
      <xdr:rowOff>129428</xdr:rowOff>
    </xdr:to>
    <xdr:sp macro="" textlink="">
      <xdr:nvSpPr>
        <xdr:cNvPr id="42" name="TextBox 41"/>
        <xdr:cNvSpPr txBox="1"/>
      </xdr:nvSpPr>
      <xdr:spPr>
        <a:xfrm>
          <a:off x="15755471" y="5344459"/>
          <a:ext cx="961464" cy="3094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Tau_nb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36</xdr:col>
      <xdr:colOff>75079</xdr:colOff>
      <xdr:row>34</xdr:row>
      <xdr:rowOff>175372</xdr:rowOff>
    </xdr:from>
    <xdr:to>
      <xdr:col>37</xdr:col>
      <xdr:colOff>526676</xdr:colOff>
      <xdr:row>36</xdr:row>
      <xdr:rowOff>108697</xdr:rowOff>
    </xdr:to>
    <xdr:sp macro="" textlink="">
      <xdr:nvSpPr>
        <xdr:cNvPr id="43" name="TextBox 42"/>
        <xdr:cNvSpPr txBox="1"/>
      </xdr:nvSpPr>
      <xdr:spPr>
        <a:xfrm>
          <a:off x="22020679" y="6842872"/>
          <a:ext cx="1061197" cy="3016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Tau_sep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0.172</cdr:x>
      <cdr:y>0.09222</cdr:y>
    </cdr:from>
    <cdr:to>
      <cdr:x>0.35071</cdr:x>
      <cdr:y>0.20777</cdr:y>
    </cdr:to>
    <cdr:sp macro="" textlink="">
      <cdr:nvSpPr>
        <cdr:cNvPr id="2" name="TextBox 12"/>
        <cdr:cNvSpPr txBox="1"/>
      </cdr:nvSpPr>
      <cdr:spPr>
        <a:xfrm xmlns:a="http://schemas.openxmlformats.org/drawingml/2006/main">
          <a:off x="650877" y="250838"/>
          <a:ext cx="676265" cy="3143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Neut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0.46365</cdr:x>
      <cdr:y>0.05377</cdr:y>
    </cdr:from>
    <cdr:to>
      <cdr:x>0.73278</cdr:x>
      <cdr:y>0.1695</cdr:y>
    </cdr:to>
    <cdr:sp macro="" textlink="">
      <cdr:nvSpPr>
        <cdr:cNvPr id="2" name="TextBox 17"/>
        <cdr:cNvSpPr txBox="1"/>
      </cdr:nvSpPr>
      <cdr:spPr>
        <a:xfrm xmlns:a="http://schemas.openxmlformats.org/drawingml/2006/main">
          <a:off x="1755775" y="146050"/>
          <a:ext cx="101917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Ti_ped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0.18194</cdr:x>
      <cdr:y>0.07832</cdr:y>
    </cdr:from>
    <cdr:to>
      <cdr:x>0.45107</cdr:x>
      <cdr:y>0.19405</cdr:y>
    </cdr:to>
    <cdr:sp macro="" textlink="">
      <cdr:nvSpPr>
        <cdr:cNvPr id="2" name="TextBox 17"/>
        <cdr:cNvSpPr txBox="1"/>
      </cdr:nvSpPr>
      <cdr:spPr>
        <a:xfrm xmlns:a="http://schemas.openxmlformats.org/drawingml/2006/main">
          <a:off x="688982" y="212720"/>
          <a:ext cx="1019161" cy="3143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S_nb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0.10489</cdr:x>
      <cdr:y>0.75938</cdr:y>
    </cdr:from>
    <cdr:to>
      <cdr:x>0.37401</cdr:x>
      <cdr:y>0.87511</cdr:y>
    </cdr:to>
    <cdr:sp macro="" textlink="">
      <cdr:nvSpPr>
        <cdr:cNvPr id="2" name="TextBox 17"/>
        <cdr:cNvSpPr txBox="1"/>
      </cdr:nvSpPr>
      <cdr:spPr>
        <a:xfrm xmlns:a="http://schemas.openxmlformats.org/drawingml/2006/main">
          <a:off x="461150" y="1956473"/>
          <a:ext cx="1183178" cy="2981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S_sep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0.28472</cdr:x>
      <cdr:y>0.0478</cdr:y>
    </cdr:from>
    <cdr:to>
      <cdr:x>0.55339</cdr:x>
      <cdr:y>0.16529</cdr:y>
    </cdr:to>
    <cdr:sp macro="" textlink="">
      <cdr:nvSpPr>
        <cdr:cNvPr id="2" name="TextBox 23"/>
        <cdr:cNvSpPr txBox="1"/>
      </cdr:nvSpPr>
      <cdr:spPr>
        <a:xfrm xmlns:a="http://schemas.openxmlformats.org/drawingml/2006/main">
          <a:off x="1070536" y="129241"/>
          <a:ext cx="1010211" cy="317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D/Xe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0.28472</cdr:x>
      <cdr:y>0.0478</cdr:y>
    </cdr:from>
    <cdr:to>
      <cdr:x>0.55339</cdr:x>
      <cdr:y>0.16529</cdr:y>
    </cdr:to>
    <cdr:sp macro="" textlink="">
      <cdr:nvSpPr>
        <cdr:cNvPr id="2" name="TextBox 23"/>
        <cdr:cNvSpPr txBox="1"/>
      </cdr:nvSpPr>
      <cdr:spPr>
        <a:xfrm xmlns:a="http://schemas.openxmlformats.org/drawingml/2006/main">
          <a:off x="1070536" y="129241"/>
          <a:ext cx="1010211" cy="317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Psyn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0.28472</cdr:x>
      <cdr:y>0.0478</cdr:y>
    </cdr:from>
    <cdr:to>
      <cdr:x>0.55339</cdr:x>
      <cdr:y>0.16529</cdr:y>
    </cdr:to>
    <cdr:sp macro="" textlink="">
      <cdr:nvSpPr>
        <cdr:cNvPr id="2" name="TextBox 23"/>
        <cdr:cNvSpPr txBox="1"/>
      </cdr:nvSpPr>
      <cdr:spPr>
        <a:xfrm xmlns:a="http://schemas.openxmlformats.org/drawingml/2006/main">
          <a:off x="1070536" y="129241"/>
          <a:ext cx="1010211" cy="317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Pimp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0.28472</cdr:x>
      <cdr:y>0.0478</cdr:y>
    </cdr:from>
    <cdr:to>
      <cdr:x>0.55339</cdr:x>
      <cdr:y>0.16529</cdr:y>
    </cdr:to>
    <cdr:sp macro="" textlink="">
      <cdr:nvSpPr>
        <cdr:cNvPr id="2" name="TextBox 23"/>
        <cdr:cNvSpPr txBox="1"/>
      </cdr:nvSpPr>
      <cdr:spPr>
        <a:xfrm xmlns:a="http://schemas.openxmlformats.org/drawingml/2006/main">
          <a:off x="1070536" y="129241"/>
          <a:ext cx="1010211" cy="317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Zeff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0.28761</cdr:x>
      <cdr:y>0.17314</cdr:y>
    </cdr:from>
    <cdr:to>
      <cdr:x>0.55628</cdr:x>
      <cdr:y>0.29063</cdr:y>
    </cdr:to>
    <cdr:sp macro="" textlink="">
      <cdr:nvSpPr>
        <cdr:cNvPr id="2" name="TextBox 23"/>
        <cdr:cNvSpPr txBox="1"/>
      </cdr:nvSpPr>
      <cdr:spPr>
        <a:xfrm xmlns:a="http://schemas.openxmlformats.org/drawingml/2006/main">
          <a:off x="1263118" y="456127"/>
          <a:ext cx="1179930" cy="3095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TauPe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0.12671</cdr:x>
      <cdr:y>0.04379</cdr:y>
    </cdr:from>
    <cdr:to>
      <cdr:x>0.39538</cdr:x>
      <cdr:y>0.16128</cdr:y>
    </cdr:to>
    <cdr:sp macro="" textlink="">
      <cdr:nvSpPr>
        <cdr:cNvPr id="2" name="TextBox 23"/>
        <cdr:cNvSpPr txBox="1"/>
      </cdr:nvSpPr>
      <cdr:spPr>
        <a:xfrm xmlns:a="http://schemas.openxmlformats.org/drawingml/2006/main">
          <a:off x="557068" y="115352"/>
          <a:ext cx="1181200" cy="3095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ni_sep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0.35327</cdr:x>
      <cdr:y>0.05609</cdr:y>
    </cdr:from>
    <cdr:to>
      <cdr:x>0.59904</cdr:x>
      <cdr:y>0.17358</cdr:y>
    </cdr:to>
    <cdr:sp macro="" textlink="">
      <cdr:nvSpPr>
        <cdr:cNvPr id="2" name="TextBox 12"/>
        <cdr:cNvSpPr txBox="1"/>
      </cdr:nvSpPr>
      <cdr:spPr>
        <a:xfrm xmlns:a="http://schemas.openxmlformats.org/drawingml/2006/main">
          <a:off x="1328271" y="151653"/>
          <a:ext cx="924112" cy="317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tauHe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0.1357</cdr:x>
      <cdr:y>0.07681</cdr:y>
    </cdr:from>
    <cdr:to>
      <cdr:x>0.32078</cdr:x>
      <cdr:y>0.1943</cdr:y>
    </cdr:to>
    <cdr:sp macro="" textlink="">
      <cdr:nvSpPr>
        <cdr:cNvPr id="2" name="TextBox 12"/>
        <cdr:cNvSpPr txBox="1"/>
      </cdr:nvSpPr>
      <cdr:spPr>
        <a:xfrm xmlns:a="http://schemas.openxmlformats.org/drawingml/2006/main">
          <a:off x="510241" y="207682"/>
          <a:ext cx="695885" cy="317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u="sng" baseline="0">
              <a:latin typeface="Times New Roman" pitchFamily="18" charset="0"/>
              <a:cs typeface="Times New Roman" pitchFamily="18" charset="0"/>
            </a:rPr>
            <a:t>ni</a:t>
          </a:r>
          <a:endParaRPr lang="ru-RU" sz="1800" u="sng" baseline="0">
            <a:solidFill>
              <a:srgbClr val="FF0000"/>
            </a:solidFill>
            <a:latin typeface="Times New Roman" pitchFamily="18" charset="0"/>
            <a:ea typeface="+mn-ea"/>
            <a:cs typeface="Times New Roman" pitchFamily="18" charset="0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560614</xdr:colOff>
      <xdr:row>62</xdr:row>
      <xdr:rowOff>174171</xdr:rowOff>
    </xdr:from>
    <xdr:to>
      <xdr:col>54</xdr:col>
      <xdr:colOff>313501</xdr:colOff>
      <xdr:row>73</xdr:row>
      <xdr:rowOff>49480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205468</xdr:colOff>
      <xdr:row>62</xdr:row>
      <xdr:rowOff>136071</xdr:rowOff>
    </xdr:from>
    <xdr:to>
      <xdr:col>30</xdr:col>
      <xdr:colOff>288391</xdr:colOff>
      <xdr:row>73</xdr:row>
      <xdr:rowOff>1855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24493</xdr:colOff>
      <xdr:row>62</xdr:row>
      <xdr:rowOff>174171</xdr:rowOff>
    </xdr:from>
    <xdr:to>
      <xdr:col>46</xdr:col>
      <xdr:colOff>389702</xdr:colOff>
      <xdr:row>73</xdr:row>
      <xdr:rowOff>39955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579664</xdr:colOff>
      <xdr:row>62</xdr:row>
      <xdr:rowOff>145596</xdr:rowOff>
    </xdr:from>
    <xdr:to>
      <xdr:col>38</xdr:col>
      <xdr:colOff>332551</xdr:colOff>
      <xdr:row>73</xdr:row>
      <xdr:rowOff>11380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561975</xdr:colOff>
      <xdr:row>62</xdr:row>
      <xdr:rowOff>165018</xdr:rowOff>
    </xdr:from>
    <xdr:to>
      <xdr:col>21</xdr:col>
      <xdr:colOff>602796</xdr:colOff>
      <xdr:row>73</xdr:row>
      <xdr:rowOff>30802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46</xdr:col>
      <xdr:colOff>570139</xdr:colOff>
      <xdr:row>74</xdr:row>
      <xdr:rowOff>70262</xdr:rowOff>
    </xdr:from>
    <xdr:to>
      <xdr:col>54</xdr:col>
      <xdr:colOff>323026</xdr:colOff>
      <xdr:row>84</xdr:row>
      <xdr:rowOff>59005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214993</xdr:colOff>
      <xdr:row>74</xdr:row>
      <xdr:rowOff>32162</xdr:rowOff>
    </xdr:from>
    <xdr:to>
      <xdr:col>30</xdr:col>
      <xdr:colOff>297916</xdr:colOff>
      <xdr:row>84</xdr:row>
      <xdr:rowOff>11380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34018</xdr:colOff>
      <xdr:row>74</xdr:row>
      <xdr:rowOff>70262</xdr:rowOff>
    </xdr:from>
    <xdr:to>
      <xdr:col>46</xdr:col>
      <xdr:colOff>399227</xdr:colOff>
      <xdr:row>84</xdr:row>
      <xdr:rowOff>49480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589189</xdr:colOff>
      <xdr:row>74</xdr:row>
      <xdr:rowOff>41687</xdr:rowOff>
    </xdr:from>
    <xdr:to>
      <xdr:col>38</xdr:col>
      <xdr:colOff>342076</xdr:colOff>
      <xdr:row>84</xdr:row>
      <xdr:rowOff>20905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571500</xdr:colOff>
      <xdr:row>73</xdr:row>
      <xdr:rowOff>178626</xdr:rowOff>
    </xdr:from>
    <xdr:to>
      <xdr:col>22</xdr:col>
      <xdr:colOff>0</xdr:colOff>
      <xdr:row>84</xdr:row>
      <xdr:rowOff>126918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46</xdr:col>
      <xdr:colOff>579664</xdr:colOff>
      <xdr:row>85</xdr:row>
      <xdr:rowOff>60737</xdr:rowOff>
    </xdr:from>
    <xdr:to>
      <xdr:col>54</xdr:col>
      <xdr:colOff>332551</xdr:colOff>
      <xdr:row>96</xdr:row>
      <xdr:rowOff>100568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224518</xdr:colOff>
      <xdr:row>85</xdr:row>
      <xdr:rowOff>22637</xdr:rowOff>
    </xdr:from>
    <xdr:to>
      <xdr:col>30</xdr:col>
      <xdr:colOff>307441</xdr:colOff>
      <xdr:row>96</xdr:row>
      <xdr:rowOff>52943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43543</xdr:colOff>
      <xdr:row>85</xdr:row>
      <xdr:rowOff>60737</xdr:rowOff>
    </xdr:from>
    <xdr:to>
      <xdr:col>46</xdr:col>
      <xdr:colOff>408752</xdr:colOff>
      <xdr:row>96</xdr:row>
      <xdr:rowOff>91043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30</xdr:col>
      <xdr:colOff>598714</xdr:colOff>
      <xdr:row>85</xdr:row>
      <xdr:rowOff>32162</xdr:rowOff>
    </xdr:from>
    <xdr:to>
      <xdr:col>38</xdr:col>
      <xdr:colOff>351601</xdr:colOff>
      <xdr:row>96</xdr:row>
      <xdr:rowOff>62468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581025</xdr:colOff>
      <xdr:row>85</xdr:row>
      <xdr:rowOff>163286</xdr:rowOff>
    </xdr:from>
    <xdr:to>
      <xdr:col>22</xdr:col>
      <xdr:colOff>9525</xdr:colOff>
      <xdr:row>97</xdr:row>
      <xdr:rowOff>29936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126308</xdr:colOff>
      <xdr:row>0</xdr:row>
      <xdr:rowOff>189777</xdr:rowOff>
    </xdr:from>
    <xdr:to>
      <xdr:col>31</xdr:col>
      <xdr:colOff>528518</xdr:colOff>
      <xdr:row>12</xdr:row>
      <xdr:rowOff>46902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135833</xdr:colOff>
      <xdr:row>12</xdr:row>
      <xdr:rowOff>177451</xdr:rowOff>
    </xdr:from>
    <xdr:to>
      <xdr:col>31</xdr:col>
      <xdr:colOff>538043</xdr:colOff>
      <xdr:row>24</xdr:row>
      <xdr:rowOff>34576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145358</xdr:colOff>
      <xdr:row>25</xdr:row>
      <xdr:rowOff>27292</xdr:rowOff>
    </xdr:from>
    <xdr:to>
      <xdr:col>31</xdr:col>
      <xdr:colOff>547568</xdr:colOff>
      <xdr:row>36</xdr:row>
      <xdr:rowOff>74917</xdr:rowOff>
    </xdr:to>
    <xdr:graphicFrame macro="">
      <xdr:nvGraphicFramePr>
        <xdr:cNvPr id="19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586707</xdr:colOff>
      <xdr:row>118</xdr:row>
      <xdr:rowOff>171823</xdr:rowOff>
    </xdr:from>
    <xdr:to>
      <xdr:col>20</xdr:col>
      <xdr:colOff>0</xdr:colOff>
      <xdr:row>138</xdr:row>
      <xdr:rowOff>32496</xdr:rowOff>
    </xdr:to>
    <xdr:graphicFrame macro="">
      <xdr:nvGraphicFramePr>
        <xdr:cNvPr id="20" name="Диаграмма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503463</xdr:colOff>
      <xdr:row>98</xdr:row>
      <xdr:rowOff>22412</xdr:rowOff>
    </xdr:from>
    <xdr:to>
      <xdr:col>19</xdr:col>
      <xdr:colOff>612320</xdr:colOff>
      <xdr:row>117</xdr:row>
      <xdr:rowOff>86606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64834</xdr:colOff>
      <xdr:row>130</xdr:row>
      <xdr:rowOff>32823</xdr:rowOff>
    </xdr:from>
    <xdr:to>
      <xdr:col>19</xdr:col>
      <xdr:colOff>290018</xdr:colOff>
      <xdr:row>130</xdr:row>
      <xdr:rowOff>47491</xdr:rowOff>
    </xdr:to>
    <xdr:cxnSp macro="">
      <xdr:nvCxnSpPr>
        <xdr:cNvPr id="22" name="Прямая соединительная линия 21"/>
        <xdr:cNvCxnSpPr/>
      </xdr:nvCxnSpPr>
      <xdr:spPr>
        <a:xfrm>
          <a:off x="14737870" y="24357859"/>
          <a:ext cx="3123505" cy="14668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937025</xdr:colOff>
      <xdr:row>112</xdr:row>
      <xdr:rowOff>74706</xdr:rowOff>
    </xdr:from>
    <xdr:to>
      <xdr:col>19</xdr:col>
      <xdr:colOff>283882</xdr:colOff>
      <xdr:row>112</xdr:row>
      <xdr:rowOff>76308</xdr:rowOff>
    </xdr:to>
    <xdr:cxnSp macro="">
      <xdr:nvCxnSpPr>
        <xdr:cNvPr id="24" name="Прямая соединительная линия 23"/>
        <xdr:cNvCxnSpPr/>
      </xdr:nvCxnSpPr>
      <xdr:spPr>
        <a:xfrm flipV="1">
          <a:off x="14623143" y="21298647"/>
          <a:ext cx="3231563" cy="1602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179295</xdr:colOff>
      <xdr:row>38</xdr:row>
      <xdr:rowOff>29881</xdr:rowOff>
    </xdr:from>
    <xdr:to>
      <xdr:col>31</xdr:col>
      <xdr:colOff>581505</xdr:colOff>
      <xdr:row>53</xdr:row>
      <xdr:rowOff>186764</xdr:rowOff>
    </xdr:to>
    <xdr:graphicFrame macro="">
      <xdr:nvGraphicFramePr>
        <xdr:cNvPr id="25" name="Диаграмма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32</xdr:col>
      <xdr:colOff>595796</xdr:colOff>
      <xdr:row>33</xdr:row>
      <xdr:rowOff>132520</xdr:rowOff>
    </xdr:from>
    <xdr:to>
      <xdr:col>41</xdr:col>
      <xdr:colOff>5521</xdr:colOff>
      <xdr:row>56</xdr:row>
      <xdr:rowOff>160129</xdr:rowOff>
    </xdr:to>
    <xdr:pic>
      <xdr:nvPicPr>
        <xdr:cNvPr id="23" name="Рисунок 22"/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t="53936" b="10850"/>
        <a:stretch/>
      </xdr:blipFill>
      <xdr:spPr>
        <a:xfrm>
          <a:off x="26459622" y="6145694"/>
          <a:ext cx="5174421" cy="4218609"/>
        </a:xfrm>
        <a:prstGeom prst="rect">
          <a:avLst/>
        </a:prstGeom>
      </xdr:spPr>
    </xdr:pic>
    <xdr:clientData/>
  </xdr:twoCellAnchor>
  <xdr:twoCellAnchor>
    <xdr:from>
      <xdr:col>24</xdr:col>
      <xdr:colOff>607391</xdr:colOff>
      <xdr:row>39</xdr:row>
      <xdr:rowOff>143566</xdr:rowOff>
    </xdr:from>
    <xdr:to>
      <xdr:col>29</xdr:col>
      <xdr:colOff>110433</xdr:colOff>
      <xdr:row>48</xdr:row>
      <xdr:rowOff>165652</xdr:rowOff>
    </xdr:to>
    <xdr:sp macro="" textlink="">
      <xdr:nvSpPr>
        <xdr:cNvPr id="27" name="Прямоугольник 26"/>
        <xdr:cNvSpPr/>
      </xdr:nvSpPr>
      <xdr:spPr>
        <a:xfrm>
          <a:off x="21347043" y="7250044"/>
          <a:ext cx="2705651" cy="1662043"/>
        </a:xfrm>
        <a:prstGeom prst="rect">
          <a:avLst/>
        </a:prstGeom>
        <a:solidFill>
          <a:srgbClr val="FF0000">
            <a:alpha val="6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100301</xdr:colOff>
      <xdr:row>66</xdr:row>
      <xdr:rowOff>140656</xdr:rowOff>
    </xdr:from>
    <xdr:to>
      <xdr:col>42</xdr:col>
      <xdr:colOff>2576699</xdr:colOff>
      <xdr:row>70</xdr:row>
      <xdr:rowOff>84590</xdr:rowOff>
    </xdr:to>
    <xdr:pic>
      <xdr:nvPicPr>
        <xdr:cNvPr id="2" name="tabl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1622" y="15611977"/>
          <a:ext cx="2476398" cy="828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40</xdr:col>
      <xdr:colOff>46613</xdr:colOff>
      <xdr:row>66</xdr:row>
      <xdr:rowOff>124407</xdr:rowOff>
    </xdr:from>
    <xdr:to>
      <xdr:col>42</xdr:col>
      <xdr:colOff>13810</xdr:colOff>
      <xdr:row>70</xdr:row>
      <xdr:rowOff>79548</xdr:rowOff>
    </xdr:to>
    <xdr:pic>
      <xdr:nvPicPr>
        <xdr:cNvPr id="3" name="table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4220" y="15595728"/>
          <a:ext cx="2470911" cy="839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38</xdr:col>
      <xdr:colOff>13608</xdr:colOff>
      <xdr:row>66</xdr:row>
      <xdr:rowOff>149679</xdr:rowOff>
    </xdr:from>
    <xdr:to>
      <xdr:col>39</xdr:col>
      <xdr:colOff>1381744</xdr:colOff>
      <xdr:row>70</xdr:row>
      <xdr:rowOff>108531</xdr:rowOff>
    </xdr:to>
    <xdr:pic>
      <xdr:nvPicPr>
        <xdr:cNvPr id="4" name="table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8965" y="15621000"/>
          <a:ext cx="2688029" cy="8433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4541182</xdr:colOff>
      <xdr:row>24</xdr:row>
      <xdr:rowOff>22412</xdr:rowOff>
    </xdr:from>
    <xdr:to>
      <xdr:col>2</xdr:col>
      <xdr:colOff>4717675</xdr:colOff>
      <xdr:row>26</xdr:row>
      <xdr:rowOff>190500</xdr:rowOff>
    </xdr:to>
    <xdr:sp macro="" textlink="">
      <xdr:nvSpPr>
        <xdr:cNvPr id="5" name="Левая фигурная скобка 4"/>
        <xdr:cNvSpPr/>
      </xdr:nvSpPr>
      <xdr:spPr>
        <a:xfrm>
          <a:off x="6827182" y="5569324"/>
          <a:ext cx="176493" cy="638735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6163</xdr:colOff>
      <xdr:row>28</xdr:row>
      <xdr:rowOff>6723</xdr:rowOff>
    </xdr:from>
    <xdr:to>
      <xdr:col>2</xdr:col>
      <xdr:colOff>213429</xdr:colOff>
      <xdr:row>30</xdr:row>
      <xdr:rowOff>235324</xdr:rowOff>
    </xdr:to>
    <xdr:sp macro="" textlink="">
      <xdr:nvSpPr>
        <xdr:cNvPr id="6" name="Левая фигурная скобка 5"/>
        <xdr:cNvSpPr/>
      </xdr:nvSpPr>
      <xdr:spPr>
        <a:xfrm>
          <a:off x="2292163" y="6517341"/>
          <a:ext cx="207266" cy="755277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51</xdr:col>
      <xdr:colOff>623455</xdr:colOff>
      <xdr:row>2</xdr:row>
      <xdr:rowOff>34636</xdr:rowOff>
    </xdr:from>
    <xdr:to>
      <xdr:col>59</xdr:col>
      <xdr:colOff>564769</xdr:colOff>
      <xdr:row>28</xdr:row>
      <xdr:rowOff>194026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806591" y="450272"/>
          <a:ext cx="5361905" cy="6428572"/>
        </a:xfrm>
        <a:prstGeom prst="rect">
          <a:avLst/>
        </a:prstGeom>
      </xdr:spPr>
    </xdr:pic>
    <xdr:clientData/>
  </xdr:twoCellAnchor>
  <xdr:twoCellAnchor editAs="oneCell">
    <xdr:from>
      <xdr:col>47</xdr:col>
      <xdr:colOff>1171575</xdr:colOff>
      <xdr:row>53</xdr:row>
      <xdr:rowOff>114300</xdr:rowOff>
    </xdr:from>
    <xdr:to>
      <xdr:col>51</xdr:col>
      <xdr:colOff>1130798</xdr:colOff>
      <xdr:row>64</xdr:row>
      <xdr:rowOff>15875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767125" y="12687300"/>
          <a:ext cx="4512173" cy="2320925"/>
        </a:xfrm>
        <a:prstGeom prst="rect">
          <a:avLst/>
        </a:prstGeom>
      </xdr:spPr>
    </xdr:pic>
    <xdr:clientData/>
  </xdr:twoCellAnchor>
  <xdr:twoCellAnchor>
    <xdr:from>
      <xdr:col>47</xdr:col>
      <xdr:colOff>1171575</xdr:colOff>
      <xdr:row>53</xdr:row>
      <xdr:rowOff>123825</xdr:rowOff>
    </xdr:from>
    <xdr:to>
      <xdr:col>51</xdr:col>
      <xdr:colOff>1143000</xdr:colOff>
      <xdr:row>64</xdr:row>
      <xdr:rowOff>9525</xdr:rowOff>
    </xdr:to>
    <xdr:sp macro="" textlink="">
      <xdr:nvSpPr>
        <xdr:cNvPr id="9" name="Прямоугольник 8"/>
        <xdr:cNvSpPr/>
      </xdr:nvSpPr>
      <xdr:spPr>
        <a:xfrm>
          <a:off x="41767125" y="12696825"/>
          <a:ext cx="4524375" cy="2305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603517</xdr:colOff>
      <xdr:row>3</xdr:row>
      <xdr:rowOff>1227</xdr:rowOff>
    </xdr:from>
    <xdr:to>
      <xdr:col>4</xdr:col>
      <xdr:colOff>600155</xdr:colOff>
      <xdr:row>4</xdr:row>
      <xdr:rowOff>18595</xdr:rowOff>
    </xdr:to>
    <xdr:sp macro="" textlink="">
      <xdr:nvSpPr>
        <xdr:cNvPr id="3" name="Скругленный прямоугольник 2"/>
        <xdr:cNvSpPr/>
      </xdr:nvSpPr>
      <xdr:spPr>
        <a:xfrm>
          <a:off x="4975946" y="645298"/>
          <a:ext cx="604423" cy="216940"/>
        </a:xfrm>
        <a:prstGeom prst="round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3;&#1072;&#1083;&#1072;&#1085;&#1089;%20&#1095;&#1072;&#1089;&#1090;&#1080;&#1094;%20(&#1053;,%20D,%20T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80;&#1085;&#1072;&#1084;&#1080;&#1082;&#1072;%20&#1080;&#1079;&#1086;&#1090;&#1086;&#1087;&#1086;&#1074;%20&#1074;%20&#1058;&#106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SS%20(27.05.202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6;&#1101;&#1083;&#1077;&#1084;&#1077;&#1085;&#1090;&#1099;&#1081;%20&#1088;&#1072;&#1089;&#1095;&#1077;&#1090;%20&#1089;&#1080;&#1089;&#1090;&#1077;&#10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 для расчета"/>
      <sheetName val="баланс тритий"/>
      <sheetName val="баланс дейтерий"/>
      <sheetName val="баланс протий"/>
      <sheetName val="результаты"/>
    </sheetNames>
    <sheetDataSet>
      <sheetData sheetId="0"/>
      <sheetData sheetId="1">
        <row r="9">
          <cell r="B9">
            <v>1.0775846647743347E+19</v>
          </cell>
        </row>
        <row r="81">
          <cell r="E81">
            <v>12.823039760321693</v>
          </cell>
        </row>
        <row r="82">
          <cell r="H82">
            <v>6.1755759485709281E+20</v>
          </cell>
        </row>
        <row r="83">
          <cell r="B83">
            <v>0.99999999999999989</v>
          </cell>
        </row>
        <row r="93">
          <cell r="B93">
            <v>9.6319999999999984E+19</v>
          </cell>
        </row>
        <row r="95">
          <cell r="B95">
            <v>0.19183310501153925</v>
          </cell>
          <cell r="E95">
            <v>0.19183310501153925</v>
          </cell>
          <cell r="H95">
            <v>0.21524495826678408</v>
          </cell>
        </row>
        <row r="154">
          <cell r="B154">
            <v>9.6618357487922693E+21</v>
          </cell>
        </row>
        <row r="202">
          <cell r="B202">
            <v>3.5540397283468286E+20</v>
          </cell>
        </row>
        <row r="203">
          <cell r="B203">
            <v>5.6373730616801624E+20</v>
          </cell>
        </row>
        <row r="204">
          <cell r="B204">
            <v>3.987784761970515E+20</v>
          </cell>
        </row>
      </sheetData>
      <sheetData sheetId="2">
        <row r="9">
          <cell r="B9">
            <v>1.0775846647743347E+19</v>
          </cell>
        </row>
        <row r="81">
          <cell r="E81">
            <v>12.664730627478217</v>
          </cell>
        </row>
        <row r="82">
          <cell r="H82">
            <v>6.1755759485709268E+20</v>
          </cell>
        </row>
        <row r="83">
          <cell r="B83">
            <v>1.0000000000000002</v>
          </cell>
        </row>
        <row r="93">
          <cell r="B93">
            <v>9.7524E+19</v>
          </cell>
        </row>
        <row r="95">
          <cell r="B95">
            <v>0.1918331050115393</v>
          </cell>
          <cell r="E95">
            <v>0.1918331050115393</v>
          </cell>
          <cell r="H95">
            <v>0.16842125175629441</v>
          </cell>
        </row>
        <row r="154">
          <cell r="B154">
            <v>9.6618357487922693E+21</v>
          </cell>
        </row>
        <row r="202">
          <cell r="B202">
            <v>3.5540397283468286E+20</v>
          </cell>
        </row>
        <row r="203">
          <cell r="B203">
            <v>5.6373730616801624E+20</v>
          </cell>
        </row>
        <row r="204">
          <cell r="B204">
            <v>3.987784761970515E+20</v>
          </cell>
        </row>
      </sheetData>
      <sheetData sheetId="3"/>
      <sheetData sheetId="4">
        <row r="8">
          <cell r="AC8">
            <v>1.0775846647743346</v>
          </cell>
          <cell r="AD8">
            <v>1.077584664774337</v>
          </cell>
          <cell r="AE8">
            <v>1.0775846647743346</v>
          </cell>
          <cell r="AF8">
            <v>1.077584664774337</v>
          </cell>
          <cell r="AG8">
            <v>1.0775846647743346</v>
          </cell>
          <cell r="AH8">
            <v>1.0775846647743352</v>
          </cell>
          <cell r="AY8">
            <v>2.10880608720172E-2</v>
          </cell>
          <cell r="BC8">
            <v>2.10880608720172E-2</v>
          </cell>
          <cell r="BG8">
            <v>1.2970991505410458E-4</v>
          </cell>
          <cell r="BK8">
            <v>150</v>
          </cell>
          <cell r="BL8">
            <v>150</v>
          </cell>
          <cell r="BM8">
            <v>8</v>
          </cell>
        </row>
        <row r="9">
          <cell r="AC9">
            <v>1.0775846647743346</v>
          </cell>
          <cell r="AD9">
            <v>1.077584664774337</v>
          </cell>
          <cell r="AE9">
            <v>1.0775846647743346</v>
          </cell>
          <cell r="AF9">
            <v>1.077584664774337</v>
          </cell>
          <cell r="AG9">
            <v>1.0775846647743346</v>
          </cell>
          <cell r="AH9">
            <v>1.0775846647743352</v>
          </cell>
          <cell r="AY9">
            <v>3.2413654073164218E-4</v>
          </cell>
          <cell r="BC9">
            <v>3.2413654073164218E-4</v>
          </cell>
          <cell r="BG9">
            <v>3.6369507848150258E-4</v>
          </cell>
        </row>
        <row r="10">
          <cell r="AB10" t="str">
            <v>ST_nb</v>
          </cell>
          <cell r="AC10">
            <v>18.75</v>
          </cell>
          <cell r="AD10">
            <v>18.75</v>
          </cell>
          <cell r="AE10">
            <v>18.75</v>
          </cell>
          <cell r="AF10">
            <v>18.75</v>
          </cell>
          <cell r="AG10">
            <v>0</v>
          </cell>
          <cell r="AH10">
            <v>0</v>
          </cell>
          <cell r="AM10">
            <v>0.1050609890807804</v>
          </cell>
          <cell r="AO10">
            <v>0.1050609890807804</v>
          </cell>
          <cell r="AQ10">
            <v>0</v>
          </cell>
          <cell r="BC10">
            <v>8.3075014005467886E-3</v>
          </cell>
          <cell r="BG10">
            <v>8.4579476211769644E-3</v>
          </cell>
        </row>
        <row r="11">
          <cell r="AB11" t="str">
            <v>SD_nb</v>
          </cell>
          <cell r="AC11">
            <v>18.75</v>
          </cell>
          <cell r="AD11">
            <v>18.75</v>
          </cell>
          <cell r="AE11">
            <v>18.75</v>
          </cell>
          <cell r="AF11">
            <v>18.75</v>
          </cell>
          <cell r="AG11">
            <v>37.5</v>
          </cell>
          <cell r="AH11">
            <v>37.5</v>
          </cell>
          <cell r="AK11" t="str">
            <v>ST_nb·τnb</v>
          </cell>
        </row>
        <row r="12">
          <cell r="AB12" t="str">
            <v>ST_pel</v>
          </cell>
          <cell r="AC12">
            <v>31.986357555121462</v>
          </cell>
          <cell r="AD12">
            <v>31.986357555121462</v>
          </cell>
          <cell r="AE12">
            <v>31.986357555121462</v>
          </cell>
          <cell r="AF12">
            <v>31.986357555121462</v>
          </cell>
          <cell r="AG12">
            <v>35.890062857734634</v>
          </cell>
          <cell r="AH12">
            <v>35.890062857734634</v>
          </cell>
          <cell r="AM12">
            <v>0.1050609890807804</v>
          </cell>
          <cell r="AO12">
            <v>0.1050609890807804</v>
          </cell>
          <cell r="AQ12">
            <v>0.21012197816156081</v>
          </cell>
          <cell r="BK12">
            <v>21</v>
          </cell>
          <cell r="BL12">
            <v>21</v>
          </cell>
          <cell r="BM12">
            <v>21</v>
          </cell>
        </row>
        <row r="13">
          <cell r="AB13" t="str">
            <v>SD_pel</v>
          </cell>
          <cell r="AC13">
            <v>31.986357555121462</v>
          </cell>
          <cell r="AD13">
            <v>31.986357555121462</v>
          </cell>
          <cell r="AE13">
            <v>31.986357555121462</v>
          </cell>
          <cell r="AF13">
            <v>31.986357555121462</v>
          </cell>
          <cell r="AG13">
            <v>28.082652252508275</v>
          </cell>
          <cell r="AH13">
            <v>28.082652252508275</v>
          </cell>
          <cell r="AK13" t="str">
            <v>SD_nb·τnb</v>
          </cell>
        </row>
        <row r="14">
          <cell r="AB14" t="str">
            <v>SGIST</v>
          </cell>
          <cell r="AC14">
            <v>910.88742892719972</v>
          </cell>
          <cell r="AD14">
            <v>910.88742892719972</v>
          </cell>
          <cell r="AE14">
            <v>910.88742892719972</v>
          </cell>
          <cell r="AF14">
            <v>910.88742892719972</v>
          </cell>
          <cell r="AG14">
            <v>927.38331192429621</v>
          </cell>
          <cell r="AH14">
            <v>927.38331192429621</v>
          </cell>
          <cell r="AM14">
            <v>0.86085349721019999</v>
          </cell>
          <cell r="AO14">
            <v>0.86085349721019999</v>
          </cell>
          <cell r="AQ14">
            <v>0.96591448629098042</v>
          </cell>
        </row>
        <row r="15">
          <cell r="AB15" t="str">
            <v>SGISD</v>
          </cell>
          <cell r="AC15">
            <v>910.88742892719972</v>
          </cell>
          <cell r="AD15">
            <v>910.88742892719972</v>
          </cell>
          <cell r="AE15">
            <v>910.88742892719972</v>
          </cell>
          <cell r="AF15">
            <v>910.88742892719972</v>
          </cell>
          <cell r="AG15">
            <v>894.39154593010323</v>
          </cell>
          <cell r="AH15">
            <v>894.39154593010323</v>
          </cell>
          <cell r="AK15" t="str">
            <v>ST_pel·τpel</v>
          </cell>
          <cell r="AY15">
            <v>1.179338191859402E-5</v>
          </cell>
          <cell r="BC15">
            <v>1.179338191859402E-5</v>
          </cell>
          <cell r="BG15">
            <v>1.179338191859402E-5</v>
          </cell>
          <cell r="BK15">
            <v>1.5166791655757978</v>
          </cell>
          <cell r="BL15">
            <v>1.5166791655757978</v>
          </cell>
          <cell r="BM15">
            <v>1.5166791655757978</v>
          </cell>
        </row>
        <row r="16">
          <cell r="AB16" t="str">
            <v>ST_sep</v>
          </cell>
          <cell r="AC16">
            <v>111.864205682997</v>
          </cell>
          <cell r="AD16">
            <v>111.864205682997</v>
          </cell>
          <cell r="AE16">
            <v>111.864205682997</v>
          </cell>
          <cell r="AF16">
            <v>111.864205682997</v>
          </cell>
          <cell r="AG16">
            <v>111.864205682997</v>
          </cell>
          <cell r="AH16">
            <v>111.864205682997</v>
          </cell>
          <cell r="AM16">
            <v>0.86085349721019999</v>
          </cell>
          <cell r="AO16">
            <v>0.86085349721019999</v>
          </cell>
          <cell r="AQ16">
            <v>0.75579250812941934</v>
          </cell>
        </row>
        <row r="17">
          <cell r="AB17" t="str">
            <v>SD_sep</v>
          </cell>
          <cell r="AC17">
            <v>111.864205682997</v>
          </cell>
          <cell r="AD17">
            <v>111.864205682997</v>
          </cell>
          <cell r="AE17">
            <v>111.864205682997</v>
          </cell>
          <cell r="AF17">
            <v>111.864205682997</v>
          </cell>
          <cell r="AG17">
            <v>111.864205682997</v>
          </cell>
          <cell r="AH17">
            <v>111.864205682997</v>
          </cell>
          <cell r="AK17" t="str">
            <v>SD_pel·τpel</v>
          </cell>
        </row>
        <row r="18">
          <cell r="AC18">
            <v>916.52480198887986</v>
          </cell>
          <cell r="AD18">
            <v>916.52480198887986</v>
          </cell>
          <cell r="AE18">
            <v>916.52480198887986</v>
          </cell>
          <cell r="AF18">
            <v>916.52480198887986</v>
          </cell>
          <cell r="AG18">
            <v>931.3710966862667</v>
          </cell>
          <cell r="AH18">
            <v>931.3710966862667</v>
          </cell>
          <cell r="AM18">
            <v>3.4085513709019133E-2</v>
          </cell>
          <cell r="AO18">
            <v>3.4085513709019133E-2</v>
          </cell>
          <cell r="AQ18">
            <v>3.4085513709019133E-2</v>
          </cell>
          <cell r="BK18">
            <v>46</v>
          </cell>
          <cell r="BL18">
            <v>46</v>
          </cell>
          <cell r="BM18">
            <v>46</v>
          </cell>
        </row>
        <row r="19">
          <cell r="AC19">
            <v>916.52480198887986</v>
          </cell>
          <cell r="AD19">
            <v>916.52480198887986</v>
          </cell>
          <cell r="AE19">
            <v>916.52480198887986</v>
          </cell>
          <cell r="AF19">
            <v>916.52480198887986</v>
          </cell>
          <cell r="AG19">
            <v>901.67850729149302</v>
          </cell>
          <cell r="AH19">
            <v>901.67850729149302</v>
          </cell>
          <cell r="AK19" t="str">
            <v>ST_sep·τsep</v>
          </cell>
          <cell r="AY19">
            <v>8.6821049663388661E-3</v>
          </cell>
          <cell r="BC19">
            <v>8.6821049663388661E-3</v>
          </cell>
          <cell r="BG19">
            <v>8.6821049663388661E-3</v>
          </cell>
        </row>
        <row r="20">
          <cell r="AB20" t="str">
            <v xml:space="preserve">ST_out= </v>
          </cell>
          <cell r="AC20">
            <v>161.52297857334412</v>
          </cell>
          <cell r="AD20">
            <v>161.52297857334412</v>
          </cell>
          <cell r="AE20">
            <v>161.52297857334412</v>
          </cell>
          <cell r="AF20">
            <v>161.52297857334412</v>
          </cell>
          <cell r="AG20">
            <v>146.67668387595728</v>
          </cell>
          <cell r="AH20">
            <v>146.67668387595728</v>
          </cell>
          <cell r="AM20">
            <v>3.4085513709019133E-2</v>
          </cell>
          <cell r="AO20">
            <v>3.4085513709019133E-2</v>
          </cell>
          <cell r="AQ20">
            <v>3.4085513709019133E-2</v>
          </cell>
        </row>
        <row r="21">
          <cell r="AB21" t="str">
            <v xml:space="preserve">SD_out= </v>
          </cell>
          <cell r="AC21">
            <v>161.52297857334412</v>
          </cell>
          <cell r="AD21">
            <v>161.52297857334412</v>
          </cell>
          <cell r="AE21">
            <v>161.52297857334412</v>
          </cell>
          <cell r="AF21">
            <v>161.52297857334412</v>
          </cell>
          <cell r="AG21">
            <v>176.36927327073093</v>
          </cell>
          <cell r="AH21">
            <v>176.36927327073093</v>
          </cell>
          <cell r="AK21" t="str">
            <v>SD_sep·τsep</v>
          </cell>
          <cell r="AY21">
            <v>2.9770165838356063E-2</v>
          </cell>
          <cell r="BC21">
            <v>8.6821049663388661E-3</v>
          </cell>
          <cell r="BG21">
            <v>8.6821049663388661E-3</v>
          </cell>
        </row>
        <row r="22">
          <cell r="AC22">
            <v>161.52297857334415</v>
          </cell>
          <cell r="AD22">
            <v>161.52297857334412</v>
          </cell>
          <cell r="AE22">
            <v>161.52297857334415</v>
          </cell>
          <cell r="AF22">
            <v>161.52297857334412</v>
          </cell>
          <cell r="AG22">
            <v>146.67668387595731</v>
          </cell>
          <cell r="AH22">
            <v>146.67668387595728</v>
          </cell>
        </row>
        <row r="23">
          <cell r="AC23">
            <v>161.52297857334415</v>
          </cell>
          <cell r="AD23">
            <v>161.52297857334412</v>
          </cell>
          <cell r="AE23">
            <v>161.52297857334415</v>
          </cell>
          <cell r="AF23">
            <v>161.52297857334412</v>
          </cell>
          <cell r="AG23">
            <v>176.36927327073093</v>
          </cell>
          <cell r="AH23">
            <v>176.3692732707309</v>
          </cell>
          <cell r="AY23">
            <v>5.9540331676712131E-4</v>
          </cell>
          <cell r="BC23">
            <v>1.7364209932677733E-4</v>
          </cell>
          <cell r="BG23">
            <v>1.7364209932677733E-4</v>
          </cell>
          <cell r="BK23">
            <v>26.344792719919113</v>
          </cell>
          <cell r="BL23">
            <v>7.68313676694682</v>
          </cell>
          <cell r="BM23">
            <v>7.68313676694682</v>
          </cell>
        </row>
        <row r="26">
          <cell r="BG26">
            <v>1.2970991505410458E-4</v>
          </cell>
          <cell r="BM26">
            <v>1</v>
          </cell>
        </row>
        <row r="27">
          <cell r="AY27">
            <v>3.2413654073164218E-4</v>
          </cell>
          <cell r="BC27">
            <v>5.141412991116781E-4</v>
          </cell>
          <cell r="BG27">
            <v>3.6369507848150258E-4</v>
          </cell>
          <cell r="BK27">
            <v>10.732450399609469</v>
          </cell>
          <cell r="BL27">
            <v>12.6488269478339</v>
          </cell>
          <cell r="BM27">
            <v>43.53988158061324</v>
          </cell>
        </row>
        <row r="29">
          <cell r="AD29">
            <v>966.18357487922708</v>
          </cell>
          <cell r="AF29">
            <v>966.18357487922708</v>
          </cell>
          <cell r="AH29">
            <v>966.18357487922708</v>
          </cell>
        </row>
        <row r="30">
          <cell r="AD30">
            <v>966.18357487922708</v>
          </cell>
          <cell r="AF30">
            <v>966.18357487922708</v>
          </cell>
          <cell r="AH30">
            <v>966.18357487922708</v>
          </cell>
          <cell r="BK30">
            <v>94.094836388875166</v>
          </cell>
          <cell r="BL30">
            <v>94.056605157357467</v>
          </cell>
          <cell r="BM30">
            <v>93.548542758870838</v>
          </cell>
        </row>
        <row r="32">
          <cell r="BK32">
            <v>314.95787307851498</v>
          </cell>
          <cell r="BL32">
            <v>315.65559305371278</v>
          </cell>
          <cell r="BM32">
            <v>324.92773182609398</v>
          </cell>
        </row>
        <row r="33">
          <cell r="BK33">
            <v>68.7752780586451</v>
          </cell>
          <cell r="BL33">
            <v>68.7752780586451</v>
          </cell>
          <cell r="BM33">
            <v>68.7752780586451</v>
          </cell>
        </row>
        <row r="36">
          <cell r="BK36">
            <v>513.14309937484188</v>
          </cell>
          <cell r="BL36">
            <v>496.35958873857641</v>
          </cell>
          <cell r="BM36">
            <v>385.74258097286906</v>
          </cell>
        </row>
        <row r="40">
          <cell r="AD40">
            <v>1.9323671497584539E+22</v>
          </cell>
          <cell r="AG40">
            <v>40</v>
          </cell>
        </row>
        <row r="41">
          <cell r="AD41">
            <v>1.9323671497584539E+22</v>
          </cell>
        </row>
        <row r="42">
          <cell r="AD42">
            <v>1.9323671497584539E+22</v>
          </cell>
        </row>
        <row r="53">
          <cell r="AC53">
            <v>1.8217748578543994E+22</v>
          </cell>
        </row>
        <row r="74">
          <cell r="AM74">
            <v>0.99999999999999978</v>
          </cell>
          <cell r="AN74">
            <v>0.99999999999999978</v>
          </cell>
          <cell r="AO74">
            <v>1.0000000000000004</v>
          </cell>
        </row>
        <row r="83">
          <cell r="AM83">
            <v>0.99999999999999978</v>
          </cell>
          <cell r="AN83">
            <v>0.99999999999999978</v>
          </cell>
          <cell r="AO83">
            <v>0.99999999999999978</v>
          </cell>
        </row>
        <row r="92">
          <cell r="AM92">
            <v>4.5922650200064926E+19</v>
          </cell>
          <cell r="AN92">
            <v>4.5922650200064926E+19</v>
          </cell>
          <cell r="AO92">
            <v>4.5922650200064926E+19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 для расчета"/>
      <sheetName val="динамика изотопов в ТЦ"/>
      <sheetName val="изменение параметров"/>
    </sheetNames>
    <sheetDataSet>
      <sheetData sheetId="0">
        <row r="5">
          <cell r="K5">
            <v>121.03</v>
          </cell>
        </row>
      </sheetData>
      <sheetData sheetId="1">
        <row r="5">
          <cell r="FB5">
            <v>20</v>
          </cell>
        </row>
        <row r="6">
          <cell r="B6">
            <v>0.5</v>
          </cell>
          <cell r="C6">
            <v>0.5</v>
          </cell>
          <cell r="D6">
            <v>0.5</v>
          </cell>
          <cell r="F6">
            <v>0.5</v>
          </cell>
          <cell r="G6">
            <v>0.5</v>
          </cell>
          <cell r="H6">
            <v>0.5</v>
          </cell>
          <cell r="J6">
            <v>4.5922650200064737E+19</v>
          </cell>
          <cell r="K6">
            <v>4.5922650200064737E+19</v>
          </cell>
          <cell r="L6">
            <v>4.5922650200064737E+19</v>
          </cell>
          <cell r="N6">
            <v>2.7790091768569177E+21</v>
          </cell>
          <cell r="O6">
            <v>2.7790091768569177E+21</v>
          </cell>
          <cell r="P6">
            <v>2.7790091768569177E+21</v>
          </cell>
          <cell r="Q6">
            <v>2.7790091768569177E+21</v>
          </cell>
          <cell r="R6">
            <v>2.7790091768569177E+21</v>
          </cell>
          <cell r="S6">
            <v>2.7790091768569177E+21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T6">
            <v>9.1088742892719969E+21</v>
          </cell>
          <cell r="CU6">
            <v>9.1088742892719969E+21</v>
          </cell>
          <cell r="CV6">
            <v>9.2738331192429621E+21</v>
          </cell>
          <cell r="CW6">
            <v>9.1088742892719969E+21</v>
          </cell>
          <cell r="CX6">
            <v>9.1088742892719969E+21</v>
          </cell>
          <cell r="CY6">
            <v>8.9439154593010318E+21</v>
          </cell>
          <cell r="DE6">
            <v>1.6152297857334413E+21</v>
          </cell>
          <cell r="DH6">
            <v>1.6152297857334413E+21</v>
          </cell>
          <cell r="FI6">
            <v>0.5</v>
          </cell>
          <cell r="FJ6">
            <v>0.5</v>
          </cell>
          <cell r="FK6">
            <v>0.5</v>
          </cell>
          <cell r="HO6">
            <v>524288</v>
          </cell>
          <cell r="HP6">
            <v>524288</v>
          </cell>
          <cell r="HQ6">
            <v>589824</v>
          </cell>
          <cell r="HR6">
            <v>524288</v>
          </cell>
          <cell r="HS6">
            <v>524288</v>
          </cell>
          <cell r="HT6">
            <v>0</v>
          </cell>
          <cell r="MK6">
            <v>2.7790091768569177E+21</v>
          </cell>
          <cell r="ML6">
            <v>2.7790091768569177E+21</v>
          </cell>
          <cell r="MM6">
            <v>2.7790091768569177E+21</v>
          </cell>
          <cell r="MN6">
            <v>2.7790091768569177E+21</v>
          </cell>
        </row>
        <row r="7">
          <cell r="B7">
            <v>0.5</v>
          </cell>
          <cell r="C7">
            <v>0.5</v>
          </cell>
          <cell r="D7">
            <v>0.5</v>
          </cell>
          <cell r="F7">
            <v>0.5</v>
          </cell>
          <cell r="G7">
            <v>0.5</v>
          </cell>
          <cell r="H7">
            <v>0.50000000000000011</v>
          </cell>
          <cell r="J7">
            <v>4.5922650200064754E+19</v>
          </cell>
          <cell r="K7">
            <v>4.5922650200064754E+19</v>
          </cell>
          <cell r="L7">
            <v>4.5922650200064745E+19</v>
          </cell>
          <cell r="N7">
            <v>2.7790091768569188E+21</v>
          </cell>
          <cell r="O7">
            <v>2.7790091768569188E+21</v>
          </cell>
          <cell r="P7">
            <v>2.7790091768569188E+21</v>
          </cell>
          <cell r="Q7">
            <v>2.7790091768569188E+21</v>
          </cell>
          <cell r="R7">
            <v>2.7790091768569188E+21</v>
          </cell>
          <cell r="S7">
            <v>2.7790091768569182E+21</v>
          </cell>
          <cell r="CT7">
            <v>9.1088742892719969E+21</v>
          </cell>
          <cell r="CU7">
            <v>9.1088742892719969E+21</v>
          </cell>
          <cell r="CV7">
            <v>9.2738331192429621E+21</v>
          </cell>
          <cell r="CW7">
            <v>9.1088742892719969E+21</v>
          </cell>
          <cell r="CX7">
            <v>9.1088742892719969E+21</v>
          </cell>
          <cell r="CY7">
            <v>8.9439154593010318E+21</v>
          </cell>
          <cell r="FI7">
            <v>0.5</v>
          </cell>
          <cell r="FJ7">
            <v>0.5</v>
          </cell>
          <cell r="FK7">
            <v>0.5</v>
          </cell>
          <cell r="MK7">
            <v>2.7790091768569188E+21</v>
          </cell>
          <cell r="ML7">
            <v>2.7790091768569188E+21</v>
          </cell>
          <cell r="MM7">
            <v>2.7790091768569188E+21</v>
          </cell>
          <cell r="MN7">
            <v>2.7790091768569182E+21</v>
          </cell>
        </row>
        <row r="8">
          <cell r="B8">
            <v>0.5</v>
          </cell>
          <cell r="C8">
            <v>0.5</v>
          </cell>
          <cell r="D8">
            <v>0.50000000000000011</v>
          </cell>
          <cell r="F8">
            <v>0.5</v>
          </cell>
          <cell r="G8">
            <v>0.5</v>
          </cell>
          <cell r="H8">
            <v>0.5</v>
          </cell>
          <cell r="J8">
            <v>4.5922650200064762E+19</v>
          </cell>
          <cell r="K8">
            <v>4.5922650200064762E+19</v>
          </cell>
          <cell r="L8">
            <v>4.5922650200064762E+19</v>
          </cell>
          <cell r="N8">
            <v>2.7790091768569193E+21</v>
          </cell>
          <cell r="O8">
            <v>2.7790091768569193E+21</v>
          </cell>
          <cell r="P8">
            <v>2.7790091768569193E+21</v>
          </cell>
          <cell r="Q8">
            <v>2.7790091768569193E+21</v>
          </cell>
          <cell r="R8">
            <v>2.7790091768569193E+21</v>
          </cell>
          <cell r="S8">
            <v>2.7790091768569193E+21</v>
          </cell>
          <cell r="CT8">
            <v>9.1088742892719969E+21</v>
          </cell>
          <cell r="CU8">
            <v>9.1088742892719969E+21</v>
          </cell>
          <cell r="CV8">
            <v>9.2738331192429621E+21</v>
          </cell>
          <cell r="CW8">
            <v>9.1088742892719969E+21</v>
          </cell>
          <cell r="CX8">
            <v>9.1088742892719969E+21</v>
          </cell>
          <cell r="CY8">
            <v>8.9439154593010318E+21</v>
          </cell>
          <cell r="FI8">
            <v>0.5</v>
          </cell>
          <cell r="FJ8">
            <v>0.5</v>
          </cell>
          <cell r="FK8">
            <v>0.5</v>
          </cell>
          <cell r="MK8">
            <v>2.7790091768569193E+21</v>
          </cell>
          <cell r="ML8">
            <v>2.7790091768569193E+21</v>
          </cell>
          <cell r="MM8">
            <v>2.7790091768569193E+21</v>
          </cell>
          <cell r="MN8">
            <v>2.7790091768569193E+21</v>
          </cell>
        </row>
        <row r="9">
          <cell r="B9">
            <v>0.5</v>
          </cell>
          <cell r="C9">
            <v>0.5</v>
          </cell>
          <cell r="D9">
            <v>0.5</v>
          </cell>
          <cell r="F9">
            <v>0.5</v>
          </cell>
          <cell r="G9">
            <v>0.5</v>
          </cell>
          <cell r="H9">
            <v>0.5</v>
          </cell>
          <cell r="J9">
            <v>4.5922650200064778E+19</v>
          </cell>
          <cell r="K9">
            <v>4.5922650200064778E+19</v>
          </cell>
          <cell r="L9">
            <v>4.592265020006477E+19</v>
          </cell>
          <cell r="N9">
            <v>2.7790091768569203E+21</v>
          </cell>
          <cell r="O9">
            <v>2.7790091768569203E+21</v>
          </cell>
          <cell r="P9">
            <v>2.7790091768569198E+21</v>
          </cell>
          <cell r="Q9">
            <v>2.7790091768569203E+21</v>
          </cell>
          <cell r="R9">
            <v>2.7790091768569203E+21</v>
          </cell>
          <cell r="S9">
            <v>2.7790091768569198E+21</v>
          </cell>
          <cell r="CT9">
            <v>9.1088742892719969E+21</v>
          </cell>
          <cell r="CU9">
            <v>9.1088742892719969E+21</v>
          </cell>
          <cell r="CV9">
            <v>9.2738331192429621E+21</v>
          </cell>
          <cell r="CW9">
            <v>9.1088742892719969E+21</v>
          </cell>
          <cell r="CX9">
            <v>9.1088742892719969E+21</v>
          </cell>
          <cell r="CY9">
            <v>8.9439154593010318E+21</v>
          </cell>
          <cell r="FI9">
            <v>0.5</v>
          </cell>
          <cell r="FJ9">
            <v>0.5</v>
          </cell>
          <cell r="FK9">
            <v>0.5</v>
          </cell>
          <cell r="MK9">
            <v>2.7790091768569203E+21</v>
          </cell>
          <cell r="ML9">
            <v>2.7790091768569203E+21</v>
          </cell>
          <cell r="MM9">
            <v>2.7790091768569198E+21</v>
          </cell>
          <cell r="MN9">
            <v>2.7790091768569198E+21</v>
          </cell>
        </row>
        <row r="10">
          <cell r="B10">
            <v>0.5</v>
          </cell>
          <cell r="C10">
            <v>0.5</v>
          </cell>
          <cell r="D10">
            <v>0.5</v>
          </cell>
          <cell r="F10">
            <v>0.5</v>
          </cell>
          <cell r="G10">
            <v>0.5</v>
          </cell>
          <cell r="H10">
            <v>0.5</v>
          </cell>
          <cell r="J10">
            <v>4.5922650200064803E+19</v>
          </cell>
          <cell r="K10">
            <v>4.5922650200064803E+19</v>
          </cell>
          <cell r="L10">
            <v>4.592265020006477E+19</v>
          </cell>
          <cell r="N10">
            <v>2.7790091768569214E+21</v>
          </cell>
          <cell r="O10">
            <v>2.7790091768569214E+21</v>
          </cell>
          <cell r="P10">
            <v>2.7790091768569198E+21</v>
          </cell>
          <cell r="Q10">
            <v>2.7790091768569214E+21</v>
          </cell>
          <cell r="R10">
            <v>2.7790091768569214E+21</v>
          </cell>
          <cell r="S10">
            <v>2.7790091768569198E+21</v>
          </cell>
          <cell r="CT10">
            <v>9.1088742892719969E+21</v>
          </cell>
          <cell r="CU10">
            <v>9.1088742892719969E+21</v>
          </cell>
          <cell r="CV10">
            <v>9.2738331192429621E+21</v>
          </cell>
          <cell r="CW10">
            <v>9.1088742892719969E+21</v>
          </cell>
          <cell r="CX10">
            <v>9.1088742892719969E+21</v>
          </cell>
          <cell r="CY10">
            <v>8.9439154593010318E+21</v>
          </cell>
          <cell r="FI10">
            <v>0.5</v>
          </cell>
          <cell r="FJ10">
            <v>0.5</v>
          </cell>
          <cell r="FK10">
            <v>0.5</v>
          </cell>
          <cell r="MK10">
            <v>2.7790091768569214E+21</v>
          </cell>
          <cell r="ML10">
            <v>2.7790091768569214E+21</v>
          </cell>
          <cell r="MM10">
            <v>2.7790091768569198E+21</v>
          </cell>
          <cell r="MN10">
            <v>2.7790091768569198E+21</v>
          </cell>
        </row>
        <row r="11">
          <cell r="B11">
            <v>0.5</v>
          </cell>
          <cell r="C11">
            <v>0.5</v>
          </cell>
          <cell r="D11">
            <v>0.5</v>
          </cell>
          <cell r="F11">
            <v>0.5</v>
          </cell>
          <cell r="G11">
            <v>0.5</v>
          </cell>
          <cell r="H11">
            <v>0.5</v>
          </cell>
          <cell r="J11">
            <v>4.5922650200064811E+19</v>
          </cell>
          <cell r="K11">
            <v>4.5922650200064811E+19</v>
          </cell>
          <cell r="L11">
            <v>4.592265020006477E+19</v>
          </cell>
          <cell r="N11">
            <v>2.7790091768569219E+21</v>
          </cell>
          <cell r="O11">
            <v>2.7790091768569219E+21</v>
          </cell>
          <cell r="P11">
            <v>2.7790091768569198E+21</v>
          </cell>
          <cell r="Q11">
            <v>2.7790091768569219E+21</v>
          </cell>
          <cell r="R11">
            <v>2.7790091768569219E+21</v>
          </cell>
          <cell r="S11">
            <v>2.7790091768569198E+21</v>
          </cell>
          <cell r="CT11">
            <v>9.1088742892719969E+21</v>
          </cell>
          <cell r="CU11">
            <v>9.1088742892719969E+21</v>
          </cell>
          <cell r="CV11">
            <v>9.2738331192429621E+21</v>
          </cell>
          <cell r="CW11">
            <v>9.1088742892719969E+21</v>
          </cell>
          <cell r="CX11">
            <v>9.1088742892719969E+21</v>
          </cell>
          <cell r="CY11">
            <v>8.9439154593010318E+21</v>
          </cell>
          <cell r="FI11">
            <v>0.5</v>
          </cell>
          <cell r="FJ11">
            <v>0.5</v>
          </cell>
          <cell r="FK11">
            <v>0.5</v>
          </cell>
          <cell r="MK11">
            <v>2.7790091768569219E+21</v>
          </cell>
          <cell r="ML11">
            <v>2.7790091768569219E+21</v>
          </cell>
          <cell r="MM11">
            <v>2.7790091768569198E+21</v>
          </cell>
          <cell r="MN11">
            <v>2.7790091768569198E+21</v>
          </cell>
        </row>
        <row r="12">
          <cell r="B12">
            <v>0.5</v>
          </cell>
          <cell r="C12">
            <v>0.5</v>
          </cell>
          <cell r="D12">
            <v>0.5</v>
          </cell>
          <cell r="F12">
            <v>0.5</v>
          </cell>
          <cell r="G12">
            <v>0.5</v>
          </cell>
          <cell r="H12">
            <v>0.5</v>
          </cell>
          <cell r="J12">
            <v>4.5922650200064827E+19</v>
          </cell>
          <cell r="K12">
            <v>4.5922650200064827E+19</v>
          </cell>
          <cell r="L12">
            <v>4.592265020006477E+19</v>
          </cell>
          <cell r="N12">
            <v>2.7790091768569229E+21</v>
          </cell>
          <cell r="O12">
            <v>2.7790091768569229E+21</v>
          </cell>
          <cell r="P12">
            <v>2.7790091768569198E+21</v>
          </cell>
          <cell r="Q12">
            <v>2.7790091768569229E+21</v>
          </cell>
          <cell r="R12">
            <v>2.7790091768569229E+21</v>
          </cell>
          <cell r="S12">
            <v>2.7790091768569198E+21</v>
          </cell>
          <cell r="CT12">
            <v>9.1088742892719969E+21</v>
          </cell>
          <cell r="CU12">
            <v>9.1088742892719969E+21</v>
          </cell>
          <cell r="CV12">
            <v>9.2738331192429621E+21</v>
          </cell>
          <cell r="CW12">
            <v>9.1088742892719969E+21</v>
          </cell>
          <cell r="CX12">
            <v>9.1088742892719969E+21</v>
          </cell>
          <cell r="CY12">
            <v>8.9439154593010318E+21</v>
          </cell>
          <cell r="FI12">
            <v>0.5</v>
          </cell>
          <cell r="FJ12">
            <v>0.5</v>
          </cell>
          <cell r="FK12">
            <v>0.5</v>
          </cell>
          <cell r="MK12">
            <v>2.7790091768569229E+21</v>
          </cell>
          <cell r="ML12">
            <v>2.7790091768569229E+21</v>
          </cell>
          <cell r="MM12">
            <v>2.7790091768569198E+21</v>
          </cell>
          <cell r="MN12">
            <v>2.7790091768569198E+21</v>
          </cell>
        </row>
        <row r="13">
          <cell r="B13">
            <v>0.5</v>
          </cell>
          <cell r="C13">
            <v>0.5</v>
          </cell>
          <cell r="D13">
            <v>0.5</v>
          </cell>
          <cell r="F13">
            <v>0.5</v>
          </cell>
          <cell r="G13">
            <v>0.5</v>
          </cell>
          <cell r="H13">
            <v>0.5</v>
          </cell>
          <cell r="J13">
            <v>4.5922650200064852E+19</v>
          </cell>
          <cell r="K13">
            <v>4.5922650200064852E+19</v>
          </cell>
          <cell r="L13">
            <v>4.592265020006477E+19</v>
          </cell>
          <cell r="N13">
            <v>2.7790091768569245E+21</v>
          </cell>
          <cell r="O13">
            <v>2.7790091768569245E+21</v>
          </cell>
          <cell r="P13">
            <v>2.7790091768569198E+21</v>
          </cell>
          <cell r="Q13">
            <v>2.7790091768569245E+21</v>
          </cell>
          <cell r="R13">
            <v>2.7790091768569245E+21</v>
          </cell>
          <cell r="S13">
            <v>2.7790091768569198E+21</v>
          </cell>
          <cell r="CT13">
            <v>9.1088742892719969E+21</v>
          </cell>
          <cell r="CU13">
            <v>9.1088742892719969E+21</v>
          </cell>
          <cell r="CV13">
            <v>9.2738331192429621E+21</v>
          </cell>
          <cell r="CW13">
            <v>9.1088742892719969E+21</v>
          </cell>
          <cell r="CX13">
            <v>9.1088742892719969E+21</v>
          </cell>
          <cell r="CY13">
            <v>8.9439154593010318E+21</v>
          </cell>
          <cell r="FI13">
            <v>0.5</v>
          </cell>
          <cell r="FJ13">
            <v>0.5</v>
          </cell>
          <cell r="FK13">
            <v>0.5</v>
          </cell>
          <cell r="MK13">
            <v>2.7790091768569245E+21</v>
          </cell>
          <cell r="ML13">
            <v>2.7790091768569245E+21</v>
          </cell>
          <cell r="MM13">
            <v>2.7790091768569198E+21</v>
          </cell>
          <cell r="MN13">
            <v>2.7790091768569198E+21</v>
          </cell>
        </row>
        <row r="14">
          <cell r="B14">
            <v>0.5</v>
          </cell>
          <cell r="C14">
            <v>0.5</v>
          </cell>
          <cell r="D14">
            <v>0.5</v>
          </cell>
          <cell r="F14">
            <v>0.5</v>
          </cell>
          <cell r="G14">
            <v>0.5</v>
          </cell>
          <cell r="H14">
            <v>0.5</v>
          </cell>
          <cell r="J14">
            <v>4.5922650200064868E+19</v>
          </cell>
          <cell r="K14">
            <v>4.5922650200064868E+19</v>
          </cell>
          <cell r="L14">
            <v>4.592265020006477E+19</v>
          </cell>
          <cell r="N14">
            <v>2.7790091768569256E+21</v>
          </cell>
          <cell r="O14">
            <v>2.7790091768569256E+21</v>
          </cell>
          <cell r="P14">
            <v>2.7790091768569198E+21</v>
          </cell>
          <cell r="Q14">
            <v>2.7790091768569256E+21</v>
          </cell>
          <cell r="R14">
            <v>2.7790091768569256E+21</v>
          </cell>
          <cell r="S14">
            <v>2.7790091768569198E+21</v>
          </cell>
          <cell r="CT14">
            <v>9.1088742892719969E+21</v>
          </cell>
          <cell r="CU14">
            <v>9.1088742892719969E+21</v>
          </cell>
          <cell r="CV14">
            <v>9.2738331192429621E+21</v>
          </cell>
          <cell r="CW14">
            <v>9.1088742892719969E+21</v>
          </cell>
          <cell r="CX14">
            <v>9.1088742892719969E+21</v>
          </cell>
          <cell r="CY14">
            <v>8.9439154593010318E+21</v>
          </cell>
          <cell r="FI14">
            <v>0.5</v>
          </cell>
          <cell r="FJ14">
            <v>0.5</v>
          </cell>
          <cell r="FK14">
            <v>0.5</v>
          </cell>
          <cell r="MK14">
            <v>2.7790091768569256E+21</v>
          </cell>
          <cell r="ML14">
            <v>2.7790091768569256E+21</v>
          </cell>
          <cell r="MM14">
            <v>2.7790091768569198E+21</v>
          </cell>
          <cell r="MN14">
            <v>2.7790091768569198E+21</v>
          </cell>
        </row>
        <row r="15">
          <cell r="B15">
            <v>0.5</v>
          </cell>
          <cell r="C15">
            <v>0.5</v>
          </cell>
          <cell r="D15">
            <v>0.5</v>
          </cell>
          <cell r="F15">
            <v>0.5</v>
          </cell>
          <cell r="G15">
            <v>0.5</v>
          </cell>
          <cell r="H15">
            <v>0.5</v>
          </cell>
          <cell r="J15">
            <v>4.5922650200064893E+19</v>
          </cell>
          <cell r="K15">
            <v>4.5922650200064893E+19</v>
          </cell>
          <cell r="L15">
            <v>4.592265020006477E+19</v>
          </cell>
          <cell r="N15">
            <v>2.7790091768569271E+21</v>
          </cell>
          <cell r="O15">
            <v>2.7790091768569271E+21</v>
          </cell>
          <cell r="P15">
            <v>2.7790091768569198E+21</v>
          </cell>
          <cell r="Q15">
            <v>2.7790091768569271E+21</v>
          </cell>
          <cell r="R15">
            <v>2.7790091768569271E+21</v>
          </cell>
          <cell r="S15">
            <v>2.7790091768569198E+21</v>
          </cell>
          <cell r="CT15">
            <v>9.1088742892719969E+21</v>
          </cell>
          <cell r="CU15">
            <v>9.1088742892719969E+21</v>
          </cell>
          <cell r="CV15">
            <v>9.2738331192429621E+21</v>
          </cell>
          <cell r="CW15">
            <v>9.1088742892719969E+21</v>
          </cell>
          <cell r="CX15">
            <v>9.1088742892719969E+21</v>
          </cell>
          <cell r="CY15">
            <v>8.9439154593010318E+21</v>
          </cell>
          <cell r="FI15">
            <v>0.5</v>
          </cell>
          <cell r="FJ15">
            <v>0.5</v>
          </cell>
          <cell r="FK15">
            <v>0.5</v>
          </cell>
          <cell r="MK15">
            <v>2.7790091768569271E+21</v>
          </cell>
          <cell r="ML15">
            <v>2.7790091768569271E+21</v>
          </cell>
          <cell r="MM15">
            <v>2.7790091768569198E+21</v>
          </cell>
          <cell r="MN15">
            <v>2.7790091768569198E+21</v>
          </cell>
        </row>
        <row r="16">
          <cell r="B16">
            <v>0.5</v>
          </cell>
          <cell r="C16">
            <v>0.5</v>
          </cell>
          <cell r="D16">
            <v>0.5</v>
          </cell>
          <cell r="F16">
            <v>0.5</v>
          </cell>
          <cell r="G16">
            <v>0.5</v>
          </cell>
          <cell r="H16">
            <v>0.5</v>
          </cell>
          <cell r="J16">
            <v>4.5922650200064909E+19</v>
          </cell>
          <cell r="K16">
            <v>4.5922650200064909E+19</v>
          </cell>
          <cell r="L16">
            <v>4.592265020006477E+19</v>
          </cell>
          <cell r="N16">
            <v>2.7790091768569282E+21</v>
          </cell>
          <cell r="O16">
            <v>2.7790091768569282E+21</v>
          </cell>
          <cell r="P16">
            <v>2.7790091768569198E+21</v>
          </cell>
          <cell r="Q16">
            <v>2.7790091768569282E+21</v>
          </cell>
          <cell r="R16">
            <v>2.7790091768569282E+21</v>
          </cell>
          <cell r="S16">
            <v>2.7790091768569198E+21</v>
          </cell>
          <cell r="CT16">
            <v>9.1088742892719969E+21</v>
          </cell>
          <cell r="CU16">
            <v>9.1088742892719969E+21</v>
          </cell>
          <cell r="CV16">
            <v>9.2738331192429621E+21</v>
          </cell>
          <cell r="CW16">
            <v>9.1088742892719969E+21</v>
          </cell>
          <cell r="CX16">
            <v>9.1088742892719969E+21</v>
          </cell>
          <cell r="CY16">
            <v>8.9439154593010318E+21</v>
          </cell>
          <cell r="FI16">
            <v>0.5</v>
          </cell>
          <cell r="FJ16">
            <v>0.5</v>
          </cell>
          <cell r="FK16">
            <v>0.5</v>
          </cell>
          <cell r="MK16">
            <v>2.7790091768569282E+21</v>
          </cell>
          <cell r="ML16">
            <v>2.7790091768569282E+21</v>
          </cell>
          <cell r="MM16">
            <v>2.7790091768569198E+21</v>
          </cell>
          <cell r="MN16">
            <v>2.7790091768569198E+21</v>
          </cell>
        </row>
        <row r="17">
          <cell r="B17">
            <v>0.5</v>
          </cell>
          <cell r="C17">
            <v>0.5</v>
          </cell>
          <cell r="D17">
            <v>0.5</v>
          </cell>
          <cell r="F17">
            <v>0.5</v>
          </cell>
          <cell r="G17">
            <v>0.5</v>
          </cell>
          <cell r="H17">
            <v>0.5</v>
          </cell>
          <cell r="J17">
            <v>4.5922650200064926E+19</v>
          </cell>
          <cell r="K17">
            <v>4.5922650200064926E+19</v>
          </cell>
          <cell r="L17">
            <v>4.592265020006477E+19</v>
          </cell>
          <cell r="N17">
            <v>2.7790091768569292E+21</v>
          </cell>
          <cell r="O17">
            <v>2.7790091768569292E+21</v>
          </cell>
          <cell r="P17">
            <v>2.7790091768569198E+21</v>
          </cell>
          <cell r="Q17">
            <v>2.7790091768569292E+21</v>
          </cell>
          <cell r="R17">
            <v>2.7790091768569292E+21</v>
          </cell>
          <cell r="S17">
            <v>2.7790091768569198E+21</v>
          </cell>
          <cell r="CT17">
            <v>9.1088742892719969E+21</v>
          </cell>
          <cell r="CU17">
            <v>9.1088742892719969E+21</v>
          </cell>
          <cell r="CV17">
            <v>9.2738331192429621E+21</v>
          </cell>
          <cell r="CW17">
            <v>9.1088742892719969E+21</v>
          </cell>
          <cell r="CX17">
            <v>9.1088742892719969E+21</v>
          </cell>
          <cell r="CY17">
            <v>8.9439154593010318E+21</v>
          </cell>
          <cell r="FI17">
            <v>0.5</v>
          </cell>
          <cell r="FJ17">
            <v>0.5</v>
          </cell>
          <cell r="FK17">
            <v>0.5</v>
          </cell>
          <cell r="MK17">
            <v>2.7790091768569292E+21</v>
          </cell>
          <cell r="ML17">
            <v>2.7790091768569292E+21</v>
          </cell>
          <cell r="MM17">
            <v>2.7790091768569198E+21</v>
          </cell>
          <cell r="MN17">
            <v>2.7790091768569198E+21</v>
          </cell>
        </row>
        <row r="18">
          <cell r="B18">
            <v>0.5</v>
          </cell>
          <cell r="C18">
            <v>0.5</v>
          </cell>
          <cell r="D18">
            <v>0.5</v>
          </cell>
          <cell r="F18">
            <v>0.5</v>
          </cell>
          <cell r="G18">
            <v>0.5</v>
          </cell>
          <cell r="H18">
            <v>0.5</v>
          </cell>
          <cell r="J18">
            <v>4.5922650200064926E+19</v>
          </cell>
          <cell r="K18">
            <v>4.5922650200064926E+19</v>
          </cell>
          <cell r="L18">
            <v>4.592265020006477E+19</v>
          </cell>
          <cell r="N18">
            <v>2.7790091768569292E+21</v>
          </cell>
          <cell r="O18">
            <v>2.7790091768569292E+21</v>
          </cell>
          <cell r="P18">
            <v>2.7790091768569198E+21</v>
          </cell>
          <cell r="Q18">
            <v>2.7790091768569292E+21</v>
          </cell>
          <cell r="R18">
            <v>2.7790091768569292E+21</v>
          </cell>
          <cell r="S18">
            <v>2.7790091768569198E+21</v>
          </cell>
          <cell r="CT18">
            <v>9.1088742892719969E+21</v>
          </cell>
          <cell r="CU18">
            <v>9.1088742892719969E+21</v>
          </cell>
          <cell r="CV18">
            <v>9.2738331192429621E+21</v>
          </cell>
          <cell r="CW18">
            <v>9.1088742892719969E+21</v>
          </cell>
          <cell r="CX18">
            <v>9.1088742892719969E+21</v>
          </cell>
          <cell r="CY18">
            <v>8.9439154593010318E+21</v>
          </cell>
          <cell r="FI18">
            <v>0.5</v>
          </cell>
          <cell r="FJ18">
            <v>0.5</v>
          </cell>
          <cell r="FK18">
            <v>0.5</v>
          </cell>
          <cell r="MK18">
            <v>2.7790091768569292E+21</v>
          </cell>
          <cell r="ML18">
            <v>2.7790091768569292E+21</v>
          </cell>
          <cell r="MM18">
            <v>2.7790091768569198E+21</v>
          </cell>
          <cell r="MN18">
            <v>2.7790091768569198E+21</v>
          </cell>
        </row>
        <row r="19">
          <cell r="B19">
            <v>0.5</v>
          </cell>
          <cell r="C19">
            <v>0.5</v>
          </cell>
          <cell r="D19">
            <v>0.5</v>
          </cell>
          <cell r="F19">
            <v>0.5</v>
          </cell>
          <cell r="G19">
            <v>0.5</v>
          </cell>
          <cell r="H19">
            <v>0.5</v>
          </cell>
          <cell r="J19">
            <v>4.5922650200064926E+19</v>
          </cell>
          <cell r="K19">
            <v>4.5922650200064926E+19</v>
          </cell>
          <cell r="L19">
            <v>4.592265020006477E+19</v>
          </cell>
          <cell r="N19">
            <v>2.7790091768569292E+21</v>
          </cell>
          <cell r="O19">
            <v>2.7790091768569292E+21</v>
          </cell>
          <cell r="P19">
            <v>2.7790091768569198E+21</v>
          </cell>
          <cell r="Q19">
            <v>2.7790091768569292E+21</v>
          </cell>
          <cell r="R19">
            <v>2.7790091768569292E+21</v>
          </cell>
          <cell r="S19">
            <v>2.7790091768569198E+21</v>
          </cell>
          <cell r="CT19">
            <v>9.1088742892719969E+21</v>
          </cell>
          <cell r="CU19">
            <v>9.1088742892719969E+21</v>
          </cell>
          <cell r="CV19">
            <v>9.2738331192429621E+21</v>
          </cell>
          <cell r="CW19">
            <v>9.1088742892719969E+21</v>
          </cell>
          <cell r="CX19">
            <v>9.1088742892719969E+21</v>
          </cell>
          <cell r="CY19">
            <v>8.9439154593010318E+21</v>
          </cell>
          <cell r="FI19">
            <v>0.5</v>
          </cell>
          <cell r="FJ19">
            <v>0.5</v>
          </cell>
          <cell r="FK19">
            <v>0.5</v>
          </cell>
          <cell r="MK19">
            <v>2.7790091768569292E+21</v>
          </cell>
          <cell r="ML19">
            <v>2.7790091768569292E+21</v>
          </cell>
          <cell r="MM19">
            <v>2.7790091768569198E+21</v>
          </cell>
          <cell r="MN19">
            <v>2.7790091768569198E+21</v>
          </cell>
        </row>
        <row r="20">
          <cell r="B20">
            <v>0.5</v>
          </cell>
          <cell r="C20">
            <v>0.5</v>
          </cell>
          <cell r="D20">
            <v>0.5</v>
          </cell>
          <cell r="F20">
            <v>0.5</v>
          </cell>
          <cell r="G20">
            <v>0.5</v>
          </cell>
          <cell r="H20">
            <v>0.5</v>
          </cell>
          <cell r="J20">
            <v>4.5922650200064926E+19</v>
          </cell>
          <cell r="K20">
            <v>4.5922650200064926E+19</v>
          </cell>
          <cell r="L20">
            <v>4.592265020006477E+19</v>
          </cell>
          <cell r="N20">
            <v>2.7790091768569292E+21</v>
          </cell>
          <cell r="O20">
            <v>2.7790091768569292E+21</v>
          </cell>
          <cell r="P20">
            <v>2.7790091768569198E+21</v>
          </cell>
          <cell r="Q20">
            <v>2.7790091768569292E+21</v>
          </cell>
          <cell r="R20">
            <v>2.7790091768569292E+21</v>
          </cell>
          <cell r="S20">
            <v>2.7790091768569198E+21</v>
          </cell>
          <cell r="CT20">
            <v>9.1088742892719969E+21</v>
          </cell>
          <cell r="CU20">
            <v>9.1088742892719969E+21</v>
          </cell>
          <cell r="CV20">
            <v>9.2738331192429621E+21</v>
          </cell>
          <cell r="CW20">
            <v>9.1088742892719969E+21</v>
          </cell>
          <cell r="CX20">
            <v>9.1088742892719969E+21</v>
          </cell>
          <cell r="CY20">
            <v>8.9439154593010318E+21</v>
          </cell>
          <cell r="FI20">
            <v>0.5</v>
          </cell>
          <cell r="FJ20">
            <v>0.5</v>
          </cell>
          <cell r="FK20">
            <v>0.5</v>
          </cell>
          <cell r="MK20">
            <v>2.7790091768569292E+21</v>
          </cell>
          <cell r="ML20">
            <v>2.7790091768569292E+21</v>
          </cell>
          <cell r="MM20">
            <v>2.7790091768569198E+21</v>
          </cell>
          <cell r="MN20">
            <v>2.7790091768569198E+21</v>
          </cell>
        </row>
        <row r="21">
          <cell r="B21">
            <v>0.5</v>
          </cell>
          <cell r="C21">
            <v>0.5</v>
          </cell>
          <cell r="D21">
            <v>0.5</v>
          </cell>
          <cell r="F21">
            <v>0.5</v>
          </cell>
          <cell r="G21">
            <v>0.5</v>
          </cell>
          <cell r="H21">
            <v>0.5</v>
          </cell>
          <cell r="J21">
            <v>4.5922650200064926E+19</v>
          </cell>
          <cell r="K21">
            <v>4.5922650200064926E+19</v>
          </cell>
          <cell r="L21">
            <v>4.592265020006477E+19</v>
          </cell>
          <cell r="N21">
            <v>2.7790091768569292E+21</v>
          </cell>
          <cell r="O21">
            <v>2.7790091768569292E+21</v>
          </cell>
          <cell r="P21">
            <v>2.7790091768569198E+21</v>
          </cell>
          <cell r="Q21">
            <v>2.7790091768569292E+21</v>
          </cell>
          <cell r="R21">
            <v>2.7790091768569292E+21</v>
          </cell>
          <cell r="S21">
            <v>2.7790091768569198E+21</v>
          </cell>
          <cell r="CT21">
            <v>9.1088742892719969E+21</v>
          </cell>
          <cell r="CU21">
            <v>9.1088742892719969E+21</v>
          </cell>
          <cell r="CV21">
            <v>9.2738331192429621E+21</v>
          </cell>
          <cell r="CW21">
            <v>9.1088742892719969E+21</v>
          </cell>
          <cell r="CX21">
            <v>9.1088742892719969E+21</v>
          </cell>
          <cell r="CY21">
            <v>8.9439154593010318E+21</v>
          </cell>
          <cell r="FI21">
            <v>0.5</v>
          </cell>
          <cell r="FJ21">
            <v>0.5</v>
          </cell>
          <cell r="FK21">
            <v>0.5</v>
          </cell>
          <cell r="MK21">
            <v>2.7790091768569292E+21</v>
          </cell>
          <cell r="ML21">
            <v>2.7790091768569292E+21</v>
          </cell>
          <cell r="MM21">
            <v>2.7790091768569198E+21</v>
          </cell>
          <cell r="MN21">
            <v>2.7790091768569198E+21</v>
          </cell>
        </row>
        <row r="22">
          <cell r="B22">
            <v>0.5</v>
          </cell>
          <cell r="C22">
            <v>0.5</v>
          </cell>
          <cell r="D22">
            <v>0.5</v>
          </cell>
          <cell r="F22">
            <v>0.5</v>
          </cell>
          <cell r="G22">
            <v>0.5</v>
          </cell>
          <cell r="H22">
            <v>0.5</v>
          </cell>
          <cell r="J22">
            <v>4.5922650200064926E+19</v>
          </cell>
          <cell r="K22">
            <v>4.5922650200064926E+19</v>
          </cell>
          <cell r="L22">
            <v>4.592265020006477E+19</v>
          </cell>
          <cell r="N22">
            <v>2.7790091768569292E+21</v>
          </cell>
          <cell r="O22">
            <v>2.7790091768569292E+21</v>
          </cell>
          <cell r="P22">
            <v>2.7790091768569198E+21</v>
          </cell>
          <cell r="Q22">
            <v>2.7790091768569292E+21</v>
          </cell>
          <cell r="R22">
            <v>2.7790091768569292E+21</v>
          </cell>
          <cell r="S22">
            <v>2.7790091768569198E+21</v>
          </cell>
          <cell r="CT22">
            <v>9.1088742892719969E+21</v>
          </cell>
          <cell r="CU22">
            <v>9.1088742892719969E+21</v>
          </cell>
          <cell r="CV22">
            <v>9.2738331192429621E+21</v>
          </cell>
          <cell r="CW22">
            <v>9.1088742892719969E+21</v>
          </cell>
          <cell r="CX22">
            <v>9.1088742892719969E+21</v>
          </cell>
          <cell r="CY22">
            <v>8.9439154593010318E+21</v>
          </cell>
          <cell r="FI22">
            <v>0.5</v>
          </cell>
          <cell r="FJ22">
            <v>0.5</v>
          </cell>
          <cell r="FK22">
            <v>0.5</v>
          </cell>
          <cell r="MK22">
            <v>2.7790091768569292E+21</v>
          </cell>
          <cell r="ML22">
            <v>2.7790091768569292E+21</v>
          </cell>
          <cell r="MM22">
            <v>2.7790091768569198E+21</v>
          </cell>
          <cell r="MN22">
            <v>2.7790091768569198E+21</v>
          </cell>
        </row>
        <row r="23">
          <cell r="B23">
            <v>0.5</v>
          </cell>
          <cell r="C23">
            <v>0.5</v>
          </cell>
          <cell r="D23">
            <v>0.5</v>
          </cell>
          <cell r="F23">
            <v>0.5</v>
          </cell>
          <cell r="G23">
            <v>0.5</v>
          </cell>
          <cell r="H23">
            <v>0.5</v>
          </cell>
          <cell r="J23">
            <v>4.5922650200064926E+19</v>
          </cell>
          <cell r="K23">
            <v>4.5922650200064926E+19</v>
          </cell>
          <cell r="L23">
            <v>4.592265020006477E+19</v>
          </cell>
          <cell r="N23">
            <v>2.7790091768569292E+21</v>
          </cell>
          <cell r="O23">
            <v>2.7790091768569292E+21</v>
          </cell>
          <cell r="P23">
            <v>2.7790091768569198E+21</v>
          </cell>
          <cell r="Q23">
            <v>2.7790091768569292E+21</v>
          </cell>
          <cell r="R23">
            <v>2.7790091768569292E+21</v>
          </cell>
          <cell r="S23">
            <v>2.7790091768569198E+21</v>
          </cell>
          <cell r="CT23">
            <v>9.1088742892719969E+21</v>
          </cell>
          <cell r="CU23">
            <v>9.1088742892719969E+21</v>
          </cell>
          <cell r="CV23">
            <v>9.2738331192429621E+21</v>
          </cell>
          <cell r="CW23">
            <v>9.1088742892719969E+21</v>
          </cell>
          <cell r="CX23">
            <v>9.1088742892719969E+21</v>
          </cell>
          <cell r="CY23">
            <v>8.9439154593010318E+21</v>
          </cell>
          <cell r="FI23">
            <v>0.5</v>
          </cell>
          <cell r="FJ23">
            <v>0.5</v>
          </cell>
          <cell r="FK23">
            <v>0.5</v>
          </cell>
          <cell r="MK23">
            <v>2.7790091768569292E+21</v>
          </cell>
          <cell r="ML23">
            <v>2.7790091768569292E+21</v>
          </cell>
          <cell r="MM23">
            <v>2.7790091768569198E+21</v>
          </cell>
          <cell r="MN23">
            <v>2.7790091768569198E+21</v>
          </cell>
        </row>
        <row r="24">
          <cell r="B24">
            <v>0.5</v>
          </cell>
          <cell r="C24">
            <v>0.5</v>
          </cell>
          <cell r="D24">
            <v>0.5</v>
          </cell>
          <cell r="F24">
            <v>0.5</v>
          </cell>
          <cell r="G24">
            <v>0.5</v>
          </cell>
          <cell r="H24">
            <v>0.5</v>
          </cell>
          <cell r="J24">
            <v>4.5922650200064926E+19</v>
          </cell>
          <cell r="K24">
            <v>4.5922650200064926E+19</v>
          </cell>
          <cell r="L24">
            <v>4.592265020006477E+19</v>
          </cell>
          <cell r="N24">
            <v>2.7790091768569292E+21</v>
          </cell>
          <cell r="O24">
            <v>2.7790091768569292E+21</v>
          </cell>
          <cell r="P24">
            <v>2.7790091768569198E+21</v>
          </cell>
          <cell r="Q24">
            <v>2.7790091768569292E+21</v>
          </cell>
          <cell r="R24">
            <v>2.7790091768569292E+21</v>
          </cell>
          <cell r="S24">
            <v>2.7790091768569198E+21</v>
          </cell>
          <cell r="CT24">
            <v>9.1088742892719969E+21</v>
          </cell>
          <cell r="CU24">
            <v>9.1088742892719969E+21</v>
          </cell>
          <cell r="CV24">
            <v>9.2738331192429621E+21</v>
          </cell>
          <cell r="CW24">
            <v>9.1088742892719969E+21</v>
          </cell>
          <cell r="CX24">
            <v>9.1088742892719969E+21</v>
          </cell>
          <cell r="CY24">
            <v>8.9439154593010318E+21</v>
          </cell>
          <cell r="FI24">
            <v>0.5</v>
          </cell>
          <cell r="FJ24">
            <v>0.5</v>
          </cell>
          <cell r="FK24">
            <v>0.5</v>
          </cell>
          <cell r="MK24">
            <v>2.7790091768569292E+21</v>
          </cell>
          <cell r="ML24">
            <v>2.7790091768569292E+21</v>
          </cell>
          <cell r="MM24">
            <v>2.7790091768569198E+21</v>
          </cell>
          <cell r="MN24">
            <v>2.7790091768569198E+21</v>
          </cell>
        </row>
        <row r="25">
          <cell r="B25">
            <v>0.5</v>
          </cell>
          <cell r="C25">
            <v>0.5</v>
          </cell>
          <cell r="D25">
            <v>0.5</v>
          </cell>
          <cell r="F25">
            <v>0.5</v>
          </cell>
          <cell r="G25">
            <v>0.5</v>
          </cell>
          <cell r="H25">
            <v>0.5</v>
          </cell>
          <cell r="J25">
            <v>4.5922650200064926E+19</v>
          </cell>
          <cell r="K25">
            <v>4.5922650200064926E+19</v>
          </cell>
          <cell r="L25">
            <v>4.592265020006477E+19</v>
          </cell>
          <cell r="N25">
            <v>2.7790091768569292E+21</v>
          </cell>
          <cell r="O25">
            <v>2.7790091768569292E+21</v>
          </cell>
          <cell r="P25">
            <v>2.7790091768569198E+21</v>
          </cell>
          <cell r="Q25">
            <v>2.7790091768569292E+21</v>
          </cell>
          <cell r="R25">
            <v>2.7790091768569292E+21</v>
          </cell>
          <cell r="S25">
            <v>2.7790091768569198E+21</v>
          </cell>
          <cell r="CT25">
            <v>9.1088742892719969E+21</v>
          </cell>
          <cell r="CU25">
            <v>9.1088742892719969E+21</v>
          </cell>
          <cell r="CV25">
            <v>9.2738331192429621E+21</v>
          </cell>
          <cell r="CW25">
            <v>9.1088742892719969E+21</v>
          </cell>
          <cell r="CX25">
            <v>9.1088742892719969E+21</v>
          </cell>
          <cell r="CY25">
            <v>8.9439154593010318E+21</v>
          </cell>
          <cell r="FI25">
            <v>0.5</v>
          </cell>
          <cell r="FJ25">
            <v>0.5</v>
          </cell>
          <cell r="FK25">
            <v>0.5</v>
          </cell>
          <cell r="MK25">
            <v>2.7790091768569292E+21</v>
          </cell>
          <cell r="ML25">
            <v>2.7790091768569292E+21</v>
          </cell>
          <cell r="MM25">
            <v>2.7790091768569198E+21</v>
          </cell>
          <cell r="MN25">
            <v>2.7790091768569198E+21</v>
          </cell>
        </row>
        <row r="26">
          <cell r="B26">
            <v>0.5</v>
          </cell>
          <cell r="C26">
            <v>0.5</v>
          </cell>
          <cell r="D26">
            <v>0.5</v>
          </cell>
          <cell r="F26">
            <v>0.5</v>
          </cell>
          <cell r="G26">
            <v>0.5</v>
          </cell>
          <cell r="H26">
            <v>0.5</v>
          </cell>
          <cell r="J26">
            <v>4.5922650200064926E+19</v>
          </cell>
          <cell r="K26">
            <v>4.5922650200064926E+19</v>
          </cell>
          <cell r="L26">
            <v>4.592265020006477E+19</v>
          </cell>
          <cell r="N26">
            <v>2.7790091768569292E+21</v>
          </cell>
          <cell r="O26">
            <v>2.7790091768569292E+21</v>
          </cell>
          <cell r="P26">
            <v>2.7790091768569198E+21</v>
          </cell>
          <cell r="Q26">
            <v>2.7790091768569292E+21</v>
          </cell>
          <cell r="R26">
            <v>2.7790091768569292E+21</v>
          </cell>
          <cell r="S26">
            <v>2.7790091768569198E+21</v>
          </cell>
          <cell r="CT26">
            <v>9.1088742892719969E+21</v>
          </cell>
          <cell r="CU26">
            <v>9.1088742892719969E+21</v>
          </cell>
          <cell r="CV26">
            <v>9.2738331192429621E+21</v>
          </cell>
          <cell r="CW26">
            <v>9.1088742892719969E+21</v>
          </cell>
          <cell r="CX26">
            <v>9.1088742892719969E+21</v>
          </cell>
          <cell r="CY26">
            <v>8.9439154593010318E+21</v>
          </cell>
          <cell r="FI26">
            <v>0.5</v>
          </cell>
          <cell r="FJ26">
            <v>0.5</v>
          </cell>
          <cell r="FK26">
            <v>0.5</v>
          </cell>
          <cell r="MK26">
            <v>2.7790091768569292E+21</v>
          </cell>
          <cell r="ML26">
            <v>2.7790091768569292E+21</v>
          </cell>
          <cell r="MM26">
            <v>2.7790091768569198E+21</v>
          </cell>
          <cell r="MN26">
            <v>2.7790091768569198E+21</v>
          </cell>
        </row>
        <row r="27">
          <cell r="B27">
            <v>0.5</v>
          </cell>
          <cell r="C27">
            <v>0.5</v>
          </cell>
          <cell r="D27">
            <v>0.5</v>
          </cell>
          <cell r="F27">
            <v>0.5</v>
          </cell>
          <cell r="G27">
            <v>0.5</v>
          </cell>
          <cell r="H27">
            <v>0.5</v>
          </cell>
          <cell r="J27">
            <v>4.5922650200064926E+19</v>
          </cell>
          <cell r="K27">
            <v>4.5922650200064926E+19</v>
          </cell>
          <cell r="L27">
            <v>4.592265020006477E+19</v>
          </cell>
          <cell r="N27">
            <v>2.7790091768569292E+21</v>
          </cell>
          <cell r="O27">
            <v>2.7790091768569292E+21</v>
          </cell>
          <cell r="P27">
            <v>2.7790091768569198E+21</v>
          </cell>
          <cell r="Q27">
            <v>2.7790091768569292E+21</v>
          </cell>
          <cell r="R27">
            <v>2.7790091768569292E+21</v>
          </cell>
          <cell r="S27">
            <v>2.7790091768569198E+21</v>
          </cell>
          <cell r="CT27">
            <v>9.1088742892719969E+21</v>
          </cell>
          <cell r="CU27">
            <v>9.1088742892719969E+21</v>
          </cell>
          <cell r="CV27">
            <v>9.2738331192429621E+21</v>
          </cell>
          <cell r="CW27">
            <v>9.1088742892719969E+21</v>
          </cell>
          <cell r="CX27">
            <v>9.1088742892719969E+21</v>
          </cell>
          <cell r="CY27">
            <v>8.9439154593010318E+21</v>
          </cell>
          <cell r="FI27">
            <v>0.5</v>
          </cell>
          <cell r="FJ27">
            <v>0.5</v>
          </cell>
          <cell r="FK27">
            <v>0.5</v>
          </cell>
          <cell r="MK27">
            <v>2.7790091768569292E+21</v>
          </cell>
          <cell r="ML27">
            <v>2.7790091768569292E+21</v>
          </cell>
          <cell r="MM27">
            <v>2.7790091768569198E+21</v>
          </cell>
          <cell r="MN27">
            <v>2.7790091768569198E+21</v>
          </cell>
        </row>
        <row r="28">
          <cell r="B28">
            <v>0.5</v>
          </cell>
          <cell r="C28">
            <v>0.5</v>
          </cell>
          <cell r="D28">
            <v>0.5</v>
          </cell>
          <cell r="F28">
            <v>0.5</v>
          </cell>
          <cell r="G28">
            <v>0.5</v>
          </cell>
          <cell r="H28">
            <v>0.5</v>
          </cell>
          <cell r="J28">
            <v>4.5922650200064926E+19</v>
          </cell>
          <cell r="K28">
            <v>4.5922650200064926E+19</v>
          </cell>
          <cell r="L28">
            <v>4.592265020006477E+19</v>
          </cell>
          <cell r="N28">
            <v>2.7790091768569292E+21</v>
          </cell>
          <cell r="O28">
            <v>2.7790091768569292E+21</v>
          </cell>
          <cell r="P28">
            <v>2.7790091768569198E+21</v>
          </cell>
          <cell r="Q28">
            <v>2.7790091768569292E+21</v>
          </cell>
          <cell r="R28">
            <v>2.7790091768569292E+21</v>
          </cell>
          <cell r="S28">
            <v>2.7790091768569198E+21</v>
          </cell>
          <cell r="CT28">
            <v>9.1088742892719969E+21</v>
          </cell>
          <cell r="CU28">
            <v>9.1088742892719969E+21</v>
          </cell>
          <cell r="CV28">
            <v>9.2738331192429621E+21</v>
          </cell>
          <cell r="CW28">
            <v>9.1088742892719969E+21</v>
          </cell>
          <cell r="CX28">
            <v>9.1088742892719969E+21</v>
          </cell>
          <cell r="CY28">
            <v>8.9439154593010318E+21</v>
          </cell>
          <cell r="FI28">
            <v>0.5</v>
          </cell>
          <cell r="FJ28">
            <v>0.5</v>
          </cell>
          <cell r="FK28">
            <v>0.5</v>
          </cell>
          <cell r="MK28">
            <v>2.7790091768569292E+21</v>
          </cell>
          <cell r="ML28">
            <v>2.7790091768569292E+21</v>
          </cell>
          <cell r="MM28">
            <v>2.7790091768569198E+21</v>
          </cell>
          <cell r="MN28">
            <v>2.7790091768569198E+21</v>
          </cell>
        </row>
        <row r="29">
          <cell r="B29">
            <v>0.5</v>
          </cell>
          <cell r="C29">
            <v>0.5</v>
          </cell>
          <cell r="D29">
            <v>0.5</v>
          </cell>
          <cell r="F29">
            <v>0.5</v>
          </cell>
          <cell r="G29">
            <v>0.5</v>
          </cell>
          <cell r="H29">
            <v>0.5</v>
          </cell>
          <cell r="J29">
            <v>4.5922650200064926E+19</v>
          </cell>
          <cell r="K29">
            <v>4.5922650200064926E+19</v>
          </cell>
          <cell r="L29">
            <v>4.592265020006477E+19</v>
          </cell>
          <cell r="N29">
            <v>2.7790091768569292E+21</v>
          </cell>
          <cell r="O29">
            <v>2.7790091768569292E+21</v>
          </cell>
          <cell r="P29">
            <v>2.7790091768569198E+21</v>
          </cell>
          <cell r="Q29">
            <v>2.7790091768569292E+21</v>
          </cell>
          <cell r="R29">
            <v>2.7790091768569292E+21</v>
          </cell>
          <cell r="S29">
            <v>2.7790091768569198E+21</v>
          </cell>
          <cell r="CT29">
            <v>9.1088742892719969E+21</v>
          </cell>
          <cell r="CU29">
            <v>9.1088742892719969E+21</v>
          </cell>
          <cell r="CV29">
            <v>9.2738331192429621E+21</v>
          </cell>
          <cell r="CW29">
            <v>9.1088742892719969E+21</v>
          </cell>
          <cell r="CX29">
            <v>9.1088742892719969E+21</v>
          </cell>
          <cell r="CY29">
            <v>8.9439154593010318E+21</v>
          </cell>
          <cell r="FI29">
            <v>0.5</v>
          </cell>
          <cell r="FJ29">
            <v>0.5</v>
          </cell>
          <cell r="FK29">
            <v>0.5</v>
          </cell>
          <cell r="MK29">
            <v>2.7790091768569292E+21</v>
          </cell>
          <cell r="ML29">
            <v>2.7790091768569292E+21</v>
          </cell>
          <cell r="MM29">
            <v>2.7790091768569198E+21</v>
          </cell>
          <cell r="MN29">
            <v>2.7790091768569198E+21</v>
          </cell>
        </row>
        <row r="30">
          <cell r="B30">
            <v>0.5</v>
          </cell>
          <cell r="C30">
            <v>0.5</v>
          </cell>
          <cell r="D30">
            <v>0.5</v>
          </cell>
          <cell r="F30">
            <v>0.5</v>
          </cell>
          <cell r="G30">
            <v>0.5</v>
          </cell>
          <cell r="H30">
            <v>0.5</v>
          </cell>
          <cell r="J30">
            <v>4.5922650200064926E+19</v>
          </cell>
          <cell r="K30">
            <v>4.5922650200064926E+19</v>
          </cell>
          <cell r="L30">
            <v>4.592265020006477E+19</v>
          </cell>
          <cell r="N30">
            <v>2.7790091768569292E+21</v>
          </cell>
          <cell r="O30">
            <v>2.7790091768569292E+21</v>
          </cell>
          <cell r="P30">
            <v>2.7790091768569198E+21</v>
          </cell>
          <cell r="Q30">
            <v>2.7790091768569292E+21</v>
          </cell>
          <cell r="R30">
            <v>2.7790091768569292E+21</v>
          </cell>
          <cell r="S30">
            <v>2.7790091768569198E+21</v>
          </cell>
          <cell r="CT30">
            <v>9.1088742892719969E+21</v>
          </cell>
          <cell r="CU30">
            <v>9.1088742892719969E+21</v>
          </cell>
          <cell r="CV30">
            <v>9.2738331192429621E+21</v>
          </cell>
          <cell r="CW30">
            <v>9.1088742892719969E+21</v>
          </cell>
          <cell r="CX30">
            <v>9.1088742892719969E+21</v>
          </cell>
          <cell r="CY30">
            <v>8.9439154593010318E+21</v>
          </cell>
          <cell r="FI30">
            <v>0.5</v>
          </cell>
          <cell r="FJ30">
            <v>0.5</v>
          </cell>
          <cell r="FK30">
            <v>0.5</v>
          </cell>
          <cell r="MK30">
            <v>2.7790091768569292E+21</v>
          </cell>
          <cell r="ML30">
            <v>2.7790091768569292E+21</v>
          </cell>
          <cell r="MM30">
            <v>2.7790091768569198E+21</v>
          </cell>
          <cell r="MN30">
            <v>2.7790091768569198E+21</v>
          </cell>
        </row>
        <row r="31">
          <cell r="B31">
            <v>0.5</v>
          </cell>
          <cell r="C31">
            <v>0.5</v>
          </cell>
          <cell r="D31">
            <v>0.5</v>
          </cell>
          <cell r="F31">
            <v>0.5</v>
          </cell>
          <cell r="G31">
            <v>0.5</v>
          </cell>
          <cell r="H31">
            <v>0.5</v>
          </cell>
          <cell r="J31">
            <v>4.5922650200064926E+19</v>
          </cell>
          <cell r="K31">
            <v>4.5922650200064926E+19</v>
          </cell>
          <cell r="L31">
            <v>4.592265020006477E+19</v>
          </cell>
          <cell r="N31">
            <v>2.7790091768569292E+21</v>
          </cell>
          <cell r="O31">
            <v>2.7790091768569292E+21</v>
          </cell>
          <cell r="P31">
            <v>2.7790091768569198E+21</v>
          </cell>
          <cell r="Q31">
            <v>2.7790091768569292E+21</v>
          </cell>
          <cell r="R31">
            <v>2.7790091768569292E+21</v>
          </cell>
          <cell r="S31">
            <v>2.7790091768569198E+21</v>
          </cell>
          <cell r="CT31">
            <v>9.1088742892719969E+21</v>
          </cell>
          <cell r="CU31">
            <v>9.1088742892719969E+21</v>
          </cell>
          <cell r="CV31">
            <v>9.2738331192429621E+21</v>
          </cell>
          <cell r="CW31">
            <v>9.1088742892719969E+21</v>
          </cell>
          <cell r="CX31">
            <v>9.1088742892719969E+21</v>
          </cell>
          <cell r="CY31">
            <v>8.9439154593010318E+21</v>
          </cell>
          <cell r="FI31">
            <v>0.5</v>
          </cell>
          <cell r="FJ31">
            <v>0.5</v>
          </cell>
          <cell r="FK31">
            <v>0.5</v>
          </cell>
          <cell r="MK31">
            <v>2.7790091768569292E+21</v>
          </cell>
          <cell r="ML31">
            <v>2.7790091768569292E+21</v>
          </cell>
          <cell r="MM31">
            <v>2.7790091768569198E+21</v>
          </cell>
          <cell r="MN31">
            <v>2.7790091768569198E+21</v>
          </cell>
        </row>
        <row r="32">
          <cell r="B32">
            <v>0.5</v>
          </cell>
          <cell r="C32">
            <v>0.5</v>
          </cell>
          <cell r="D32">
            <v>0.5</v>
          </cell>
          <cell r="F32">
            <v>0.5</v>
          </cell>
          <cell r="G32">
            <v>0.5</v>
          </cell>
          <cell r="H32">
            <v>0.5</v>
          </cell>
          <cell r="J32">
            <v>4.5922650200064926E+19</v>
          </cell>
          <cell r="K32">
            <v>4.5922650200064926E+19</v>
          </cell>
          <cell r="L32">
            <v>4.592265020006477E+19</v>
          </cell>
          <cell r="N32">
            <v>2.7790091768569292E+21</v>
          </cell>
          <cell r="O32">
            <v>2.7790091768569292E+21</v>
          </cell>
          <cell r="P32">
            <v>2.7790091768569198E+21</v>
          </cell>
          <cell r="Q32">
            <v>2.7790091768569292E+21</v>
          </cell>
          <cell r="R32">
            <v>2.7790091768569292E+21</v>
          </cell>
          <cell r="S32">
            <v>2.7790091768569198E+21</v>
          </cell>
          <cell r="CT32">
            <v>9.1088742892719969E+21</v>
          </cell>
          <cell r="CU32">
            <v>9.1088742892719969E+21</v>
          </cell>
          <cell r="CV32">
            <v>9.2738331192429621E+21</v>
          </cell>
          <cell r="CW32">
            <v>9.1088742892719969E+21</v>
          </cell>
          <cell r="CX32">
            <v>9.1088742892719969E+21</v>
          </cell>
          <cell r="CY32">
            <v>8.9439154593010318E+21</v>
          </cell>
          <cell r="FI32">
            <v>0.5</v>
          </cell>
          <cell r="FJ32">
            <v>0.5</v>
          </cell>
          <cell r="FK32">
            <v>0.5</v>
          </cell>
          <cell r="MK32">
            <v>2.7790091768569292E+21</v>
          </cell>
          <cell r="ML32">
            <v>2.7790091768569292E+21</v>
          </cell>
          <cell r="MM32">
            <v>2.7790091768569198E+21</v>
          </cell>
          <cell r="MN32">
            <v>2.7790091768569198E+21</v>
          </cell>
        </row>
        <row r="33">
          <cell r="B33">
            <v>0.5</v>
          </cell>
          <cell r="C33">
            <v>0.5</v>
          </cell>
          <cell r="D33">
            <v>0.5</v>
          </cell>
          <cell r="F33">
            <v>0.5</v>
          </cell>
          <cell r="G33">
            <v>0.5</v>
          </cell>
          <cell r="H33">
            <v>0.5</v>
          </cell>
          <cell r="J33">
            <v>4.5922650200064926E+19</v>
          </cell>
          <cell r="K33">
            <v>4.5922650200064926E+19</v>
          </cell>
          <cell r="L33">
            <v>4.592265020006477E+19</v>
          </cell>
          <cell r="N33">
            <v>2.7790091768569292E+21</v>
          </cell>
          <cell r="O33">
            <v>2.7790091768569292E+21</v>
          </cell>
          <cell r="P33">
            <v>2.7790091768569198E+21</v>
          </cell>
          <cell r="Q33">
            <v>2.7790091768569292E+21</v>
          </cell>
          <cell r="R33">
            <v>2.7790091768569292E+21</v>
          </cell>
          <cell r="S33">
            <v>2.7790091768569198E+21</v>
          </cell>
          <cell r="CT33">
            <v>9.1088742892719969E+21</v>
          </cell>
          <cell r="CU33">
            <v>9.1088742892719969E+21</v>
          </cell>
          <cell r="CV33">
            <v>9.2738331192429621E+21</v>
          </cell>
          <cell r="CW33">
            <v>9.1088742892719969E+21</v>
          </cell>
          <cell r="CX33">
            <v>9.1088742892719969E+21</v>
          </cell>
          <cell r="CY33">
            <v>8.9439154593010318E+21</v>
          </cell>
          <cell r="FI33">
            <v>0.5</v>
          </cell>
          <cell r="FJ33">
            <v>0.5</v>
          </cell>
          <cell r="FK33">
            <v>0.5</v>
          </cell>
          <cell r="MK33">
            <v>2.7790091768569292E+21</v>
          </cell>
          <cell r="ML33">
            <v>2.7790091768569292E+21</v>
          </cell>
          <cell r="MM33">
            <v>2.7790091768569198E+21</v>
          </cell>
          <cell r="MN33">
            <v>2.7790091768569198E+21</v>
          </cell>
        </row>
        <row r="34">
          <cell r="B34">
            <v>0.5</v>
          </cell>
          <cell r="C34">
            <v>0.5</v>
          </cell>
          <cell r="D34">
            <v>0.5</v>
          </cell>
          <cell r="F34">
            <v>0.5</v>
          </cell>
          <cell r="G34">
            <v>0.5</v>
          </cell>
          <cell r="H34">
            <v>0.5</v>
          </cell>
          <cell r="J34">
            <v>4.5922650200064926E+19</v>
          </cell>
          <cell r="K34">
            <v>4.5922650200064926E+19</v>
          </cell>
          <cell r="L34">
            <v>4.592265020006477E+19</v>
          </cell>
          <cell r="N34">
            <v>2.7790091768569292E+21</v>
          </cell>
          <cell r="O34">
            <v>2.7790091768569292E+21</v>
          </cell>
          <cell r="P34">
            <v>2.7790091768569198E+21</v>
          </cell>
          <cell r="Q34">
            <v>2.7790091768569292E+21</v>
          </cell>
          <cell r="R34">
            <v>2.7790091768569292E+21</v>
          </cell>
          <cell r="S34">
            <v>2.7790091768569198E+21</v>
          </cell>
          <cell r="CT34">
            <v>9.1088742892719969E+21</v>
          </cell>
          <cell r="CU34">
            <v>9.1088742892719969E+21</v>
          </cell>
          <cell r="CV34">
            <v>9.2738331192429621E+21</v>
          </cell>
          <cell r="CW34">
            <v>9.1088742892719969E+21</v>
          </cell>
          <cell r="CX34">
            <v>9.1088742892719969E+21</v>
          </cell>
          <cell r="CY34">
            <v>8.9439154593010318E+21</v>
          </cell>
          <cell r="FI34">
            <v>0.5</v>
          </cell>
          <cell r="FJ34">
            <v>0.5</v>
          </cell>
          <cell r="FK34">
            <v>0.5</v>
          </cell>
          <cell r="MK34">
            <v>2.7790091768569292E+21</v>
          </cell>
          <cell r="ML34">
            <v>2.7790091768569292E+21</v>
          </cell>
          <cell r="MM34">
            <v>2.7790091768569198E+21</v>
          </cell>
          <cell r="MN34">
            <v>2.7790091768569198E+21</v>
          </cell>
        </row>
        <row r="35">
          <cell r="B35">
            <v>0.5</v>
          </cell>
          <cell r="C35">
            <v>0.5</v>
          </cell>
          <cell r="D35">
            <v>0.5</v>
          </cell>
          <cell r="F35">
            <v>0.5</v>
          </cell>
          <cell r="G35">
            <v>0.5</v>
          </cell>
          <cell r="H35">
            <v>0.5</v>
          </cell>
          <cell r="J35">
            <v>4.5922650200064926E+19</v>
          </cell>
          <cell r="K35">
            <v>4.5922650200064926E+19</v>
          </cell>
          <cell r="L35">
            <v>4.592265020006477E+19</v>
          </cell>
          <cell r="N35">
            <v>2.7790091768569292E+21</v>
          </cell>
          <cell r="O35">
            <v>2.7790091768569292E+21</v>
          </cell>
          <cell r="P35">
            <v>2.7790091768569198E+21</v>
          </cell>
          <cell r="Q35">
            <v>2.7790091768569292E+21</v>
          </cell>
          <cell r="R35">
            <v>2.7790091768569292E+21</v>
          </cell>
          <cell r="S35">
            <v>2.7790091768569198E+21</v>
          </cell>
          <cell r="CT35">
            <v>9.1088742892719969E+21</v>
          </cell>
          <cell r="CU35">
            <v>9.1088742892719969E+21</v>
          </cell>
          <cell r="CV35">
            <v>9.2738331192429621E+21</v>
          </cell>
          <cell r="CW35">
            <v>9.1088742892719969E+21</v>
          </cell>
          <cell r="CX35">
            <v>9.1088742892719969E+21</v>
          </cell>
          <cell r="CY35">
            <v>8.9439154593010318E+21</v>
          </cell>
          <cell r="DA35">
            <v>0.5</v>
          </cell>
          <cell r="DB35">
            <v>0.5</v>
          </cell>
          <cell r="DC35">
            <v>0.50905484172535165</v>
          </cell>
          <cell r="FI35">
            <v>0.5</v>
          </cell>
          <cell r="FJ35">
            <v>0.5</v>
          </cell>
          <cell r="FK35">
            <v>0.5</v>
          </cell>
          <cell r="HO35">
            <v>0</v>
          </cell>
          <cell r="HP35">
            <v>0</v>
          </cell>
          <cell r="HQ35">
            <v>0</v>
          </cell>
          <cell r="HR35">
            <v>0</v>
          </cell>
          <cell r="HS35">
            <v>0</v>
          </cell>
          <cell r="HT35">
            <v>0</v>
          </cell>
          <cell r="KY35">
            <v>0.5</v>
          </cell>
          <cell r="KZ35">
            <v>0.5</v>
          </cell>
          <cell r="LE35">
            <v>0.5</v>
          </cell>
          <cell r="LF35">
            <v>0.5</v>
          </cell>
          <cell r="LK35">
            <v>0.5</v>
          </cell>
          <cell r="LL35">
            <v>0.5</v>
          </cell>
          <cell r="MK35">
            <v>2.7790091768569292E+21</v>
          </cell>
          <cell r="MM35">
            <v>2.7790091768569198E+21</v>
          </cell>
          <cell r="MN35">
            <v>2.7790091768569198E+21</v>
          </cell>
        </row>
        <row r="68">
          <cell r="AZ68">
            <v>0.86250000000000004</v>
          </cell>
          <cell r="BA68">
            <v>0.86250000000000004</v>
          </cell>
          <cell r="BB68">
            <v>0.86250000000000004</v>
          </cell>
          <cell r="BU68">
            <v>1.4713724475355872</v>
          </cell>
          <cell r="BV68">
            <v>1.4713724475355872</v>
          </cell>
          <cell r="BW68">
            <v>1.4713724475355869</v>
          </cell>
          <cell r="CW68">
            <v>37.710739557586066</v>
          </cell>
          <cell r="CX68">
            <v>37.710739557586066</v>
          </cell>
          <cell r="CY68">
            <v>37.710739557586066</v>
          </cell>
          <cell r="FG68">
            <v>19.999999999999996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Сценарий D+T"/>
      <sheetName val="Сценарий D+T(loop)"/>
      <sheetName val="Сценарий D"/>
    </sheetNames>
    <sheetDataSet>
      <sheetData sheetId="0"/>
      <sheetData sheetId="1">
        <row r="3">
          <cell r="B3">
            <v>1.4713724475355872</v>
          </cell>
        </row>
      </sheetData>
      <sheetData sheetId="2">
        <row r="3">
          <cell r="B3">
            <v>2.3338724475355872</v>
          </cell>
        </row>
      </sheetData>
      <sheetData sheetId="3">
        <row r="3">
          <cell r="B3">
            <v>1.6509428914557933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 для расчета"/>
      <sheetName val="поэлементый расчет систем"/>
    </sheetNames>
    <sheetDataSet>
      <sheetData sheetId="0"/>
      <sheetData sheetId="1">
        <row r="439">
          <cell r="Q439">
            <v>356.041232304559</v>
          </cell>
        </row>
        <row r="440">
          <cell r="Q440">
            <v>656.69946603345534</v>
          </cell>
        </row>
        <row r="441">
          <cell r="Q441">
            <v>1022.9820801133799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125"/>
  <sheetViews>
    <sheetView tabSelected="1" topLeftCell="AH29" zoomScale="85" zoomScaleNormal="85" workbookViewId="0">
      <selection activeCell="AJ40" sqref="AJ40:AK51"/>
    </sheetView>
  </sheetViews>
  <sheetFormatPr defaultColWidth="9.1796875" defaultRowHeight="15.25" x14ac:dyDescent="0.65"/>
  <cols>
    <col min="1" max="1" width="70.54296875" style="8" customWidth="1"/>
    <col min="2" max="2" width="13.1796875" style="8" customWidth="1"/>
    <col min="3" max="3" width="12.26953125" style="8" customWidth="1"/>
    <col min="4" max="4" width="8.26953125" style="8" customWidth="1"/>
    <col min="5" max="5" width="9.453125" style="8" customWidth="1"/>
    <col min="6" max="6" width="10.7265625" style="8" customWidth="1"/>
    <col min="7" max="7" width="11" style="8" customWidth="1"/>
    <col min="8" max="8" width="12.81640625" style="8" customWidth="1"/>
    <col min="9" max="9" width="10.7265625" style="8" customWidth="1"/>
    <col min="10" max="10" width="11.26953125" style="8" customWidth="1"/>
    <col min="11" max="11" width="10.81640625" style="8" customWidth="1"/>
    <col min="12" max="12" width="10.7265625" style="8" customWidth="1"/>
    <col min="13" max="13" width="12" style="8" customWidth="1"/>
    <col min="14" max="14" width="11.54296875" style="8" customWidth="1"/>
    <col min="15" max="15" width="11.7265625" style="8" customWidth="1"/>
    <col min="16" max="18" width="11.26953125" style="8" customWidth="1"/>
    <col min="19" max="20" width="11" style="8" customWidth="1"/>
    <col min="21" max="21" width="11.453125" style="8" customWidth="1"/>
    <col min="22" max="22" width="11.7265625" style="8" customWidth="1"/>
    <col min="23" max="23" width="8.7265625" style="8" customWidth="1"/>
    <col min="24" max="25" width="10" style="8" customWidth="1"/>
    <col min="26" max="26" width="10.81640625" style="8" customWidth="1"/>
    <col min="27" max="27" width="11" style="8" customWidth="1"/>
    <col min="28" max="28" width="11.453125" style="8" customWidth="1"/>
    <col min="29" max="29" width="11.26953125" style="8" customWidth="1"/>
    <col min="30" max="30" width="10.7265625" style="8" customWidth="1"/>
    <col min="31" max="31" width="10.453125" style="8" customWidth="1"/>
    <col min="32" max="32" width="11" style="8" customWidth="1"/>
    <col min="33" max="33" width="11.7265625" style="8" customWidth="1"/>
    <col min="34" max="34" width="10.54296875" style="8" customWidth="1"/>
    <col min="35" max="35" width="10.81640625" style="8" bestFit="1" customWidth="1"/>
    <col min="36" max="37" width="10.81640625" style="52" bestFit="1" customWidth="1"/>
    <col min="38" max="38" width="13.1796875" style="52" customWidth="1"/>
    <col min="39" max="40" width="10.81640625" style="52" bestFit="1" customWidth="1"/>
    <col min="41" max="41" width="11.1796875" style="52" customWidth="1"/>
    <col min="42" max="42" width="10.7265625" style="52" customWidth="1"/>
    <col min="43" max="45" width="10.81640625" style="52" bestFit="1" customWidth="1"/>
    <col min="46" max="47" width="11.26953125" style="52" bestFit="1" customWidth="1"/>
    <col min="48" max="48" width="10.54296875" style="52" bestFit="1" customWidth="1"/>
    <col min="49" max="49" width="10.453125" style="52" customWidth="1"/>
    <col min="50" max="69" width="9.1796875" style="52"/>
    <col min="70" max="16384" width="9.1796875" style="8"/>
  </cols>
  <sheetData>
    <row r="1" spans="2:49" x14ac:dyDescent="0.65">
      <c r="B1" s="10" t="s">
        <v>165</v>
      </c>
      <c r="C1" s="403" t="s">
        <v>286</v>
      </c>
      <c r="D1" s="65"/>
      <c r="S1" s="196" t="s">
        <v>364</v>
      </c>
      <c r="T1" s="196" t="s">
        <v>365</v>
      </c>
      <c r="U1" s="196" t="s">
        <v>366</v>
      </c>
      <c r="V1" s="196" t="s">
        <v>19</v>
      </c>
      <c r="Z1" s="14"/>
      <c r="AA1" s="14"/>
      <c r="AG1" s="229" t="s">
        <v>419</v>
      </c>
      <c r="AL1" s="8"/>
      <c r="AM1" s="8"/>
      <c r="AN1" s="8"/>
      <c r="AO1" s="8"/>
      <c r="AP1" s="8"/>
      <c r="AQ1" s="8"/>
      <c r="AR1" s="8"/>
      <c r="AS1" s="8"/>
      <c r="AT1" s="176" t="s">
        <v>362</v>
      </c>
      <c r="AU1" s="176" t="s">
        <v>363</v>
      </c>
    </row>
    <row r="2" spans="2:49" x14ac:dyDescent="0.65">
      <c r="L2" s="233"/>
      <c r="R2" s="10" t="s">
        <v>367</v>
      </c>
      <c r="S2" s="208">
        <f>3.93*10^-3</f>
        <v>3.9300000000000003E-3</v>
      </c>
      <c r="T2" s="209">
        <v>1</v>
      </c>
      <c r="U2" s="209">
        <v>-0.24199999999999999</v>
      </c>
      <c r="V2" s="209">
        <v>-1.5129999999999999</v>
      </c>
      <c r="Z2" s="191">
        <v>2.5</v>
      </c>
      <c r="AA2" s="65" t="s">
        <v>376</v>
      </c>
      <c r="AB2" s="196" t="s">
        <v>381</v>
      </c>
      <c r="AD2" s="209"/>
      <c r="AE2" s="6" t="s">
        <v>371</v>
      </c>
      <c r="AF2" s="187">
        <f>S11*K21^T11*C17^U11*C25%^V11*10^20*K22</f>
        <v>1.0464031778456965E+18</v>
      </c>
      <c r="AG2" s="230">
        <f>AF2/10^19</f>
        <v>0.10464031778456966</v>
      </c>
      <c r="AI2" s="231" t="s">
        <v>373</v>
      </c>
      <c r="AJ2" s="215">
        <f>AF3/C13</f>
        <v>4.1228915774555591E-3</v>
      </c>
      <c r="AL2" s="38" t="s">
        <v>361</v>
      </c>
      <c r="AM2" s="184">
        <f>IF('[1]баланс тритий'!B95&gt;0, '[1]баланс тритий'!B95, 0)</f>
        <v>0.19183310501153925</v>
      </c>
      <c r="AN2" s="8"/>
      <c r="AO2" s="7" t="s">
        <v>331</v>
      </c>
      <c r="AP2" s="216">
        <f>[1]результаты!AM74</f>
        <v>0.99999999999999978</v>
      </c>
      <c r="AQ2" s="404" t="str">
        <f t="shared" ref="AQ2:AQ7" si="0">IF(AP2&gt;1, "ПРЕВЫЩЕНИЕ", "НОРМ")</f>
        <v>НОРМ</v>
      </c>
      <c r="AR2" s="8"/>
      <c r="AS2" s="240" t="s">
        <v>20</v>
      </c>
      <c r="AT2" s="405">
        <f>'[2]динамика изотопов в ТЦ'!HO6</f>
        <v>524288</v>
      </c>
      <c r="AU2" s="406">
        <f>'[2]динамика изотопов в ТЦ'!HO35</f>
        <v>0</v>
      </c>
    </row>
    <row r="3" spans="2:49" ht="16.5" customHeight="1" x14ac:dyDescent="0.65">
      <c r="B3" s="10" t="s">
        <v>293</v>
      </c>
      <c r="C3" s="191">
        <v>270</v>
      </c>
      <c r="D3" s="21" t="s">
        <v>0</v>
      </c>
      <c r="J3" s="10" t="s">
        <v>327</v>
      </c>
      <c r="K3" s="367">
        <v>0.91</v>
      </c>
      <c r="L3" s="244" t="s">
        <v>685</v>
      </c>
      <c r="M3" s="10" t="s">
        <v>504</v>
      </c>
      <c r="N3" s="498">
        <f>IF(C11=8*10^19,IF($AG$23=3,'скан параметров'!BJ5,(IF($AG$23=2.5,'скан параметров'!BI5,(IF($AG$23=2,'скан параметров'!BH5,(IF($AG$23=1.5,'скан параметров'!BG5,'скан параметров'!BF5))))))),IF(C11=7*10^19,IF($AG$23=3,'скан параметров'!BJ4,(IF($AG$23=2.5,'скан параметров'!BI4,(IF($AG$23=2,'скан параметров'!BH4,(IF($AG$23=1.5,'скан параметров'!BG4,'скан параметров'!BF4))))))),IF($AG$23=3,'скан параметров'!BJ3,(IF($AG$23=2.5,'скан параметров'!BI3,(IF($AG$23=2,'скан параметров'!BH3,(IF($AG$23=1.5,'скан параметров'!BG3,'скан параметров'!BF3)))))))))</f>
        <v>2.779884220994032</v>
      </c>
      <c r="R3" s="232" t="s">
        <v>368</v>
      </c>
      <c r="S3" s="210">
        <f>5.47*10^-3</f>
        <v>5.47E-3</v>
      </c>
      <c r="T3" s="211">
        <v>-0.40100000000000002</v>
      </c>
      <c r="U3" s="211">
        <v>1.6739999999999999</v>
      </c>
      <c r="V3" s="211">
        <v>-0.36699999999999999</v>
      </c>
      <c r="Z3" s="191">
        <v>2</v>
      </c>
      <c r="AA3" s="65" t="s">
        <v>375</v>
      </c>
      <c r="AB3" s="396">
        <f>IF(C11=8*10^19,IF($AG$23=3,'скан параметров'!DM5,(IF($AG$23=2.5,'скан параметров'!DL5,(IF($AG$23=2,'скан параметров'!DK5,(IF($AG$23=1.5,'скан параметров'!DJ5,'скан параметров'!DI5))))))),IF(C11=7*10^19,IF($AG$23=3,'скан параметров'!DM4,(IF($AG$23=2.5,'скан параметров'!DL4,(IF($AG$23=2,'скан параметров'!DK4,(IF($AG$23=1.5,'скан параметров'!DJ4,'скан параметров'!DI4))))))),IF($AG$23=3,'скан параметров'!DM3,(IF($AG$23=2.5,'скан параметров'!DL3,(IF($AG$23=2,'скан параметров'!DK3,(IF($AG$23=1.5,'скан параметров'!DJ3,'скан параметров'!DI3)))))))))</f>
        <v>1.006228729514012</v>
      </c>
      <c r="AC3" s="197">
        <f>1+(AF3*Z3*(Z3-1))/C11</f>
        <v>1.0063111369241429</v>
      </c>
      <c r="AD3" s="211"/>
      <c r="AE3" s="6" t="s">
        <v>373</v>
      </c>
      <c r="AF3" s="61">
        <f>(AF5+AF4)*F25/$K$5</f>
        <v>1.8933410772428477E+17</v>
      </c>
      <c r="AG3" s="230">
        <f>AF3/10^19</f>
        <v>1.8933410772428477E-2</v>
      </c>
      <c r="AI3" s="83" t="s">
        <v>421</v>
      </c>
      <c r="AJ3" s="8"/>
      <c r="AL3" s="38" t="s">
        <v>433</v>
      </c>
      <c r="AM3" s="170">
        <f>IF('[1]баланс тритий'!E95&gt;0, '[1]баланс тритий'!E95, 0)</f>
        <v>0.19183310501153925</v>
      </c>
      <c r="AN3" s="8"/>
      <c r="AO3" s="8"/>
      <c r="AP3" s="217">
        <f>[1]результаты!AN74</f>
        <v>0.99999999999999978</v>
      </c>
      <c r="AQ3" s="404" t="str">
        <f t="shared" si="0"/>
        <v>НОРМ</v>
      </c>
      <c r="AR3" s="8"/>
      <c r="AS3" s="10"/>
      <c r="AT3" s="405">
        <f>'[2]динамика изотопов в ТЦ'!HP6</f>
        <v>524288</v>
      </c>
      <c r="AU3" s="406">
        <f>'[2]динамика изотопов в ТЦ'!HP35</f>
        <v>0</v>
      </c>
    </row>
    <row r="4" spans="2:49" x14ac:dyDescent="0.65">
      <c r="B4" s="10" t="s">
        <v>294</v>
      </c>
      <c r="C4" s="191">
        <v>286</v>
      </c>
      <c r="D4" s="65" t="s">
        <v>3</v>
      </c>
      <c r="J4" s="10" t="s">
        <v>328</v>
      </c>
      <c r="K4" s="185">
        <f>1-K3</f>
        <v>8.9999999999999969E-2</v>
      </c>
      <c r="L4" s="233"/>
      <c r="M4" s="240" t="s">
        <v>424</v>
      </c>
      <c r="N4" s="283">
        <f>N5*N6^(2-N9)*N7^N9*(2/N8)^(2-N9)</f>
        <v>56.56854249492379</v>
      </c>
      <c r="O4" s="22" t="s">
        <v>423</v>
      </c>
      <c r="Q4" s="11"/>
      <c r="R4" s="233" t="s">
        <v>410</v>
      </c>
      <c r="S4" s="208">
        <f>3.2*10^-2</f>
        <v>3.2000000000000001E-2</v>
      </c>
      <c r="T4" s="209">
        <v>0.122</v>
      </c>
      <c r="U4" s="209">
        <v>0.53700000000000003</v>
      </c>
      <c r="V4" s="209">
        <v>-0.20399999999999999</v>
      </c>
      <c r="Z4" s="191">
        <v>10</v>
      </c>
      <c r="AA4" s="65" t="s">
        <v>312</v>
      </c>
      <c r="AB4" s="396">
        <f>IF(C11=8*10^19,IF($AG$23=3,'скан параметров'!DR5,(IF($AG$23=2.5,'скан параметров'!DQ5,(IF($AG$23=2,'скан параметров'!DP5,(IF($AG$23=1.5,'скан параметров'!DO5,'скан параметров'!DN5))))))),IF(C11=7*10^19,IF($AG$23=3,'скан параметров'!DR4,(IF($AG$23=2.5,'скан параметров'!DQ4,(IF($AG$23=2,'скан параметров'!DP4,(IF($AG$23=1.5,'скан параметров'!DO4,'скан параметров'!DN4))))))),IF($AG$23=3,'скан параметров'!DR3,(IF($AG$23=2.5,'скан параметров'!DQ3,(IF($AG$23=2,'скан параметров'!DP3,(IF($AG$23=1.5,'скан параметров'!DO3,'скан параметров'!DN3)))))))))</f>
        <v>2.7549816856675289</v>
      </c>
      <c r="AC4" s="197">
        <f>1+(AF6*Z4*(Z4-1))/C11</f>
        <v>2.7549816856675289</v>
      </c>
      <c r="AD4" s="209"/>
      <c r="AE4" s="6" t="s">
        <v>386</v>
      </c>
      <c r="AF4" s="187">
        <f>S9*K21^T9*C17^U9*C25%^V9*10^20*K22</f>
        <v>6.1123854304562815E+19</v>
      </c>
      <c r="AG4" s="225">
        <f>IF(C11=8*10^19,IF($AG$23=3,'скан параметров'!DW5,(IF($AG$23=2.5,'скан параметров'!DV5,(IF($AG$23=2,'скан параметров'!DU5,(IF($AG$23=1.5,'скан параметров'!DT5,'скан параметров'!DS5))))))),IF(C11=7*10^19,IF($AG$23=3,'скан параметров'!DW4,(IF($AG$23=2.5,'скан параметров'!DV4,(IF($AG$23=2,'скан параметров'!DU4,(IF($AG$23=1.5,'скан параметров'!DT4,'скан параметров'!DS4))))))),IF($AG$23=3,'скан параметров'!DW3,(IF($AG$23=2.5,'скан параметров'!DV3,(IF($AG$23=2,'скан параметров'!DU3,(IF($AG$23=1.5,'скан параметров'!DT3,'скан параметров'!DS3)))))))))*10^19</f>
        <v>6.158719992557681E+19</v>
      </c>
      <c r="AI4" s="231" t="s">
        <v>373</v>
      </c>
      <c r="AJ4" s="215">
        <f>AF3/C11</f>
        <v>3.1555684620714129E-3</v>
      </c>
      <c r="AL4" s="8"/>
      <c r="AM4" s="171">
        <f>IF('[1]баланс тритий'!H95&gt;0, '[1]баланс тритий'!H95, 0)</f>
        <v>0.21524495826678408</v>
      </c>
      <c r="AN4" s="8"/>
      <c r="AO4" s="8"/>
      <c r="AP4" s="218">
        <f>[1]результаты!AO74</f>
        <v>1.0000000000000004</v>
      </c>
      <c r="AQ4" s="404" t="str">
        <f t="shared" si="0"/>
        <v>НОРМ</v>
      </c>
      <c r="AR4" s="8"/>
      <c r="AS4" s="10"/>
      <c r="AT4" s="405">
        <f>'[2]динамика изотопов в ТЦ'!HQ6</f>
        <v>589824</v>
      </c>
      <c r="AU4" s="406">
        <f>'[2]динамика изотопов в ТЦ'!HQ35</f>
        <v>0</v>
      </c>
    </row>
    <row r="5" spans="2:49" ht="16.5" customHeight="1" x14ac:dyDescent="0.65">
      <c r="B5" s="10" t="s">
        <v>317</v>
      </c>
      <c r="C5" s="165">
        <v>133</v>
      </c>
      <c r="D5" s="21" t="s">
        <v>0</v>
      </c>
      <c r="J5" s="10" t="s">
        <v>314</v>
      </c>
      <c r="K5" s="335">
        <f>K3*C5</f>
        <v>121.03</v>
      </c>
      <c r="L5" s="21" t="s">
        <v>0</v>
      </c>
      <c r="M5" s="7" t="s">
        <v>425</v>
      </c>
      <c r="N5" s="199">
        <v>0.8</v>
      </c>
      <c r="O5" s="65"/>
      <c r="R5" s="232" t="s">
        <v>369</v>
      </c>
      <c r="S5" s="210">
        <f>6.98*10^1</f>
        <v>69.800000000000011</v>
      </c>
      <c r="T5" s="211">
        <v>-4.8000000000000001E-2</v>
      </c>
      <c r="U5" s="211">
        <v>0.35</v>
      </c>
      <c r="V5" s="211">
        <v>9.4E-2</v>
      </c>
      <c r="Z5" s="191">
        <v>4</v>
      </c>
      <c r="AA5" s="65" t="s">
        <v>378</v>
      </c>
      <c r="AB5" s="363">
        <f>ASTRA!C48</f>
        <v>1.099940184001825</v>
      </c>
      <c r="AC5" s="197">
        <f>1+(AF7*Z5*(Z5-1))/C11</f>
        <v>1.099940184001825</v>
      </c>
      <c r="AD5" s="211"/>
      <c r="AE5" s="6" t="s">
        <v>377</v>
      </c>
      <c r="AF5" s="188">
        <f>C16*10^6/(((17.589)*10^6)*1.6*10^(-19))</f>
        <v>1.0775846647743347E+19</v>
      </c>
      <c r="AG5" s="225">
        <f>IF(C11=8*10^19,IF($AG$23=3,'скан параметров'!EB5,(IF($AG$23=2.5,'скан параметров'!EA5,(IF($AG$23=2,'скан параметров'!DZ5,(IF($AG$23=1.5,'скан параметров'!DY5,'скан параметров'!DX5))))))),IF(C11=7*10^19,IF($AG$23=3,'скан параметров'!EB4,(IF($AG$23=2.5,'скан параметров'!EA4,(IF($AG$23=2,'скан параметров'!DZ4,(IF($AG$23=1.5,'скан параметров'!DY4,'скан параметров'!DX4))))))),IF($AG$23=3,'скан параметров'!EB3,(IF($AG$23=2.5,'скан параметров'!EA3,(IF($AG$23=2,'скан параметров'!DZ3,(IF($AG$23=1.5,'скан параметров'!DY3,'скан параметров'!DX3)))))))))*10^19</f>
        <v>1.0769135416740381E+19</v>
      </c>
      <c r="AI5" s="83" t="s">
        <v>422</v>
      </c>
      <c r="AJ5" s="8"/>
      <c r="AL5" s="8"/>
      <c r="AM5" s="184">
        <f>IF('[1]баланс дейтерий'!B95&gt;0, '[1]баланс дейтерий'!B95, 0)</f>
        <v>0.1918331050115393</v>
      </c>
      <c r="AN5" s="8"/>
      <c r="AO5" s="272" t="s">
        <v>332</v>
      </c>
      <c r="AP5" s="216">
        <f>[1]результаты!AM83</f>
        <v>0.99999999999999978</v>
      </c>
      <c r="AQ5" s="404" t="str">
        <f t="shared" si="0"/>
        <v>НОРМ</v>
      </c>
      <c r="AR5" s="8"/>
      <c r="AS5" s="238" t="s">
        <v>19</v>
      </c>
      <c r="AT5" s="405">
        <f>'[2]динамика изотопов в ТЦ'!HR6</f>
        <v>524288</v>
      </c>
      <c r="AU5" s="406">
        <f>'[2]динамика изотопов в ТЦ'!HR35</f>
        <v>0</v>
      </c>
    </row>
    <row r="6" spans="2:49" ht="16.5" customHeight="1" x14ac:dyDescent="0.65">
      <c r="B6" s="10" t="s">
        <v>316</v>
      </c>
      <c r="C6" s="165">
        <v>180</v>
      </c>
      <c r="D6" s="65" t="s">
        <v>3</v>
      </c>
      <c r="J6" s="10" t="s">
        <v>315</v>
      </c>
      <c r="K6" s="186">
        <f>K4*C5</f>
        <v>11.969999999999995</v>
      </c>
      <c r="L6" s="21" t="s">
        <v>0</v>
      </c>
      <c r="M6" s="7" t="s">
        <v>429</v>
      </c>
      <c r="N6" s="281">
        <v>5</v>
      </c>
      <c r="O6" s="244" t="s">
        <v>430</v>
      </c>
      <c r="R6" s="232" t="s">
        <v>370</v>
      </c>
      <c r="S6" s="210">
        <f>2.33*10^2</f>
        <v>233</v>
      </c>
      <c r="T6" s="211">
        <v>-7.4999999999999997E-2</v>
      </c>
      <c r="U6" s="211">
        <v>0.33500000000000002</v>
      </c>
      <c r="V6" s="211">
        <v>0.2</v>
      </c>
      <c r="Z6" s="176"/>
      <c r="AA6" s="210"/>
      <c r="AB6" s="211"/>
      <c r="AC6" s="211"/>
      <c r="AD6" s="211"/>
      <c r="AE6" s="6" t="s">
        <v>374</v>
      </c>
      <c r="AF6" s="188">
        <f>C11*(AB4-1)/Z4/(Z4-1)</f>
        <v>1.1699877904450194E+18</v>
      </c>
      <c r="AG6" s="230"/>
      <c r="AI6" s="77" t="s">
        <v>373</v>
      </c>
      <c r="AJ6" s="234">
        <f>C11*AJ8</f>
        <v>2.4E+17</v>
      </c>
      <c r="AL6" s="8"/>
      <c r="AM6" s="170">
        <f>IF('[1]баланс дейтерий'!E95&lt;0, 0, '[1]баланс дейтерий'!E95)</f>
        <v>0.1918331050115393</v>
      </c>
      <c r="AN6" s="8"/>
      <c r="AO6" s="8"/>
      <c r="AP6" s="217">
        <f>[1]результаты!AN83</f>
        <v>0.99999999999999978</v>
      </c>
      <c r="AQ6" s="404" t="str">
        <f t="shared" si="0"/>
        <v>НОРМ</v>
      </c>
      <c r="AR6" s="8"/>
      <c r="AS6" s="8"/>
      <c r="AT6" s="405">
        <f>'[2]динамика изотопов в ТЦ'!HS6</f>
        <v>524288</v>
      </c>
      <c r="AU6" s="256">
        <f>'[2]динамика изотопов в ТЦ'!HS35</f>
        <v>0</v>
      </c>
    </row>
    <row r="7" spans="2:49" ht="16.5" customHeight="1" x14ac:dyDescent="0.65">
      <c r="B7" s="10" t="s">
        <v>299</v>
      </c>
      <c r="C7" s="192">
        <f>PI()*0.5*(3.25^2-2.25^2)*2</f>
        <v>17.27875959474386</v>
      </c>
      <c r="D7" s="21" t="s">
        <v>338</v>
      </c>
      <c r="E7" s="10" t="s">
        <v>705</v>
      </c>
      <c r="F7" s="40">
        <f>(PI()*0.5*(3.25)*2+PI()*0.5*(2.25)*2+PI()*(3.25^2-2.25^2))*2</f>
        <v>69.115038378975441</v>
      </c>
      <c r="G7" s="8" t="s">
        <v>706</v>
      </c>
      <c r="H7" s="8" t="s">
        <v>3</v>
      </c>
      <c r="J7" s="10" t="s">
        <v>337</v>
      </c>
      <c r="K7" s="186">
        <f>C6*K3^2</f>
        <v>149.05800000000002</v>
      </c>
      <c r="L7" s="65" t="s">
        <v>3</v>
      </c>
      <c r="M7" s="7" t="s">
        <v>428</v>
      </c>
      <c r="N7" s="281">
        <v>5</v>
      </c>
      <c r="O7" s="244" t="s">
        <v>431</v>
      </c>
      <c r="R7" s="233" t="s">
        <v>411</v>
      </c>
      <c r="S7" s="212">
        <v>933</v>
      </c>
      <c r="T7" s="209">
        <v>0.55000000000000004</v>
      </c>
      <c r="U7" s="209">
        <v>-8.2000000000000003E-2</v>
      </c>
      <c r="V7" s="209">
        <v>0.91200000000000003</v>
      </c>
      <c r="Z7" s="30" t="s">
        <v>382</v>
      </c>
      <c r="AA7" s="208"/>
      <c r="AB7" s="196" t="s">
        <v>313</v>
      </c>
      <c r="AC7" s="209"/>
      <c r="AD7" s="209"/>
      <c r="AE7" s="6" t="s">
        <v>383</v>
      </c>
      <c r="AF7" s="188">
        <f>C11*(AB5-1)/Z5/(Z5-1)</f>
        <v>4.9970092000912512E+17</v>
      </c>
      <c r="AG7" s="176" t="s">
        <v>384</v>
      </c>
      <c r="AJ7" s="8"/>
      <c r="AL7" s="8"/>
      <c r="AM7" s="171">
        <f>IF('[1]баланс дейтерий'!H95&lt;0, 0, '[1]баланс дейтерий'!H95)</f>
        <v>0.16842125175629441</v>
      </c>
      <c r="AN7" s="8"/>
      <c r="AO7" s="8"/>
      <c r="AP7" s="218">
        <f>[1]результаты!AO83</f>
        <v>0.99999999999999978</v>
      </c>
      <c r="AQ7" s="404" t="str">
        <f t="shared" si="0"/>
        <v>НОРМ</v>
      </c>
      <c r="AR7" s="8"/>
      <c r="AS7" s="8"/>
      <c r="AT7" s="405">
        <f>'[2]динамика изотопов в ТЦ'!HT6</f>
        <v>0</v>
      </c>
      <c r="AU7" s="406">
        <f>'[2]динамика изотопов в ТЦ'!HT35</f>
        <v>0</v>
      </c>
    </row>
    <row r="8" spans="2:49" ht="15.75" customHeight="1" x14ac:dyDescent="0.65">
      <c r="B8" s="10" t="s">
        <v>321</v>
      </c>
      <c r="C8" s="361">
        <f>ASTRA!C9</f>
        <v>2</v>
      </c>
      <c r="D8" s="21" t="s">
        <v>7</v>
      </c>
      <c r="F8" s="58">
        <v>0.7</v>
      </c>
      <c r="G8" s="534">
        <f>C13/C11</f>
        <v>0.76537750333441223</v>
      </c>
      <c r="M8" s="7" t="s">
        <v>427</v>
      </c>
      <c r="N8" s="281">
        <v>1</v>
      </c>
      <c r="O8" s="244" t="s">
        <v>426</v>
      </c>
      <c r="R8" s="232" t="s">
        <v>385</v>
      </c>
      <c r="S8" s="210">
        <v>8.24</v>
      </c>
      <c r="T8" s="211">
        <v>0.02</v>
      </c>
      <c r="U8" s="211">
        <v>0.64100000000000001</v>
      </c>
      <c r="V8" s="211">
        <v>-7.9000000000000001E-2</v>
      </c>
      <c r="Z8" s="396">
        <f>IF(C11=8*10^19,IF($AG$23=3,'скан параметров'!CX5,(IF($AG$23=2.5,'скан параметров'!CW5,(IF($AG$23=2,'скан параметров'!CV5,(IF($AG$23=1.5,'скан параметров'!CU5,'скан параметров'!CT5))))))),IF(C11=7*10^19,IF($AG$23=3,'скан параметров'!CX4,(IF($AG$23=2.5,'скан параметров'!CW4,(IF($AG$23=2,'скан параметров'!CV4,(IF($AG$23=1.5,'скан параметров'!CU4,'скан параметров'!CT4))))))),IF($AG$23=3,'скан параметров'!CX3,(IF($AG$23=2.5,'скан параметров'!CW3,(IF($AG$23=2,'скан параметров'!CV3,(IF($AG$23=1.5,'скан параметров'!CU3,'скан параметров'!CT3)))))))))</f>
        <v>3.7482382067662781</v>
      </c>
      <c r="AA8" s="210"/>
      <c r="AB8" s="189">
        <f>1+(AF3*Z3*(Z3-1)+ AF7*Z5*(Z5-1)+AF6*Z4*(Z4-1))/C11</f>
        <v>2.8612330065934968</v>
      </c>
      <c r="AD8" s="211"/>
      <c r="AF8" s="204"/>
      <c r="AG8" s="204"/>
      <c r="AI8" s="204"/>
      <c r="AJ8" s="83">
        <f>0.4%</f>
        <v>4.0000000000000001E-3</v>
      </c>
      <c r="AK8" s="204"/>
      <c r="AU8" s="38" t="s">
        <v>420</v>
      </c>
    </row>
    <row r="9" spans="2:49" ht="15" customHeight="1" x14ac:dyDescent="0.65">
      <c r="B9" s="25" t="s">
        <v>416</v>
      </c>
      <c r="C9" s="166">
        <f>IF(K35=0, IF(C1="ДЕМО-ТИН", K9, IF(C1="ТИН-СТ", 0.8, 10)), IF(AH30=1, AG19, IF(AH32=0.2, AG18, AG17)))</f>
        <v>20</v>
      </c>
      <c r="D9" s="8" t="s">
        <v>609</v>
      </c>
      <c r="E9" s="404" t="str">
        <f>IF('[2]динамика изотопов в ТЦ'!$FB$5&gt;C9, "ПРЕВЫЩЕНИЕ", "НОРМ")</f>
        <v>НОРМ</v>
      </c>
      <c r="G9" s="302">
        <f>'[2]динамика изотопов в ТЦ'!$FG$68</f>
        <v>19.999999999999996</v>
      </c>
      <c r="J9" s="323" t="s">
        <v>686</v>
      </c>
      <c r="K9" s="185">
        <f>AG22</f>
        <v>20</v>
      </c>
      <c r="L9" s="8" t="s">
        <v>609</v>
      </c>
      <c r="M9" s="7" t="s">
        <v>432</v>
      </c>
      <c r="N9" s="199">
        <v>0.5</v>
      </c>
      <c r="R9" s="235" t="s">
        <v>412</v>
      </c>
      <c r="S9" s="213">
        <f>2.21*10^-4</f>
        <v>2.2100000000000001E-4</v>
      </c>
      <c r="T9" s="214">
        <v>-0.75600000000000001</v>
      </c>
      <c r="U9" s="214">
        <v>-0.26900000000000002</v>
      </c>
      <c r="V9" s="214">
        <v>-2.3490000000000002</v>
      </c>
      <c r="Z9" s="30" t="s">
        <v>389</v>
      </c>
      <c r="AA9" s="213"/>
      <c r="AB9" s="200">
        <f>IF(C11=8*10^19,IF($AG$23=3,'скан параметров'!DH5,(IF($AG$23=2.5,'скан параметров'!DG5,(IF($AG$23=2,'скан параметров'!DF5,(IF($AG$23=1.5,'скан параметров'!DE5,'скан параметров'!DD5))))))),IF(C11=7*10^19,IF($AG$23=3,'скан параметров'!DH4,(IF($AG$23=2.5,'скан параметров'!DG4,(IF($AG$23=2,'скан параметров'!DF4,(IF($AG$23=1.5,'скан параметров'!DE4,'скан параметров'!DD4))))))),IF($AG$23=3,'скан параметров'!DH3,(IF($AG$23=2.5,'скан параметров'!DG3,(IF($AG$23=2,'скан параметров'!DF3,(IF($AG$23=1.5,'скан параметров'!DE3,'скан параметров'!DD3)))))))))</f>
        <v>2.8612596587687991</v>
      </c>
      <c r="AC9" s="214"/>
      <c r="AD9" s="214"/>
      <c r="AF9" s="204"/>
      <c r="AG9" s="204"/>
      <c r="AI9" s="204"/>
      <c r="AJ9" s="220">
        <f>C11*0.85</f>
        <v>5.1E+19</v>
      </c>
      <c r="AK9" s="204"/>
    </row>
    <row r="10" spans="2:49" ht="15" customHeight="1" x14ac:dyDescent="0.35">
      <c r="F10" s="83" t="s">
        <v>501</v>
      </c>
      <c r="G10" s="197">
        <f>K12/C11</f>
        <v>0.76234273055572777</v>
      </c>
      <c r="K10" s="484"/>
      <c r="R10" s="232" t="s">
        <v>372</v>
      </c>
      <c r="S10" s="210">
        <f>2.16*10^-2</f>
        <v>2.1600000000000001E-2</v>
      </c>
      <c r="T10" s="211">
        <v>1.4E-2</v>
      </c>
      <c r="U10" s="211">
        <v>1.2749999999999999</v>
      </c>
      <c r="V10" s="211">
        <v>-0.75600000000000001</v>
      </c>
      <c r="Z10" s="396">
        <f>IF(C11=8*10^19,IF($AG$23=3,'скан параметров'!DC5,(IF($AG$23=2.5,'скан параметров'!DB5,(IF($AG$23=2,'скан параметров'!DA5,(IF($AG$23=1.5,'скан параметров'!CZ5,'скан параметров'!CY5))))))),IF(C11=7*10^19,IF($AG$23=3,'скан параметров'!DC4,(IF($AG$23=2.5,'скан параметров'!DB4,(IF($AG$23=2,'скан параметров'!DA4,(IF($AG$23=1.5,'скан параметров'!CZ4,'скан параметров'!CY4))))))),IF($AG$23=3,'скан параметров'!DC3,(IF($AG$23=2.5,'скан параметров'!DB3,(IF($AG$23=2,'скан параметров'!DA3,(IF($AG$23=1.5,'скан параметров'!CZ3,'скан параметров'!CY3)))))))))</f>
        <v>0.64880621227576285</v>
      </c>
      <c r="AA10" s="210"/>
      <c r="AB10" s="197">
        <f>C13/C11+(AF3*Z3*Z3+ AF7*Z5*Z5+AF6*Z4*Z4)/C11</f>
        <v>2.8612330065934968</v>
      </c>
      <c r="AC10" s="211"/>
      <c r="AD10" s="365"/>
      <c r="AF10" s="535"/>
      <c r="AG10" s="535"/>
      <c r="AI10" s="407"/>
      <c r="AJ10" s="215">
        <f>AJ6/AJ9</f>
        <v>4.7058823529411761E-3</v>
      </c>
      <c r="AK10" s="407"/>
    </row>
    <row r="11" spans="2:49" ht="14.25" customHeight="1" x14ac:dyDescent="0.65">
      <c r="B11" s="147" t="s">
        <v>320</v>
      </c>
      <c r="C11" s="362">
        <f>AG24</f>
        <v>6E+19</v>
      </c>
      <c r="D11" s="21" t="s">
        <v>1</v>
      </c>
      <c r="F11" s="83" t="s">
        <v>656</v>
      </c>
      <c r="G11" s="197">
        <f>K11/C13</f>
        <v>0.73177305846285567</v>
      </c>
      <c r="J11" s="30" t="s">
        <v>402</v>
      </c>
      <c r="K11" s="51">
        <f>P12*10^20</f>
        <v>3.3604958189621244E+19</v>
      </c>
      <c r="L11" s="21" t="s">
        <v>660</v>
      </c>
      <c r="M11" s="493">
        <f>IF(C11=8*10^19,IF($AG$23=3,'скан параметров'!BT5,(IF($AG$23=2.5,'скан параметров'!BS5,(IF($AG$23=2,'скан параметров'!BR5,(IF($AG$23=1.5,'скан параметров'!BQ5,'скан параметров'!BP5))))))),IF(C11=7*10^19,IF($AG$23=3,'скан параметров'!BT4,(IF($AG$23=2.5,'скан параметров'!BS4,(IF($AG$23=2,'скан параметров'!BR4,(IF($AG$23=1.5,'скан параметров'!BQ4,'скан параметров'!BP4))))))),IF($AG$23=3,'скан параметров'!BT3,(IF($AG$23=2.5,'скан параметров'!BS3,(IF($AG$23=2,'скан параметров'!BR3,(IF($AG$23=1.5,'скан параметров'!BQ3,'скан параметров'!BP3)))))))))*10^19</f>
        <v>3.3678538161267421E+19</v>
      </c>
      <c r="N11" s="21" t="s">
        <v>1</v>
      </c>
      <c r="P11" s="197"/>
      <c r="R11" s="235" t="s">
        <v>413</v>
      </c>
      <c r="S11" s="213">
        <f>1.03*10^-6</f>
        <v>1.0299999999999999E-6</v>
      </c>
      <c r="T11" s="214">
        <v>-0.68600000000000005</v>
      </c>
      <c r="U11" s="214">
        <v>0.182</v>
      </c>
      <c r="V11" s="214">
        <v>-2.266</v>
      </c>
      <c r="Z11" s="236"/>
      <c r="AA11" s="213"/>
      <c r="AB11" s="214"/>
      <c r="AC11" s="214"/>
      <c r="AD11" s="214"/>
      <c r="AF11" s="204"/>
      <c r="AG11" s="204"/>
      <c r="AH11" s="204"/>
      <c r="AI11" s="204"/>
      <c r="AJ11" s="204"/>
      <c r="AK11" s="204"/>
    </row>
    <row r="12" spans="2:49" ht="13.5" customHeight="1" x14ac:dyDescent="0.65">
      <c r="B12" s="10" t="s">
        <v>313</v>
      </c>
      <c r="C12" s="193">
        <f>AB8</f>
        <v>2.8612330065934968</v>
      </c>
      <c r="E12" s="7"/>
      <c r="J12" s="161" t="s">
        <v>318</v>
      </c>
      <c r="K12" s="61">
        <f>S4*K21^T4*C17^U4*C25%^V4*10^20</f>
        <v>4.5740563833343664E+19</v>
      </c>
      <c r="L12" s="21" t="s">
        <v>1</v>
      </c>
      <c r="M12" s="493">
        <f>IF(C11=8*10^19,IF($AG$23=3,'скан параметров'!BO5,(IF($AG$23=2.5,'скан параметров'!BN5,(IF($AG$23=2,'скан параметров'!BM5,(IF($AG$23=1.5,'скан параметров'!BL5,'скан параметров'!BK5))))))),IF(C11=7*10^19,IF($AG$23=3,'скан параметров'!BO4,(IF($AG$23=2.5,'скан параметров'!BN4,(IF($AG$23=2,'скан параметров'!BM4,(IF($AG$23=1.5,'скан параметров'!BL4,'скан параметров'!BK4))))))),IF($AG$23=3,'скан параметров'!BO3,(IF($AG$23=2.5,'скан параметров'!BN3,(IF($AG$23=2,'скан параметров'!BM3,(IF($AG$23=1.5,'скан параметров'!BL3,'скан параметров'!BK3)))))))))*10^19</f>
        <v>4.5802494080564969E+19</v>
      </c>
      <c r="N12" s="21" t="s">
        <v>1</v>
      </c>
      <c r="P12" s="366">
        <f>1.807*10^-2*K21^(0.271)*C17^(0.611)*C25%^(-0.209)</f>
        <v>0.33604958189621242</v>
      </c>
      <c r="R12" s="7" t="s">
        <v>444</v>
      </c>
      <c r="S12" s="208">
        <f>1.807*10^-2</f>
        <v>1.8069999999999999E-2</v>
      </c>
      <c r="T12" s="209">
        <v>0.27100000000000002</v>
      </c>
      <c r="U12" s="209">
        <v>0.61099999999999999</v>
      </c>
      <c r="V12" s="209">
        <v>-0.20899999999999999</v>
      </c>
      <c r="Z12" s="236"/>
      <c r="AF12" s="404" t="s">
        <v>681</v>
      </c>
    </row>
    <row r="13" spans="2:49" ht="15.65" customHeight="1" x14ac:dyDescent="0.65">
      <c r="B13" s="30" t="s">
        <v>326</v>
      </c>
      <c r="C13" s="593">
        <f>K15</f>
        <v>4.5922650200064737E+19</v>
      </c>
      <c r="D13" s="21" t="s">
        <v>1</v>
      </c>
      <c r="E13" s="83" t="s">
        <v>676</v>
      </c>
      <c r="F13" s="493">
        <f>IF(C11=8*10^19,IF($AG$23=3,'скан параметров'!G5,(IF($AG$23=2.5,'скан параметров'!F5,(IF($AG$23=2,'скан параметров'!E5,(IF($AG$23=1.5,'скан параметров'!D5,'скан параметров'!C5))))))),IF(C11=7*10^19,IF($AG$23=3,'скан параметров'!G4,(IF($AG$23=2.5,'скан параметров'!F4,(IF($AG$23=2,'скан параметров'!E4,(IF($AG$23=1.5,'скан параметров'!D4,'скан параметров'!C4))))))),IF($AG$23=3,'скан параметров'!G3,(IF($AG$23=2.5,'скан параметров'!F3,(IF($AG$23=2,'скан параметров'!E3,(IF($AG$23=1.5,'скан параметров'!D3,'скан параметров'!C3)))))))))*10^19</f>
        <v>4.4021821885204898E+19</v>
      </c>
      <c r="G13" s="21" t="s">
        <v>1</v>
      </c>
      <c r="J13" s="10" t="s">
        <v>330</v>
      </c>
      <c r="K13" s="186">
        <f>K12*1/2*1.38E-23*600</f>
        <v>0.18936593427004275</v>
      </c>
      <c r="L13" s="21" t="s">
        <v>7</v>
      </c>
      <c r="U13" s="237"/>
      <c r="AF13" s="421" t="s">
        <v>696</v>
      </c>
      <c r="AG13" s="52"/>
      <c r="AI13" s="199">
        <v>0.99712425000000005</v>
      </c>
      <c r="AS13" s="475" t="str">
        <f>B51</f>
        <v>HFS_T2</v>
      </c>
      <c r="AT13" s="475" t="str">
        <f>B52</f>
        <v>HFS_D2</v>
      </c>
      <c r="AU13" s="475" t="str">
        <f>B51</f>
        <v>HFS_T2</v>
      </c>
      <c r="AV13" s="475" t="str">
        <f>B52</f>
        <v>HFS_D2</v>
      </c>
    </row>
    <row r="14" spans="2:49" ht="14.25" customHeight="1" x14ac:dyDescent="0.65">
      <c r="B14" s="10" t="s">
        <v>167</v>
      </c>
      <c r="C14" s="179">
        <f>F14</f>
        <v>1.0775846647743347E+19</v>
      </c>
      <c r="D14" s="65" t="s">
        <v>380</v>
      </c>
      <c r="E14" s="7" t="s">
        <v>658</v>
      </c>
      <c r="F14" s="190">
        <f>C16*10^6/(((17.589)*10^6)*1.6*10^(-19))</f>
        <v>1.0775846647743347E+19</v>
      </c>
      <c r="G14" s="1" t="s">
        <v>380</v>
      </c>
      <c r="H14" s="234">
        <f>(C16/5/5.6)*10^19</f>
        <v>1.0830649524980441E+19</v>
      </c>
      <c r="J14" s="83"/>
      <c r="K14" s="176" t="s">
        <v>300</v>
      </c>
      <c r="M14" s="40">
        <f>[1]результаты!$AH$10*F21+[1]результаты!$AH$12*F22+[1]результаты!$AH$16*F23-C14*F21/10^19</f>
        <v>74.259487373283292</v>
      </c>
      <c r="N14" s="40">
        <f>[1]результаты!$AH$11*F21+[1]результаты!$AH$13*F22+[1]результаты!$AH$17*F23-C14*F21/10^19</f>
        <v>74.259487373283278</v>
      </c>
      <c r="O14" s="197">
        <f>M14+N14</f>
        <v>148.51897474656658</v>
      </c>
      <c r="P14" s="38" t="s">
        <v>406</v>
      </c>
      <c r="Q14" s="40">
        <f>Q23*F21+Q24*F22+Q22*F22-Q66/10^19+Q25*F23-C14*F24/10^19</f>
        <v>149.25110155577391</v>
      </c>
      <c r="R14" s="40">
        <f>R23*F21+R24*F22+R22*F22-S66/10^19+R25*F23-C14*F24/10^19</f>
        <v>149.25110155577391</v>
      </c>
      <c r="S14" s="40">
        <f>S23*F21+S24*F22+S22*F22-U66/10^19+S25*F23-C14*F24/10^19</f>
        <v>149.25110155577389</v>
      </c>
      <c r="T14" s="292">
        <f>T23*G21+T24*G22+T25*G23-C14*G24/10^19</f>
        <v>1426.9362634400413</v>
      </c>
      <c r="U14" s="14" t="s">
        <v>409</v>
      </c>
      <c r="W14" s="207">
        <f>S14/T14</f>
        <v>0.10459549272085991</v>
      </c>
      <c r="AF14" s="421" t="s">
        <v>697</v>
      </c>
      <c r="AG14" s="52"/>
      <c r="AI14" s="315">
        <v>0.99601757999999996</v>
      </c>
      <c r="AR14" s="6" t="s">
        <v>360</v>
      </c>
      <c r="AS14" s="389">
        <f>F51</f>
        <v>12.823039760321695</v>
      </c>
      <c r="AT14" s="389">
        <f>F52</f>
        <v>12.664730627478214</v>
      </c>
      <c r="AU14" s="389">
        <f>K51</f>
        <v>2.5373114388444984</v>
      </c>
      <c r="AV14" s="389">
        <f>K52</f>
        <v>2.5268265612292273</v>
      </c>
      <c r="AW14" s="21" t="s">
        <v>168</v>
      </c>
    </row>
    <row r="15" spans="2:49" x14ac:dyDescent="0.65">
      <c r="F15" s="1"/>
      <c r="G15" s="1"/>
      <c r="J15" s="30" t="s">
        <v>387</v>
      </c>
      <c r="K15" s="61">
        <f>C11-(AF3*Z3+ AF7*Z5+AF6*Z4)</f>
        <v>4.5922650200064737E+19</v>
      </c>
      <c r="L15" s="21"/>
      <c r="M15" s="40">
        <f>(1-C21%)*K5*K11/10^19</f>
        <v>203.36040448449296</v>
      </c>
      <c r="N15" s="40">
        <f>C21%*K5*K11/10^19</f>
        <v>203.36040448449296</v>
      </c>
      <c r="O15" s="197">
        <f>M15+N15</f>
        <v>406.72080896898592</v>
      </c>
      <c r="P15" s="38" t="s">
        <v>398</v>
      </c>
      <c r="Q15" s="40">
        <f>K5*K11/10^19</f>
        <v>406.72080896898592</v>
      </c>
      <c r="R15" s="40">
        <f>K5*K11/10^19</f>
        <v>406.72080896898592</v>
      </c>
      <c r="S15" s="40">
        <f>K5*K11/10^19</f>
        <v>406.72080896898592</v>
      </c>
      <c r="T15" s="189">
        <f>K12*K5/10^19</f>
        <v>553.59804407495835</v>
      </c>
      <c r="U15" s="14"/>
      <c r="W15" s="40">
        <f>S15/T15</f>
        <v>0.73468613793352755</v>
      </c>
      <c r="AF15" s="83" t="s">
        <v>698</v>
      </c>
      <c r="AG15" s="52"/>
      <c r="AI15" s="414">
        <v>0.99351879899999995</v>
      </c>
      <c r="AM15" s="537" t="s">
        <v>708</v>
      </c>
      <c r="AN15" s="536" t="s">
        <v>709</v>
      </c>
    </row>
    <row r="16" spans="2:49" x14ac:dyDescent="0.65">
      <c r="B16" s="10" t="s">
        <v>322</v>
      </c>
      <c r="C16" s="492">
        <f>IF(C11=8*10^19,IF($AG$23=3,'скан параметров'!L5,(IF($AG$23=2.5,'скан параметров'!K5,(IF($AG$23=2,'скан параметров'!J5,(IF($AG$23=1.5,'скан параметров'!I5,'скан параметров'!H5))))))),IF(C11=7*10^19,IF($AG$23=3,'скан параметров'!L4,(IF($AG$23=2.5,'скан параметров'!K4,(IF($AG$23=2,'скан параметров'!J4,(IF($AG$23=1.5,'скан параметров'!I4,'скан параметров'!H4))))))),IF($AG$23=3,'скан параметров'!L3,(IF($AG$23=2.5,'скан параметров'!K3,(IF($AG$23=2,'скан параметров'!J3,(IF($AG$23=1.5,'скан параметров'!I3,'скан параметров'!H3)))))))))</f>
        <v>30.325818669945232</v>
      </c>
      <c r="D16" s="65" t="s">
        <v>39</v>
      </c>
      <c r="G16" s="1"/>
      <c r="J16" s="161" t="s">
        <v>319</v>
      </c>
      <c r="K16" s="61">
        <f>C8/(1/2*1.38E-23*1000)</f>
        <v>2.8985507246376809E+20</v>
      </c>
      <c r="L16" s="21" t="s">
        <v>1</v>
      </c>
      <c r="M16" s="202">
        <f>M14+M15</f>
        <v>277.61989185777622</v>
      </c>
      <c r="N16" s="202">
        <f>N14+N15</f>
        <v>277.61989185777622</v>
      </c>
      <c r="O16" s="197">
        <f>M16+N16</f>
        <v>555.23978371555245</v>
      </c>
      <c r="P16" s="238" t="s">
        <v>397</v>
      </c>
      <c r="Q16" s="200">
        <f>Q14+Q15</f>
        <v>555.97191052475978</v>
      </c>
      <c r="R16" s="201">
        <f>R14+R15</f>
        <v>555.97191052475978</v>
      </c>
      <c r="S16" s="202">
        <f>S14+S15</f>
        <v>555.97191052475978</v>
      </c>
      <c r="T16" s="258">
        <f>T14+T15</f>
        <v>1980.5343075149997</v>
      </c>
      <c r="U16" s="14" t="s">
        <v>407</v>
      </c>
      <c r="W16" s="40">
        <f>S16/T16</f>
        <v>0.2807181417737441</v>
      </c>
      <c r="AF16" s="26" t="s">
        <v>416</v>
      </c>
    </row>
    <row r="17" spans="1:49" x14ac:dyDescent="0.65">
      <c r="B17" s="30" t="s">
        <v>323</v>
      </c>
      <c r="C17" s="498">
        <f>IF(C11=8*10^19,IF($AG$23=3,'скан параметров'!V5,(IF($AG$23=2.5,'скан параметров'!U5,(IF($AG$23=2,'скан параметров'!T5,(IF($AG$23=1.5,'скан параметров'!S5,'скан параметров'!R5))))))),IF(C11=7*10^19,IF($AG$23=3,'скан параметров'!V4,(IF($AG$23=2.5,'скан параметров'!U4,(IF($AG$23=2,'скан параметров'!T4,(IF($AG$23=1.5,'скан параметров'!S4,'скан параметров'!R4))))))),IF($AG$23=3,'скан параметров'!V3,(IF($AG$23=2.5,'скан параметров'!U3,(IF($AG$23=2,'скан параметров'!T3,(IF($AG$23=1.5,'скан параметров'!S3,'скан параметров'!R3)))))))))</f>
        <v>36.032084179519657</v>
      </c>
      <c r="D17" s="65" t="s">
        <v>39</v>
      </c>
      <c r="E17" s="7" t="s">
        <v>658</v>
      </c>
      <c r="F17" s="258">
        <f>C32+C30+C16/5-Z8-Z10</f>
        <v>37.668119314946999</v>
      </c>
      <c r="G17" s="1" t="s">
        <v>379</v>
      </c>
      <c r="J17" s="10" t="s">
        <v>329</v>
      </c>
      <c r="K17" s="186">
        <f>K16*1/2*1.38E-23*1000</f>
        <v>2</v>
      </c>
      <c r="L17" s="21" t="s">
        <v>7</v>
      </c>
      <c r="M17" s="223" t="s">
        <v>20</v>
      </c>
      <c r="N17" s="224" t="s">
        <v>19</v>
      </c>
      <c r="O17" s="197"/>
      <c r="U17" s="14"/>
      <c r="W17" s="40"/>
      <c r="AF17" s="421" t="s">
        <v>696</v>
      </c>
      <c r="AG17" s="491">
        <v>45.5</v>
      </c>
      <c r="AI17" s="491">
        <v>42.4</v>
      </c>
      <c r="AJ17" s="491">
        <v>37.1</v>
      </c>
      <c r="AK17" s="491">
        <v>35.299999999999997</v>
      </c>
      <c r="AL17" s="491">
        <v>34.5</v>
      </c>
      <c r="AM17" s="491"/>
      <c r="AN17" s="491">
        <v>42.4</v>
      </c>
      <c r="AO17" s="491">
        <v>38.799999999999997</v>
      </c>
      <c r="AP17" s="491">
        <v>36.9</v>
      </c>
      <c r="AQ17" s="491">
        <v>35.700000000000003</v>
      </c>
      <c r="AR17" s="491"/>
      <c r="AS17" s="491">
        <v>45.5</v>
      </c>
      <c r="AT17" s="491">
        <v>41.4</v>
      </c>
      <c r="AU17" s="491">
        <v>39</v>
      </c>
      <c r="AV17" s="491">
        <v>37.6</v>
      </c>
    </row>
    <row r="18" spans="1:49" ht="15.65" customHeight="1" x14ac:dyDescent="0.65">
      <c r="B18" s="10" t="s">
        <v>324</v>
      </c>
      <c r="C18" s="499">
        <f>IF(C11=8*10^19,IF($AG$23=3,'скан параметров'!AU5,(IF($AG$23=2.5,'скан параметров'!AT5,(IF($AG$23=2,'скан параметров'!AS5,(IF($AG$23=1.5,'скан параметров'!AR5,'скан параметров'!AQ5))))))),IF(C11=7*10^19,IF($AG$23=3,'скан параметров'!AU4,(IF($AG$23=2.5,'скан параметров'!AT4,(IF($AG$23=2,'скан параметров'!AS4,(IF($AG$23=1.5,'скан параметров'!AR4,'скан параметров'!AQ4))))))),IF($AG$23=3,'скан параметров'!AU3,(IF($AG$23=2.5,'скан параметров'!AT3,(IF($AG$23=2,'скан параметров'!AS3,(IF($AG$23=1.5,'скан параметров'!AR3,'скан параметров'!AQ3)))))))))*1000</f>
        <v>694.05631799309322</v>
      </c>
      <c r="D18" s="65" t="s">
        <v>63</v>
      </c>
      <c r="E18" s="10" t="s">
        <v>390</v>
      </c>
      <c r="F18" s="296">
        <f>Q30</f>
        <v>1.7210303928128245</v>
      </c>
      <c r="G18" s="363">
        <f>S31</f>
        <v>0.67152913655168456</v>
      </c>
      <c r="H18" s="8" t="s">
        <v>253</v>
      </c>
      <c r="K18" s="176" t="s">
        <v>296</v>
      </c>
      <c r="M18" s="202">
        <f>C22%*K5*C13/10^19</f>
        <v>277.90091768569175</v>
      </c>
      <c r="N18" s="202">
        <f>(1-C22%)*K5*C13/10^19</f>
        <v>277.90091768569175</v>
      </c>
      <c r="O18" s="197">
        <f>M18+N18</f>
        <v>555.8018353713835</v>
      </c>
      <c r="P18" s="238" t="s">
        <v>397</v>
      </c>
      <c r="Q18" s="200">
        <f>K5*C13/10^19</f>
        <v>555.8018353713835</v>
      </c>
      <c r="R18" s="201">
        <f>K5*C13/10^19</f>
        <v>555.8018353713835</v>
      </c>
      <c r="S18" s="202">
        <f>K5*C13/10^19</f>
        <v>555.8018353713835</v>
      </c>
      <c r="T18" s="189">
        <f>K5*C11/10^19</f>
        <v>726.18</v>
      </c>
      <c r="U18" s="14" t="s">
        <v>418</v>
      </c>
      <c r="W18" s="40">
        <f>S18/T18</f>
        <v>0.76537750333441235</v>
      </c>
      <c r="AF18" s="421" t="s">
        <v>697</v>
      </c>
      <c r="AG18" s="491">
        <v>37.700000000000003</v>
      </c>
      <c r="AI18" s="491">
        <v>36.4</v>
      </c>
      <c r="AJ18" s="491">
        <v>31.1</v>
      </c>
      <c r="AK18" s="491">
        <v>29.2</v>
      </c>
      <c r="AL18" s="491">
        <v>28.3</v>
      </c>
      <c r="AM18" s="491"/>
      <c r="AN18" s="491">
        <v>35.9</v>
      </c>
      <c r="AO18" s="491">
        <v>32</v>
      </c>
      <c r="AP18" s="491">
        <v>30.2</v>
      </c>
      <c r="AQ18" s="491">
        <v>29</v>
      </c>
      <c r="AR18" s="491"/>
      <c r="AS18" s="491">
        <v>37.700000000000003</v>
      </c>
      <c r="AT18" s="491">
        <v>33.700000000000003</v>
      </c>
      <c r="AU18" s="491">
        <v>31.47</v>
      </c>
      <c r="AV18" s="491">
        <v>30.14</v>
      </c>
    </row>
    <row r="19" spans="1:49" ht="14.25" customHeight="1" x14ac:dyDescent="0.65">
      <c r="B19" s="408" t="s">
        <v>690</v>
      </c>
      <c r="C19" s="250">
        <f>S31/C18*1000</f>
        <v>0.96754271828178529</v>
      </c>
      <c r="D19" s="21"/>
      <c r="E19" s="7"/>
      <c r="F19" s="409"/>
      <c r="G19" s="82"/>
      <c r="O19" s="83"/>
      <c r="U19" s="14" t="s">
        <v>417</v>
      </c>
      <c r="AF19" s="83" t="s">
        <v>698</v>
      </c>
      <c r="AG19" s="491">
        <v>29.8</v>
      </c>
      <c r="AI19" s="491">
        <v>30.5</v>
      </c>
      <c r="AJ19" s="491">
        <v>25</v>
      </c>
      <c r="AK19" s="491">
        <v>23.1</v>
      </c>
      <c r="AL19" s="491">
        <v>22.1</v>
      </c>
      <c r="AM19" s="491"/>
      <c r="AN19" s="491">
        <v>29.5</v>
      </c>
      <c r="AO19" s="491">
        <v>25.1</v>
      </c>
      <c r="AP19" s="491">
        <v>23.4</v>
      </c>
      <c r="AQ19" s="491">
        <v>22.3</v>
      </c>
      <c r="AR19" s="491"/>
      <c r="AS19" s="491">
        <v>29.8</v>
      </c>
      <c r="AT19" s="491">
        <v>25.8</v>
      </c>
      <c r="AU19" s="491">
        <v>23.8</v>
      </c>
      <c r="AV19" s="491">
        <v>22.6</v>
      </c>
      <c r="AW19" s="83"/>
    </row>
    <row r="20" spans="1:49" ht="15.75" customHeight="1" x14ac:dyDescent="0.35">
      <c r="M20" s="241">
        <f>M16/M18</f>
        <v>0.99898875530798581</v>
      </c>
      <c r="N20" s="241">
        <f>N16/N18</f>
        <v>0.99898875530798581</v>
      </c>
      <c r="O20" s="241">
        <f>O16/O18</f>
        <v>0.99898875530798581</v>
      </c>
      <c r="Q20" s="241">
        <f>Q16/Q18</f>
        <v>1.0003059996253207</v>
      </c>
      <c r="R20" s="241">
        <f>R16/R18</f>
        <v>1.0003059996253207</v>
      </c>
      <c r="S20" s="241">
        <f>S16/S18</f>
        <v>1.0003059996253207</v>
      </c>
      <c r="T20" s="241">
        <f>T16/T18</f>
        <v>2.7273324898991982</v>
      </c>
      <c r="AG20" s="52"/>
      <c r="AW20" s="83"/>
    </row>
    <row r="21" spans="1:49" ht="17.75" x14ac:dyDescent="0.65">
      <c r="A21" s="38"/>
      <c r="B21" s="25" t="s">
        <v>436</v>
      </c>
      <c r="C21" s="280">
        <f>(1-0.5)*100</f>
        <v>50</v>
      </c>
      <c r="D21" s="1" t="s">
        <v>16</v>
      </c>
      <c r="E21" s="10" t="s">
        <v>392</v>
      </c>
      <c r="F21" s="492">
        <f>IF(C11=8*10^19,IF($AG$23=3,'скан параметров'!AA5,(IF($AG$23=2.5,'скан параметров'!Z5,(IF($AG$23=2,'скан параметров'!Y5,(IF($AG$23=1.5,'скан параметров'!X5,'скан параметров'!W5))))))),IF(C11=7*10^19,IF($AG$23=3,'скан параметров'!AA4,(IF($AG$23=2.5,'скан параметров'!Z4,(IF($AG$23=2,'скан параметров'!Y4,(IF($AG$23=1.5,'скан параметров'!X4,'скан параметров'!W4))))))),IF($AG$23=3,'скан параметров'!AA3,(IF($AG$23=2.5,'скан параметров'!Z3,(IF($AG$23=2,'скан параметров'!Y3,(IF($AG$23=1.5,'скан параметров'!X3,'скан параметров'!W3)))))))))</f>
        <v>0.41862230972473069</v>
      </c>
      <c r="G21" s="369">
        <f>F21/$G$8</f>
        <v>0.54694880356553188</v>
      </c>
      <c r="H21" s="21" t="s">
        <v>253</v>
      </c>
      <c r="J21" s="30" t="s">
        <v>302</v>
      </c>
      <c r="K21" s="360">
        <f>S2*C8^(T2)*C17^(U2)*C25%^(V2)</f>
        <v>0.87145114619906106</v>
      </c>
      <c r="L21" s="8" t="s">
        <v>401</v>
      </c>
      <c r="M21" s="176"/>
      <c r="T21" s="14"/>
      <c r="U21" s="223" t="s">
        <v>415</v>
      </c>
      <c r="AG21" s="223"/>
      <c r="AI21" s="223" t="str">
        <f t="shared" ref="AI21:AV21" si="1">IF($AG$23=AI23, IF($AG$24=AI24, "ЭТОТ", "-"), "-")</f>
        <v>ЭТОТ</v>
      </c>
      <c r="AJ21" s="223" t="str">
        <f t="shared" si="1"/>
        <v>-</v>
      </c>
      <c r="AK21" s="223" t="str">
        <f t="shared" si="1"/>
        <v>-</v>
      </c>
      <c r="AL21" s="223" t="str">
        <f t="shared" si="1"/>
        <v>-</v>
      </c>
      <c r="AM21" s="223"/>
      <c r="AN21" s="223" t="str">
        <f t="shared" si="1"/>
        <v>-</v>
      </c>
      <c r="AO21" s="223" t="str">
        <f t="shared" si="1"/>
        <v>-</v>
      </c>
      <c r="AP21" s="223" t="str">
        <f t="shared" si="1"/>
        <v>-</v>
      </c>
      <c r="AQ21" s="223" t="str">
        <f t="shared" si="1"/>
        <v>-</v>
      </c>
      <c r="AR21" s="223"/>
      <c r="AS21" s="223" t="str">
        <f t="shared" si="1"/>
        <v>-</v>
      </c>
      <c r="AT21" s="223" t="str">
        <f t="shared" si="1"/>
        <v>-</v>
      </c>
      <c r="AU21" s="223" t="str">
        <f t="shared" si="1"/>
        <v>-</v>
      </c>
      <c r="AV21" s="223" t="str">
        <f t="shared" si="1"/>
        <v>-</v>
      </c>
      <c r="AW21" s="223"/>
    </row>
    <row r="22" spans="1:49" ht="15.75" customHeight="1" x14ac:dyDescent="0.65">
      <c r="B22" s="7" t="s">
        <v>435</v>
      </c>
      <c r="C22" s="280">
        <v>50</v>
      </c>
      <c r="D22" s="8" t="s">
        <v>16</v>
      </c>
      <c r="E22" s="10" t="s">
        <v>439</v>
      </c>
      <c r="F22" s="492">
        <f>IF(C11=8*10^19,IF($AG$23=3,'скан параметров'!AF5,(IF($AG$23=2.5,'скан параметров'!AE5,(IF($AG$23=2,'скан параметров'!AD5,(IF($AG$23=1.5,'скан параметров'!AC5,'скан параметров'!AB5))))))),IF(C11=7*10^19,IF($AG$23=3,'скан параметров'!AF4,(IF($AG$23=2.5,'скан параметров'!AE4,(IF($AG$23=2,'скан параметров'!AD4,(IF($AG$23=1.5,'скан параметров'!AC4,'скан параметров'!AB4))))))),IF($AG$23=3,'скан параметров'!AF3,(IF($AG$23=2.5,'скан параметров'!AE3,(IF($AG$23=2,'скан параметров'!AD3,(IF($AG$23=1.5,'скан параметров'!AC3,'скан параметров'!AB3)))))))))</f>
        <v>2.0106969401825472</v>
      </c>
      <c r="G22" s="369">
        <f>F22/$G$8</f>
        <v>2.6270656394038592</v>
      </c>
      <c r="H22" s="21" t="s">
        <v>253</v>
      </c>
      <c r="J22" s="6" t="s">
        <v>414</v>
      </c>
      <c r="K22" s="333">
        <f>C16/C9*0.75</f>
        <v>1.1372182001229463</v>
      </c>
      <c r="L22" s="9" t="s">
        <v>611</v>
      </c>
      <c r="M22" s="176"/>
      <c r="P22" s="38" t="s">
        <v>481</v>
      </c>
      <c r="Q22" s="40">
        <f>('[2]динамика изотопов в ТЦ'!CM6+'[2]динамика изотопов в ТЦ'!CP6)/10^19</f>
        <v>0</v>
      </c>
      <c r="R22" s="40">
        <f>('[2]динамика изотопов в ТЦ'!CN6+'[2]динамика изотопов в ТЦ'!CQ6)/10^19</f>
        <v>0</v>
      </c>
      <c r="S22" s="40">
        <f>('[2]динамика изотопов в ТЦ'!CO6+'[2]динамика изотопов в ТЦ'!CR6)/10^19</f>
        <v>0</v>
      </c>
      <c r="T22" s="336">
        <f>Q22</f>
        <v>0</v>
      </c>
      <c r="V22" s="14"/>
      <c r="Y22" s="14"/>
      <c r="AF22" s="5" t="s">
        <v>416</v>
      </c>
      <c r="AG22" s="561">
        <v>20</v>
      </c>
      <c r="AI22" s="561">
        <f>IF(H43=0.2, 20, IF(H43=0.4, 20.5, 20))</f>
        <v>20</v>
      </c>
      <c r="AJ22" s="83">
        <v>20</v>
      </c>
      <c r="AK22" s="83">
        <v>20</v>
      </c>
      <c r="AL22" s="83">
        <v>20</v>
      </c>
      <c r="AM22" s="83"/>
      <c r="AN22" s="561">
        <f>IF(H43=0.2, 20, IF(H43=0.4, 22.5, 20))</f>
        <v>20</v>
      </c>
      <c r="AO22" s="83">
        <v>20</v>
      </c>
      <c r="AP22" s="83">
        <v>20</v>
      </c>
      <c r="AQ22" s="83">
        <v>20</v>
      </c>
      <c r="AR22" s="83"/>
      <c r="AS22" s="561">
        <f>IF(H43=0.2, 20, IF(H43=0.4, 25, 20))</f>
        <v>20</v>
      </c>
      <c r="AT22" s="561">
        <f>IF(H43=0.2, 20, IF(H43=0.4, 22, 20))</f>
        <v>20</v>
      </c>
      <c r="AU22" s="83">
        <v>20</v>
      </c>
      <c r="AV22" s="83">
        <v>20</v>
      </c>
      <c r="AW22" s="83"/>
    </row>
    <row r="23" spans="1:49" ht="15" customHeight="1" x14ac:dyDescent="0.65">
      <c r="B23" s="7" t="s">
        <v>304</v>
      </c>
      <c r="C23" s="13">
        <v>0.5</v>
      </c>
      <c r="D23" s="48" t="s">
        <v>16</v>
      </c>
      <c r="E23" s="10" t="s">
        <v>437</v>
      </c>
      <c r="F23" s="492">
        <f>IF(C11=8*10^19,IF($AG$23=3,'скан параметров'!AK5,(IF($AG$23=2.5,'скан параметров'!AJ5,(IF($AG$23=2,'скан параметров'!AI5,(IF($AG$23=1.5,'скан параметров'!AH5,'скан параметров'!AG5))))))),IF(C11=7*10^19,IF($AG$23=3,'скан параметров'!AK4,(IF($AG$23=2.5,'скан параметров'!AJ4,(IF($AG$23=2,'скан параметров'!AI4,(IF($AG$23=1.5,'скан параметров'!AH4,'скан параметров'!AG4))))))),IF($AG$23=3,'скан параметров'!AK3,(IF($AG$23=2.5,'скан параметров'!AJ3,(IF($AG$23=2,'скан параметров'!AI3,(IF($AG$23=1.5,'скан параметров'!AH3,'скан параметров'!AG3)))))))))</f>
        <v>2.2764643685802711E-2</v>
      </c>
      <c r="G23" s="369">
        <f>F23/$G$8</f>
        <v>2.9743026920215448E-2</v>
      </c>
      <c r="H23" s="21" t="s">
        <v>253</v>
      </c>
      <c r="P23" s="38" t="s">
        <v>393</v>
      </c>
      <c r="Q23" s="200">
        <f>[1]результаты!AD10+[1]результаты!AD11</f>
        <v>37.5</v>
      </c>
      <c r="R23" s="201">
        <f>[1]результаты!AF10+[1]результаты!AF11</f>
        <v>37.5</v>
      </c>
      <c r="S23" s="202">
        <f>[1]результаты!AH10+[1]результаты!AH11</f>
        <v>37.5</v>
      </c>
      <c r="T23" s="494">
        <f>IF(C11=8*10^19,IF($AG$23=3,'скан параметров'!BY5,(IF($AG$23=2.5,'скан параметров'!BX5,(IF($AG$23=2,'скан параметров'!BW5,(IF($AG$23=1.5,'скан параметров'!BV5,'скан параметров'!BU5))))))),IF(C11=7*10^19,IF($AG$23=3,'скан параметров'!BY4,(IF($AG$23=2.5,'скан параметров'!BX4,(IF($AG$23=2,'скан параметров'!BW4,(IF($AG$23=1.5,'скан параметров'!BV4,'скан параметров'!BU4))))))),IF($AG$23=3,'скан параметров'!BY3,(IF($AG$23=2.5,'скан параметров'!BX3,(IF($AG$23=2,'скан параметров'!BW3,(IF($AG$23=1.5,'скан параметров'!BV3,'скан параметров'!BU3)))))))))</f>
        <v>36.940597539775922</v>
      </c>
      <c r="Y23" s="242"/>
      <c r="AE23" s="242"/>
      <c r="AF23" s="410" t="s">
        <v>690</v>
      </c>
      <c r="AG23" s="411">
        <v>1</v>
      </c>
      <c r="AI23" s="411">
        <v>1</v>
      </c>
      <c r="AJ23" s="411">
        <v>1.5</v>
      </c>
      <c r="AK23" s="411">
        <v>2</v>
      </c>
      <c r="AL23" s="411">
        <v>2.5</v>
      </c>
      <c r="AM23" s="591"/>
      <c r="AN23" s="411">
        <v>1</v>
      </c>
      <c r="AO23" s="411">
        <v>1.5</v>
      </c>
      <c r="AP23" s="411">
        <v>2</v>
      </c>
      <c r="AQ23" s="411">
        <v>2.5</v>
      </c>
      <c r="AR23" s="591"/>
      <c r="AS23" s="411">
        <v>1</v>
      </c>
      <c r="AT23" s="411">
        <v>1.5</v>
      </c>
      <c r="AU23" s="411">
        <v>2</v>
      </c>
      <c r="AV23" s="411">
        <v>2.5</v>
      </c>
      <c r="AW23" s="591"/>
    </row>
    <row r="24" spans="1:49" ht="15.75" customHeight="1" x14ac:dyDescent="0.65">
      <c r="B24" s="7" t="s">
        <v>303</v>
      </c>
      <c r="C24" s="194">
        <v>0.5</v>
      </c>
      <c r="D24" s="48" t="s">
        <v>16</v>
      </c>
      <c r="E24" s="10" t="s">
        <v>438</v>
      </c>
      <c r="F24" s="492">
        <f>IF(C11=8*10^19,IF($AG$23=3,'скан параметров'!AP5,(IF($AG$23=2.5,'скан параметров'!AO5,(IF($AG$23=2,'скан параметров'!AN5,(IF($AG$23=1.5,'скан параметров'!AM5,'скан параметров'!AL5))))))),IF(C11=7*10^19,IF($AG$23=3,'скан параметров'!AP4,(IF($AG$23=2.5,'скан параметров'!AO4,(IF($AG$23=2,'скан параметров'!AN4,(IF($AG$23=1.5,'скан параметров'!AM4,'скан параметров'!AL4))))))),IF($AG$23=3,'скан параметров'!AP3,(IF($AG$23=2.5,'скан параметров'!AO3,(IF($AG$23=2,'скан параметров'!AN3,(IF($AG$23=1.5,'скан параметров'!AM3,'скан параметров'!AL3)))))))))</f>
        <v>0.15782996820197831</v>
      </c>
      <c r="G24" s="369">
        <f>F24/$G$8</f>
        <v>0.20621192485326881</v>
      </c>
      <c r="H24" s="21" t="s">
        <v>253</v>
      </c>
      <c r="K24" s="21" t="s">
        <v>403</v>
      </c>
      <c r="L24" s="1"/>
      <c r="P24" s="38" t="s">
        <v>480</v>
      </c>
      <c r="Q24" s="372">
        <f>([1]результаты!AD12+[1]результаты!AD13)</f>
        <v>63.972715110242923</v>
      </c>
      <c r="R24" s="372">
        <f>([1]результаты!AF12+[1]результаты!AF13)</f>
        <v>63.972715110242923</v>
      </c>
      <c r="S24" s="372">
        <f>([1]результаты!AH12+[1]результаты!AH13)</f>
        <v>63.972715110242909</v>
      </c>
      <c r="T24" s="495">
        <f>IF(C11=8*10^19,IF($AG$23=3,'скан параметров'!CD5,(IF($AG$23=2.5,'скан параметров'!CC5,(IF($AG$23=2,'скан параметров'!CB5,(IF($AG$23=1.5,'скан параметров'!CA5,'скан параметров'!BZ5))))))),IF(C11=7*10^19,IF($AG$23=3,'скан параметров'!CD4,(IF($AG$23=2.5,'скан параметров'!CC4,(IF($AG$23=2,'скан параметров'!CB4,(IF($AG$23=1.5,'скан параметров'!CA4,'скан параметров'!BZ4))))))),IF($AG$23=3,'скан параметров'!CD3,(IF($AG$23=2.5,'скан параметров'!CC3,(IF($AG$23=2,'скан параметров'!CB3,(IF($AG$23=1.5,'скан параметров'!CA3,'скан параметров'!BZ3)))))))))</f>
        <v>533.0290021070914</v>
      </c>
      <c r="U24" s="197">
        <f>S24/T24</f>
        <v>0.12001732524375866</v>
      </c>
      <c r="V24" s="14"/>
      <c r="Y24" s="242"/>
      <c r="AF24" s="382" t="s">
        <v>447</v>
      </c>
      <c r="AG24" s="51">
        <v>6E+19</v>
      </c>
      <c r="AI24" s="51">
        <v>6E+19</v>
      </c>
      <c r="AJ24" s="51">
        <f>6*10^19</f>
        <v>6E+19</v>
      </c>
      <c r="AK24" s="51">
        <f>6*10^19</f>
        <v>6E+19</v>
      </c>
      <c r="AL24" s="51">
        <f>6*10^19</f>
        <v>6E+19</v>
      </c>
      <c r="AM24" s="51"/>
      <c r="AN24" s="51">
        <f>7*10^19</f>
        <v>7E+19</v>
      </c>
      <c r="AO24" s="51">
        <f>7*10^19</f>
        <v>7E+19</v>
      </c>
      <c r="AP24" s="51">
        <f>7*10^19</f>
        <v>7E+19</v>
      </c>
      <c r="AQ24" s="51">
        <f>7*10^19</f>
        <v>7E+19</v>
      </c>
      <c r="AR24" s="51"/>
      <c r="AS24" s="51">
        <f>8*10^19</f>
        <v>8E+19</v>
      </c>
      <c r="AT24" s="51">
        <f>8*10^19</f>
        <v>8E+19</v>
      </c>
      <c r="AU24" s="51">
        <f>8*10^19</f>
        <v>8E+19</v>
      </c>
      <c r="AV24" s="51">
        <f>8*10^19</f>
        <v>8E+19</v>
      </c>
      <c r="AW24" s="51"/>
    </row>
    <row r="25" spans="1:49" ht="15.65" customHeight="1" x14ac:dyDescent="0.65">
      <c r="B25" s="7" t="s">
        <v>301</v>
      </c>
      <c r="C25" s="364">
        <f>ASTRA!C4*100</f>
        <v>2.5090617407398321</v>
      </c>
      <c r="D25" s="48" t="s">
        <v>16</v>
      </c>
      <c r="E25" s="10" t="s">
        <v>391</v>
      </c>
      <c r="F25" s="363">
        <f>IF(C11=8*10^19,IF($AG$23=3,'скан параметров'!AZ5,(IF($AG$23=2.5,'скан параметров'!AY5,(IF($AG$23=2,'скан параметров'!AX5,(IF($AG$23=1.5,'скан параметров'!AW5,'скан параметров'!AV5))))))),IF(C11=7*10^19,IF($AG$23=3,'скан параметров'!AZ4,(IF($AG$23=2.5,'скан параметров'!AY4,(IF($AG$23=2,'скан параметров'!AX4,(IF($AG$23=1.5,'скан параметров'!AW4,'скан параметров'!AV4))))))),IF($AG$23=3,'скан параметров'!AZ3,(IF($AG$23=2.5,'скан параметров'!AY3,(IF($AG$23=2,'скан параметров'!AX3,(IF($AG$23=1.5,'скан параметров'!AW3,'скан параметров'!AV3)))))))))</f>
        <v>0.31870935142095591</v>
      </c>
      <c r="G25" s="370" t="s">
        <v>663</v>
      </c>
      <c r="I25" s="35"/>
      <c r="K25" s="51">
        <f>'[2]динамика изотопов в ТЦ'!DE6+'[2]динамика изотопов в ТЦ'!DH6</f>
        <v>3.2304595714668825E+21</v>
      </c>
      <c r="L25" s="8" t="s">
        <v>298</v>
      </c>
      <c r="P25" s="38" t="s">
        <v>394</v>
      </c>
      <c r="Q25" s="204">
        <f>[1]результаты!AD16+[1]результаты!AD17</f>
        <v>223.72841136599399</v>
      </c>
      <c r="R25" s="204">
        <f>[1]результаты!AF16+[1]результаты!AF17</f>
        <v>223.72841136599399</v>
      </c>
      <c r="S25" s="204">
        <f>[1]результаты!AH16+[1]результаты!AH17</f>
        <v>223.72841136599399</v>
      </c>
      <c r="T25" s="494">
        <f>IF(C11=8*10^19,IF($AG$23=3,'скан параметров'!CI5,(IF($AG$23=2.5,'скан параметров'!CH5,(IF($AG$23=2,'скан параметров'!CG5,(IF($AG$23=1.5,'скан параметров'!CF5,'скан параметров'!CE5))))))),IF(C11=7*10^19,IF($AG$23=3,'скан параметров'!CI4,(IF($AG$23=2.5,'скан параметров'!CH4,(IF($AG$23=2,'скан параметров'!CG4,(IF($AG$23=1.5,'скан параметров'!CF4,'скан параметров'!CE4))))))),IF($AG$23=3,'скан параметров'!CI3,(IF($AG$23=2.5,'скан параметров'!CH3,(IF($AG$23=2,'скан параметров'!CG3,(IF($AG$23=1.5,'скан параметров'!CF3,'скан параметров'!CE3)))))))))</f>
        <v>223.63838075916701</v>
      </c>
      <c r="Y25" s="242"/>
      <c r="AF25" s="7" t="s">
        <v>681</v>
      </c>
      <c r="AG25" s="199">
        <v>1</v>
      </c>
      <c r="AH25" s="9"/>
      <c r="AI25" s="315">
        <v>1</v>
      </c>
      <c r="AJ25" s="199">
        <v>1</v>
      </c>
      <c r="AK25" s="199">
        <v>1</v>
      </c>
      <c r="AL25" s="199">
        <v>1</v>
      </c>
      <c r="AM25" s="315"/>
      <c r="AN25" s="315">
        <v>1</v>
      </c>
      <c r="AO25" s="315">
        <v>1</v>
      </c>
      <c r="AP25" s="315">
        <v>1</v>
      </c>
      <c r="AQ25" s="315">
        <v>1</v>
      </c>
      <c r="AR25" s="315"/>
      <c r="AS25" s="315">
        <v>1</v>
      </c>
      <c r="AT25" s="315">
        <v>1</v>
      </c>
      <c r="AU25" s="315">
        <v>1</v>
      </c>
      <c r="AV25" s="315">
        <v>1</v>
      </c>
      <c r="AW25" s="315"/>
    </row>
    <row r="26" spans="1:49" ht="15.65" customHeight="1" x14ac:dyDescent="0.65">
      <c r="K26" s="39" t="s">
        <v>343</v>
      </c>
      <c r="M26" s="176"/>
      <c r="N26" s="176"/>
      <c r="P26" s="38" t="s">
        <v>395</v>
      </c>
      <c r="Q26" s="40">
        <f>[1]результаты!AD20+[1]результаты!AD21</f>
        <v>323.04595714668824</v>
      </c>
      <c r="R26" s="40">
        <f>[1]результаты!AF20+[1]результаты!AF21</f>
        <v>323.04595714668824</v>
      </c>
      <c r="S26" s="40">
        <f>[1]результаты!AH20+[1]результаты!AH21</f>
        <v>323.04595714668824</v>
      </c>
      <c r="T26" s="336">
        <f>T27</f>
        <v>793.60798040603436</v>
      </c>
      <c r="U26" s="412" t="s">
        <v>482</v>
      </c>
      <c r="Y26" s="204"/>
      <c r="AF26" s="413" t="s">
        <v>682</v>
      </c>
      <c r="AG26" s="414">
        <v>1</v>
      </c>
      <c r="AI26" s="414">
        <v>1</v>
      </c>
      <c r="AJ26" s="414">
        <v>1</v>
      </c>
      <c r="AK26" s="414">
        <v>1</v>
      </c>
      <c r="AL26" s="414">
        <v>1</v>
      </c>
      <c r="AM26" s="414"/>
      <c r="AN26" s="414">
        <v>1</v>
      </c>
      <c r="AO26" s="414">
        <v>1</v>
      </c>
      <c r="AP26" s="414">
        <v>1</v>
      </c>
      <c r="AQ26" s="414">
        <v>1</v>
      </c>
      <c r="AR26" s="414"/>
      <c r="AS26" s="414">
        <v>1</v>
      </c>
      <c r="AT26" s="414">
        <v>1</v>
      </c>
      <c r="AU26" s="414">
        <v>1</v>
      </c>
      <c r="AV26" s="414">
        <v>1</v>
      </c>
      <c r="AW26" s="414"/>
    </row>
    <row r="27" spans="1:49" ht="15.75" customHeight="1" x14ac:dyDescent="0.65">
      <c r="B27" s="10" t="s">
        <v>359</v>
      </c>
      <c r="C27" s="13">
        <v>1.2</v>
      </c>
      <c r="K27" s="51">
        <f>2*10^23</f>
        <v>1.9999999999999998E+23</v>
      </c>
      <c r="L27" s="8" t="s">
        <v>380</v>
      </c>
      <c r="P27" s="38" t="s">
        <v>396</v>
      </c>
      <c r="Q27" s="206">
        <f>Q23+Q24+Q25+Q22</f>
        <v>325.20112647623694</v>
      </c>
      <c r="R27" s="206">
        <f>R23+R24+R25+R22</f>
        <v>325.20112647623694</v>
      </c>
      <c r="S27" s="206">
        <f>S23+S24+S25+S22</f>
        <v>325.20112647623694</v>
      </c>
      <c r="T27" s="295">
        <f>T23+T24+T25+T22</f>
        <v>793.60798040603436</v>
      </c>
      <c r="U27" s="83"/>
      <c r="V27" s="228"/>
      <c r="Y27" s="204"/>
      <c r="AF27" s="415" t="s">
        <v>683</v>
      </c>
      <c r="AI27" s="586"/>
      <c r="AJ27" s="586"/>
      <c r="AK27" s="586"/>
      <c r="AL27" s="586"/>
      <c r="AM27" s="586"/>
      <c r="AN27" s="586"/>
      <c r="AO27" s="586"/>
      <c r="AP27" s="586"/>
      <c r="AQ27" s="586"/>
      <c r="AR27" s="586"/>
      <c r="AS27" s="586"/>
      <c r="AT27" s="586"/>
      <c r="AU27" s="586"/>
      <c r="AV27" s="586"/>
    </row>
    <row r="28" spans="1:49" x14ac:dyDescent="0.65">
      <c r="B28" s="54" t="s">
        <v>310</v>
      </c>
      <c r="C28" s="97">
        <v>20</v>
      </c>
      <c r="D28" s="42" t="s">
        <v>246</v>
      </c>
      <c r="J28" s="245">
        <f>K28/M28</f>
        <v>5.5555555555555554</v>
      </c>
      <c r="K28" s="228">
        <f>K27/C6</f>
        <v>1.1111111111111111E+21</v>
      </c>
      <c r="L28" s="8" t="s">
        <v>707</v>
      </c>
      <c r="M28" s="62">
        <v>2E+20</v>
      </c>
      <c r="N28" s="14" t="s">
        <v>306</v>
      </c>
      <c r="Q28" s="205">
        <f>IF(Q23+Q24+Q25+Q22&gt;$T$28, "БЕДА", Q23+Q24+Q25+Q22)</f>
        <v>325.20112647623694</v>
      </c>
      <c r="R28" s="205">
        <f>IF(R23+R24+R25+R22&gt;$T$28, "БЕДА", R23+R24+R25+R22)</f>
        <v>325.20112647623694</v>
      </c>
      <c r="S28" s="205">
        <f>IF(S23+S24+S25+S22&gt;$T$28, "БЕДА", S23+S24+S25+S22)</f>
        <v>325.20112647623694</v>
      </c>
      <c r="T28" s="294">
        <f>T27</f>
        <v>793.60798040603436</v>
      </c>
      <c r="U28" s="39" t="s">
        <v>408</v>
      </c>
      <c r="Y28" s="204"/>
      <c r="AH28" s="37" t="s">
        <v>677</v>
      </c>
      <c r="AM28" s="501" t="str">
        <f>AK44</f>
        <v>fpel(HFS)</v>
      </c>
      <c r="AN28" s="501" t="str">
        <f>B45</f>
        <v>HFS_T2</v>
      </c>
      <c r="AO28" s="501" t="str">
        <f>B48</f>
        <v>HFS_D2</v>
      </c>
      <c r="AQ28" s="40">
        <f>S24</f>
        <v>63.972715110242909</v>
      </c>
      <c r="AR28" s="590">
        <f>T24</f>
        <v>533.0290021070914</v>
      </c>
      <c r="AS28" s="38" t="s">
        <v>480</v>
      </c>
      <c r="AU28" s="169" t="str">
        <f>'скан параметров'!T41</f>
        <v xml:space="preserve">TauNB </v>
      </c>
      <c r="AV28" s="169" t="str">
        <f>'скан параметров'!U41</f>
        <v xml:space="preserve">TauPEL </v>
      </c>
      <c r="AW28" s="169" t="str">
        <f>'скан параметров'!V41</f>
        <v>TauSEP</v>
      </c>
    </row>
    <row r="29" spans="1:49" ht="15.75" customHeight="1" thickBot="1" x14ac:dyDescent="0.7">
      <c r="K29" s="83" t="s">
        <v>347</v>
      </c>
      <c r="P29" s="416"/>
      <c r="Q29" s="249">
        <f>Q18/Q27</f>
        <v>1.7091018146027148</v>
      </c>
      <c r="R29" s="249">
        <f>R18/R27</f>
        <v>1.7091018146027148</v>
      </c>
      <c r="S29" s="249">
        <f>S18/S27</f>
        <v>1.7091018146027148</v>
      </c>
      <c r="T29" s="293">
        <f>T18/T27</f>
        <v>0.91503616134059518</v>
      </c>
      <c r="U29" s="11" t="s">
        <v>446</v>
      </c>
      <c r="V29" s="417"/>
      <c r="Y29" s="204"/>
      <c r="AH29" s="480" t="s">
        <v>678</v>
      </c>
      <c r="AM29" s="40">
        <f>AJ44</f>
        <v>0.38366621002307849</v>
      </c>
      <c r="AN29" s="485">
        <f>C47</f>
        <v>0.21524495826678408</v>
      </c>
      <c r="AO29" s="485">
        <f>C50</f>
        <v>0.16842125175629441</v>
      </c>
      <c r="AU29" s="572">
        <v>0</v>
      </c>
      <c r="AV29" s="572">
        <v>9</v>
      </c>
      <c r="AW29" s="572">
        <v>0</v>
      </c>
    </row>
    <row r="30" spans="1:49" ht="15.5" thickBot="1" x14ac:dyDescent="0.7">
      <c r="B30" s="30" t="s">
        <v>405</v>
      </c>
      <c r="C30" s="195">
        <v>6</v>
      </c>
      <c r="D30" s="65" t="s">
        <v>39</v>
      </c>
      <c r="J30" s="245">
        <f>K30/M30</f>
        <v>0.15</v>
      </c>
      <c r="K30" s="255">
        <f>IF(C1="ДЕМО-ТИН", 3*10^24, IF(C1="ТИН-СТ", 3*10^23, M30))</f>
        <v>2.9999999999999999E+24</v>
      </c>
      <c r="L30" s="246" t="s">
        <v>344</v>
      </c>
      <c r="M30" s="198">
        <f>2*10^25</f>
        <v>2.0000000000000002E+25</v>
      </c>
      <c r="N30" s="14" t="s">
        <v>306</v>
      </c>
      <c r="P30" s="38" t="s">
        <v>494</v>
      </c>
      <c r="Q30" s="207">
        <f>Q16/Q26</f>
        <v>1.7210303928128245</v>
      </c>
      <c r="R30" s="207">
        <f>R16/R26</f>
        <v>1.7210303928128245</v>
      </c>
      <c r="S30" s="207">
        <f>S16/S26</f>
        <v>1.7210303928128245</v>
      </c>
      <c r="T30" s="334">
        <f>T16/T26</f>
        <v>2.4956078522568501</v>
      </c>
      <c r="U30" s="14" t="s">
        <v>400</v>
      </c>
      <c r="Y30" s="204"/>
      <c r="AH30" s="481">
        <v>1</v>
      </c>
      <c r="AI30" s="421" t="s">
        <v>496</v>
      </c>
      <c r="AJ30" s="341">
        <f>C18/1000</f>
        <v>0.6940563179930932</v>
      </c>
      <c r="AK30" s="5" t="s">
        <v>589</v>
      </c>
      <c r="AL30" s="8"/>
      <c r="AM30" s="8"/>
      <c r="AN30" s="8"/>
      <c r="AU30" s="567">
        <f>1+AU29</f>
        <v>1</v>
      </c>
      <c r="AV30" s="567">
        <f>1+AV29</f>
        <v>10</v>
      </c>
      <c r="AW30" s="567">
        <f>1+AW29</f>
        <v>1</v>
      </c>
    </row>
    <row r="31" spans="1:49" ht="15.5" thickBot="1" x14ac:dyDescent="0.7">
      <c r="B31" s="10" t="s">
        <v>123</v>
      </c>
      <c r="C31" s="163">
        <v>6</v>
      </c>
      <c r="D31" s="65" t="s">
        <v>30</v>
      </c>
      <c r="F31" s="332">
        <f>IF(C1="ДЕМО-ТИН", C31-2, IF(C1="ТИН-СТ", C31-1, C31))</f>
        <v>4</v>
      </c>
      <c r="G31" s="8" t="s">
        <v>404</v>
      </c>
      <c r="H31" s="65"/>
      <c r="K31" s="223" t="s">
        <v>345</v>
      </c>
      <c r="R31" s="10" t="s">
        <v>468</v>
      </c>
      <c r="S31" s="496">
        <f>IF(C11=8*10^19,IF($AG$23=3,'скан параметров'!BE5,(IF($AG$23=2.5,'скан параметров'!BD5,(IF($AG$23=2,'скан параметров'!BC5,(IF($AG$23=1.5,'скан параметров'!BB5,'скан параметров'!BA5))))))),IF(C11=7*10^19,IF($AG$23=3,'скан параметров'!BE4,(IF($AG$23=2.5,'скан параметров'!BD4,(IF($AG$23=2,'скан параметров'!BC4,(IF($AG$23=1.5,'скан параметров'!BB4,'скан параметров'!BA4))))))),IF($AG$23=3,'скан параметров'!BE3,(IF($AG$23=2.5,'скан параметров'!BD3,(IF($AG$23=2,'скан параметров'!BC3,(IF($AG$23=1.5,'скан параметров'!BB3,'скан параметров'!BA3)))))))))</f>
        <v>0.67152913655168456</v>
      </c>
      <c r="T31" s="497">
        <f>IF(C11=8*10^19,IF($AG$23=3,'скан параметров'!CN5,(IF($AG$23=2.5,'скан параметров'!CM5,(IF($AG$23=2,'скан параметров'!CL5,(IF($AG$23=1.5,'скан параметров'!CK5,'скан параметров'!CJ5))))))),IF(C11=7*10^19,IF($AG$23=3,'скан параметров'!CN4,(IF($AG$23=2.5,'скан параметров'!CM4,(IF($AG$23=2,'скан параметров'!CL4,(IF($AG$23=1.5,'скан параметров'!CK4,'скан параметров'!CJ4))))))),IF($AG$23=3,'скан параметров'!CN3,(IF($AG$23=2.5,'скан параметров'!CM3,(IF($AG$23=2,'скан параметров'!CL3,(IF($AG$23=1.5,'скан параметров'!CK3,'скан параметров'!CJ3)))))))))</f>
        <v>0.88232409746766405</v>
      </c>
      <c r="U31" s="8" t="s">
        <v>468</v>
      </c>
      <c r="Y31" s="40"/>
      <c r="AJ31" s="193">
        <f>S31</f>
        <v>0.67152913655168456</v>
      </c>
      <c r="AK31" s="5" t="s">
        <v>390</v>
      </c>
      <c r="AN31" s="342" t="s">
        <v>702</v>
      </c>
    </row>
    <row r="32" spans="1:49" ht="17.75" thickBot="1" x14ac:dyDescent="0.7">
      <c r="B32" s="10" t="s">
        <v>23</v>
      </c>
      <c r="C32" s="175">
        <v>30</v>
      </c>
      <c r="D32" s="21" t="s">
        <v>64</v>
      </c>
      <c r="F32" s="475"/>
      <c r="K32" s="83" t="s">
        <v>346</v>
      </c>
      <c r="S32" s="204" t="s">
        <v>494</v>
      </c>
      <c r="T32" s="40" t="s">
        <v>615</v>
      </c>
      <c r="AH32" s="482">
        <v>0.2</v>
      </c>
      <c r="AI32" s="421" t="s">
        <v>495</v>
      </c>
      <c r="AJ32" s="193">
        <f>C19</f>
        <v>0.96754271828178529</v>
      </c>
      <c r="AK32" s="410" t="s">
        <v>690</v>
      </c>
      <c r="AM32" s="380" t="s">
        <v>664</v>
      </c>
      <c r="AN32" s="379" t="s">
        <v>664</v>
      </c>
      <c r="AO32" s="378" t="s">
        <v>664</v>
      </c>
      <c r="AT32" s="567"/>
      <c r="AU32" s="567"/>
      <c r="AV32" s="567"/>
    </row>
    <row r="33" spans="1:57" ht="18" thickBot="1" x14ac:dyDescent="0.7">
      <c r="B33" s="30" t="s">
        <v>292</v>
      </c>
      <c r="C33" s="164">
        <v>500</v>
      </c>
      <c r="D33" s="18" t="s">
        <v>65</v>
      </c>
      <c r="K33" s="419">
        <f>K30*0.5</f>
        <v>1.5E+24</v>
      </c>
      <c r="L33" s="246" t="s">
        <v>344</v>
      </c>
      <c r="M33" s="198"/>
      <c r="N33" s="14"/>
      <c r="Q33" s="420">
        <f>Q22/Q24</f>
        <v>0</v>
      </c>
      <c r="R33" s="420">
        <f>R22/R24</f>
        <v>0</v>
      </c>
      <c r="S33" s="420">
        <f>S22/S24</f>
        <v>0</v>
      </c>
      <c r="AH33" s="482">
        <v>0.5</v>
      </c>
      <c r="AI33" s="340" t="s">
        <v>502</v>
      </c>
      <c r="AJ33" s="275">
        <f>T31/(C18/1000)</f>
        <v>1.2712572086642173</v>
      </c>
      <c r="AK33" s="221" t="s">
        <v>679</v>
      </c>
      <c r="AM33" s="422">
        <f>[1]результаты!$AY$8</f>
        <v>2.10880608720172E-2</v>
      </c>
      <c r="AN33" s="422">
        <f>[1]результаты!$BC$10</f>
        <v>8.3075014005467886E-3</v>
      </c>
      <c r="AO33" s="422">
        <f>[1]результаты!$BG$10</f>
        <v>8.4579476211769644E-3</v>
      </c>
      <c r="AP33" s="42" t="s">
        <v>620</v>
      </c>
      <c r="AT33" s="303"/>
    </row>
    <row r="34" spans="1:57" x14ac:dyDescent="0.65">
      <c r="B34" s="10" t="s">
        <v>26</v>
      </c>
      <c r="C34" s="13">
        <v>10</v>
      </c>
      <c r="D34" s="41" t="s">
        <v>27</v>
      </c>
      <c r="K34" s="83" t="s">
        <v>358</v>
      </c>
      <c r="M34" s="427">
        <f>0.131*10^20*0.7*0</f>
        <v>0</v>
      </c>
      <c r="N34" s="428" t="s">
        <v>344</v>
      </c>
      <c r="Q34" s="420">
        <f>Q22/[1]результаты!$AC$13</f>
        <v>0</v>
      </c>
      <c r="R34" s="420">
        <f>R22/[1]результаты!$AE$13</f>
        <v>0</v>
      </c>
      <c r="S34" s="420">
        <f>S22/[1]результаты!$AG$13</f>
        <v>0</v>
      </c>
      <c r="AJ34" s="423">
        <f>IF(C11=8*10^19,IF($AG$23=1,'скан параметров'!CO5,(IF($AG$23=2.5,'скан параметров'!CR5,(IF($AG$23=2,'скан параметров'!CQ5,'скан параметров'!CP5))))),IF(C11=7*10^19,IF($AG$23=1,'скан параметров'!CO4,(IF($AG$23=2.5,'скан параметров'!CR4,(IF($AG$23=2,'скан параметров'!CQ4,'скан параметров'!CP4))))),IF($AG$23=1,'скан параметров'!CO3,(IF($AG$23=2.5,'скан параметров'!CR3,(IF($AG$23=2,'скан параметров'!CQ3,'скан параметров'!CP3)))))))</f>
        <v>0.70588171784061704</v>
      </c>
      <c r="AK34" s="302" t="s">
        <v>619</v>
      </c>
      <c r="AM34" s="422">
        <f>[1]результаты!$AY$9</f>
        <v>3.2413654073164218E-4</v>
      </c>
      <c r="AN34" s="422">
        <f>[1]результаты!$BC$9</f>
        <v>3.2413654073164218E-4</v>
      </c>
      <c r="AO34" s="422">
        <f>[1]результаты!$BG$9</f>
        <v>3.6369507848150258E-4</v>
      </c>
      <c r="AP34" s="42" t="s">
        <v>621</v>
      </c>
      <c r="AT34" s="233"/>
    </row>
    <row r="35" spans="1:57" x14ac:dyDescent="0.65">
      <c r="B35" s="10" t="s">
        <v>276</v>
      </c>
      <c r="C35" s="13">
        <v>0.8</v>
      </c>
      <c r="D35" s="41" t="s">
        <v>27</v>
      </c>
      <c r="K35" s="166">
        <v>0</v>
      </c>
      <c r="L35" s="22" t="s">
        <v>16</v>
      </c>
      <c r="M35" s="427">
        <f>0.1085*10^20*0</f>
        <v>0</v>
      </c>
      <c r="N35" s="65" t="s">
        <v>684</v>
      </c>
      <c r="AH35" s="13">
        <f>C9</f>
        <v>20</v>
      </c>
      <c r="AI35" s="5" t="s">
        <v>416</v>
      </c>
      <c r="AJ35" s="424">
        <f>AG24</f>
        <v>6E+19</v>
      </c>
      <c r="AK35" s="382" t="s">
        <v>447</v>
      </c>
      <c r="AM35" s="422">
        <f>[1]результаты!$AY$8</f>
        <v>2.10880608720172E-2</v>
      </c>
      <c r="AN35" s="422">
        <f>[1]результаты!$BC$8</f>
        <v>2.10880608720172E-2</v>
      </c>
      <c r="AO35" s="422">
        <f>[1]результаты!$BG$8</f>
        <v>1.2970991505410458E-4</v>
      </c>
      <c r="AP35" s="42" t="s">
        <v>622</v>
      </c>
    </row>
    <row r="36" spans="1:57" x14ac:dyDescent="0.65">
      <c r="B36" s="10" t="s">
        <v>277</v>
      </c>
      <c r="C36" s="13">
        <v>0.4</v>
      </c>
      <c r="D36" s="41" t="s">
        <v>27</v>
      </c>
      <c r="K36" s="83" t="s">
        <v>610</v>
      </c>
      <c r="AH36" s="223" t="str">
        <f>IF('[2]динамика изотопов в ТЦ'!$FB$5&gt;AH35, "ПРЕВЫЩЕНИЕ", "НОРМ")</f>
        <v>НОРМ</v>
      </c>
      <c r="AM36" s="422">
        <f>[1]результаты!$AY$15</f>
        <v>1.179338191859402E-5</v>
      </c>
      <c r="AN36" s="422">
        <f>[1]результаты!$BC$15</f>
        <v>1.179338191859402E-5</v>
      </c>
      <c r="AO36" s="422">
        <f>[1]результаты!$BG$15</f>
        <v>1.179338191859402E-5</v>
      </c>
      <c r="AP36" s="39" t="s">
        <v>623</v>
      </c>
    </row>
    <row r="37" spans="1:57" ht="16.5" customHeight="1" x14ac:dyDescent="0.65">
      <c r="B37" s="10" t="s">
        <v>311</v>
      </c>
      <c r="C37" s="191">
        <v>4.5</v>
      </c>
      <c r="D37" s="41" t="s">
        <v>9</v>
      </c>
      <c r="K37" s="419">
        <f>K33*K35%</f>
        <v>0</v>
      </c>
      <c r="L37" s="30" t="s">
        <v>689</v>
      </c>
      <c r="M37" s="419">
        <f>[1]результаты!$AC$53</f>
        <v>1.8217748578543994E+22</v>
      </c>
      <c r="N37" s="246" t="s">
        <v>344</v>
      </c>
      <c r="O37" s="371" t="e">
        <f>M37/K37</f>
        <v>#DIV/0!</v>
      </c>
      <c r="P37" s="9" t="s">
        <v>691</v>
      </c>
      <c r="R37" s="14" t="s">
        <v>703</v>
      </c>
      <c r="AH37" s="190">
        <f>C13</f>
        <v>4.5922650200064737E+19</v>
      </c>
      <c r="AI37" s="190">
        <f>C13</f>
        <v>4.5922650200064737E+19</v>
      </c>
      <c r="AJ37" s="190">
        <f>C13</f>
        <v>4.5922650200064737E+19</v>
      </c>
      <c r="AK37" s="65" t="s">
        <v>680</v>
      </c>
      <c r="AM37" s="422">
        <f>[1]результаты!$AY$19</f>
        <v>8.6821049663388661E-3</v>
      </c>
      <c r="AN37" s="422">
        <f>[1]результаты!$BC$19</f>
        <v>8.6821049663388661E-3</v>
      </c>
      <c r="AO37" s="422">
        <f>[1]результаты!$BG$19</f>
        <v>8.6821049663388661E-3</v>
      </c>
      <c r="AP37" s="21" t="s">
        <v>507</v>
      </c>
    </row>
    <row r="38" spans="1:57" ht="16.5" customHeight="1" x14ac:dyDescent="0.65">
      <c r="B38" s="10" t="s">
        <v>279</v>
      </c>
      <c r="C38" s="191">
        <v>19.5</v>
      </c>
      <c r="D38" s="41" t="s">
        <v>9</v>
      </c>
      <c r="F38" s="65"/>
      <c r="R38" s="14" t="s">
        <v>704</v>
      </c>
      <c r="AH38" s="399">
        <f>[1]результаты!$AM$92</f>
        <v>4.5922650200064926E+19</v>
      </c>
      <c r="AI38" s="399">
        <f>[1]результаты!$AN$92</f>
        <v>4.5922650200064926E+19</v>
      </c>
      <c r="AJ38" s="399">
        <f>[1]результаты!$AO$92</f>
        <v>4.5922650200064926E+19</v>
      </c>
      <c r="AK38" s="65" t="s">
        <v>485</v>
      </c>
      <c r="AM38" s="422">
        <f>[1]результаты!$AY$23</f>
        <v>5.9540331676712131E-4</v>
      </c>
      <c r="AN38" s="422">
        <f>[1]результаты!$BC$23</f>
        <v>1.7364209932677733E-4</v>
      </c>
      <c r="AO38" s="422">
        <f>[1]результаты!$BG$23</f>
        <v>1.7364209932677733E-4</v>
      </c>
      <c r="AP38" s="42" t="s">
        <v>624</v>
      </c>
    </row>
    <row r="39" spans="1:57" ht="16.5" customHeight="1" x14ac:dyDescent="0.65">
      <c r="A39" s="10" t="s">
        <v>333</v>
      </c>
      <c r="B39" s="6" t="s">
        <v>10</v>
      </c>
      <c r="C39" s="192">
        <v>0.6</v>
      </c>
      <c r="D39" s="1"/>
      <c r="F39" s="425"/>
      <c r="J39" s="30" t="s">
        <v>618</v>
      </c>
      <c r="K39" s="488">
        <f>'[1]баланс тритий'!$B$154+'[1]баланс дейтерий'!$B$154</f>
        <v>1.9323671497584539E+22</v>
      </c>
      <c r="L39" s="246" t="s">
        <v>344</v>
      </c>
      <c r="M39" s="302">
        <f>K39*(1/2*1.38E-23*300)/$C$8</f>
        <v>20</v>
      </c>
      <c r="N39" s="8" t="s">
        <v>609</v>
      </c>
      <c r="AH39" s="223" t="str">
        <f>IF(ABS(AH37-AH38)&lt;AH37*0.01, "НОРМ", "ПРЕВЫШЕНИЕ")</f>
        <v>НОРМ</v>
      </c>
      <c r="AI39" s="223" t="str">
        <f>IF(ABS(AI37-AI38)&lt;AI37*0.01, "НОРМ", "ПРЕВЫШЕНИЕ")</f>
        <v>НОРМ</v>
      </c>
      <c r="AJ39" s="223" t="str">
        <f>IF(ABS(AJ37-AJ38)&lt;AJ37*0.01, "НОРМ", "ПРЕВЫШЕНИЕ")</f>
        <v>НОРМ</v>
      </c>
      <c r="AM39" s="422">
        <f>[1]результаты!$AY$21</f>
        <v>2.9770165838356063E-2</v>
      </c>
      <c r="AN39" s="422">
        <f>[1]результаты!$BC$21</f>
        <v>8.6821049663388661E-3</v>
      </c>
      <c r="AO39" s="422">
        <f>[1]результаты!$BG$21</f>
        <v>8.6821049663388661E-3</v>
      </c>
      <c r="AP39" s="12" t="s">
        <v>506</v>
      </c>
    </row>
    <row r="40" spans="1:57" ht="16.5" customHeight="1" x14ac:dyDescent="0.65">
      <c r="A40" s="10" t="s">
        <v>334</v>
      </c>
      <c r="B40" s="6" t="s">
        <v>6</v>
      </c>
      <c r="C40" s="192">
        <v>0.8</v>
      </c>
      <c r="D40" s="1"/>
      <c r="F40" s="425"/>
      <c r="H40" s="426"/>
      <c r="K40" s="489">
        <f>'[1]баланс тритий'!$B$154+'[1]баланс дейтерий'!$B$154</f>
        <v>1.9323671497584539E+22</v>
      </c>
      <c r="M40" s="302">
        <f>K40*(1/2*1.38E-23*300)/$C$8</f>
        <v>20</v>
      </c>
      <c r="O40" s="422" t="s">
        <v>694</v>
      </c>
      <c r="AH40" s="386">
        <f t="shared" ref="AH40:AJ41" si="2">AM68</f>
        <v>513.14309937484188</v>
      </c>
      <c r="AI40" s="385">
        <f t="shared" si="2"/>
        <v>496.35958873857641</v>
      </c>
      <c r="AJ40" s="400">
        <f t="shared" si="2"/>
        <v>385.74258097286906</v>
      </c>
      <c r="AK40" s="196" t="s">
        <v>488</v>
      </c>
      <c r="AM40" s="422"/>
      <c r="AN40" s="422"/>
      <c r="AO40" s="422"/>
      <c r="AP40" s="476"/>
    </row>
    <row r="41" spans="1:57" x14ac:dyDescent="0.65">
      <c r="B41" s="6" t="s">
        <v>274</v>
      </c>
      <c r="C41" s="96">
        <v>20</v>
      </c>
      <c r="D41" s="65" t="s">
        <v>16</v>
      </c>
      <c r="F41" s="57" t="s">
        <v>280</v>
      </c>
      <c r="I41" s="11"/>
      <c r="K41" s="490">
        <f>'[1]баланс тритий'!$B$154+'[1]баланс дейтерий'!$B$154</f>
        <v>1.9323671497584539E+22</v>
      </c>
      <c r="M41" s="302">
        <f>K41*(1/2*1.38E-23*300)/$C$8</f>
        <v>20</v>
      </c>
      <c r="O41" s="485" t="s">
        <v>695</v>
      </c>
      <c r="AH41" s="418">
        <f t="shared" si="2"/>
        <v>356.041232304559</v>
      </c>
      <c r="AI41" s="418">
        <f t="shared" si="2"/>
        <v>656.69946603345534</v>
      </c>
      <c r="AJ41" s="418">
        <f t="shared" si="2"/>
        <v>1022.9820801133799</v>
      </c>
      <c r="AM41" s="422">
        <f>[1]результаты!$AY$27</f>
        <v>3.2413654073164218E-4</v>
      </c>
      <c r="AN41" s="422">
        <f>[1]результаты!$BC$27</f>
        <v>5.141412991116781E-4</v>
      </c>
      <c r="AO41" s="422">
        <f>[1]результаты!$BG$27</f>
        <v>3.6369507848150258E-4</v>
      </c>
      <c r="AP41" s="39" t="s">
        <v>625</v>
      </c>
    </row>
    <row r="42" spans="1:57" ht="15.65" customHeight="1" x14ac:dyDescent="0.65">
      <c r="Z42" s="218">
        <f>U54</f>
        <v>0.67</v>
      </c>
      <c r="AA42" s="218" t="s">
        <v>11</v>
      </c>
      <c r="AB42" s="218">
        <f>V56</f>
        <v>0.37</v>
      </c>
      <c r="AH42" s="483">
        <f>AM60</f>
        <v>10.732450399609469</v>
      </c>
      <c r="AI42" s="483">
        <f>AN60</f>
        <v>12.6488269478339</v>
      </c>
      <c r="AJ42" s="483">
        <f>AO60</f>
        <v>44.53988158061324</v>
      </c>
      <c r="AK42" s="315" t="s">
        <v>487</v>
      </c>
      <c r="AM42" s="422" t="s">
        <v>11</v>
      </c>
      <c r="AN42" s="422" t="s">
        <v>11</v>
      </c>
      <c r="AO42" s="422">
        <f>[1]результаты!$BG$26</f>
        <v>1.2970991505410458E-4</v>
      </c>
      <c r="AP42" s="39" t="s">
        <v>626</v>
      </c>
    </row>
    <row r="43" spans="1:57" x14ac:dyDescent="0.65">
      <c r="A43" s="10" t="s">
        <v>307</v>
      </c>
      <c r="B43" s="10" t="s">
        <v>340</v>
      </c>
      <c r="C43" s="191">
        <v>3</v>
      </c>
      <c r="D43" s="8" t="s">
        <v>30</v>
      </c>
      <c r="E43" s="429"/>
      <c r="G43" s="430" t="s">
        <v>495</v>
      </c>
      <c r="H43" s="300">
        <f>AH32</f>
        <v>0.2</v>
      </c>
      <c r="I43" s="371">
        <v>0.1</v>
      </c>
      <c r="K43" s="431">
        <v>1</v>
      </c>
      <c r="Z43" s="217">
        <f>S54</f>
        <v>0.65</v>
      </c>
      <c r="AA43" s="217" t="s">
        <v>11</v>
      </c>
      <c r="AB43" s="217">
        <f>T56</f>
        <v>0.35</v>
      </c>
      <c r="AJ43" s="432">
        <f>F49</f>
        <v>14.412833671807864</v>
      </c>
      <c r="AK43" s="206" t="s">
        <v>497</v>
      </c>
      <c r="BB43" s="433"/>
      <c r="BC43" s="34"/>
      <c r="BD43" s="29"/>
      <c r="BE43" s="34"/>
    </row>
    <row r="44" spans="1:57" ht="17.75" x14ac:dyDescent="0.9">
      <c r="B44" s="10" t="s">
        <v>339</v>
      </c>
      <c r="C44" s="191">
        <v>3</v>
      </c>
      <c r="D44" s="8" t="s">
        <v>30</v>
      </c>
      <c r="E44" s="430" t="s">
        <v>496</v>
      </c>
      <c r="F44" s="478">
        <f>AH30</f>
        <v>1</v>
      </c>
      <c r="G44" s="301" t="s">
        <v>502</v>
      </c>
      <c r="H44" s="300">
        <f>AH33</f>
        <v>0.5</v>
      </c>
      <c r="I44" s="371">
        <f>I43</f>
        <v>0.1</v>
      </c>
      <c r="O44" s="502"/>
      <c r="AH44" s="396">
        <f>H48</f>
        <v>0.38366621002307855</v>
      </c>
      <c r="AI44" s="434">
        <f>H49</f>
        <v>0.38366621002307855</v>
      </c>
      <c r="AJ44" s="435">
        <f>H50</f>
        <v>0.38366621002307849</v>
      </c>
      <c r="AK44" s="21" t="s">
        <v>498</v>
      </c>
      <c r="AM44" s="396">
        <f>[1]результаты!$AG$40</f>
        <v>40</v>
      </c>
      <c r="AN44" s="434">
        <f>[1]результаты!$AG$40</f>
        <v>40</v>
      </c>
      <c r="AO44" s="435">
        <f>[1]результаты!$AG$40</f>
        <v>40</v>
      </c>
      <c r="AP44" s="401" t="s">
        <v>666</v>
      </c>
      <c r="BD44" s="8"/>
    </row>
    <row r="45" spans="1:57" ht="15.65" customHeight="1" x14ac:dyDescent="0.65">
      <c r="A45" s="10" t="s">
        <v>308</v>
      </c>
      <c r="B45" s="10" t="s">
        <v>340</v>
      </c>
      <c r="C45" s="308">
        <f t="shared" ref="C45:C50" si="3">AM2*K45</f>
        <v>0.19183310501153925</v>
      </c>
      <c r="D45" s="65" t="s">
        <v>291</v>
      </c>
      <c r="E45" s="189"/>
      <c r="F45" s="196" t="s">
        <v>687</v>
      </c>
      <c r="I45" s="242"/>
      <c r="K45" s="402">
        <f>IF($F$44=1, $AG$26, $AG$25)*K43</f>
        <v>1</v>
      </c>
      <c r="AH45" s="396">
        <f>H55</f>
        <v>0.38366621002307855</v>
      </c>
      <c r="AI45" s="434">
        <f>H56</f>
        <v>0.38366621002307855</v>
      </c>
      <c r="AJ45" s="435">
        <f>H57</f>
        <v>0.38366621002307849</v>
      </c>
      <c r="AK45" s="21" t="s">
        <v>499</v>
      </c>
      <c r="AM45" s="204">
        <f>'[3]Сценарий D+T'!$B$3</f>
        <v>1.4713724475355872</v>
      </c>
      <c r="AN45" s="204">
        <f>'[3]Сценарий D+T(loop)'!$B$3</f>
        <v>2.3338724475355872</v>
      </c>
      <c r="AO45" s="204">
        <f>'[3]Сценарий D'!$B$3</f>
        <v>1.6509428914557933</v>
      </c>
      <c r="AP45" s="401" t="s">
        <v>667</v>
      </c>
      <c r="BD45" s="8"/>
    </row>
    <row r="46" spans="1:57" x14ac:dyDescent="0.65">
      <c r="C46" s="309">
        <f t="shared" si="3"/>
        <v>0.19183310501153925</v>
      </c>
      <c r="E46" s="189"/>
      <c r="F46" s="196" t="s">
        <v>688</v>
      </c>
      <c r="K46" s="402">
        <f>IF($F$44=1, $AG$26, $AG$25)*K43</f>
        <v>1</v>
      </c>
      <c r="AE46" s="34"/>
      <c r="AF46" s="34"/>
      <c r="AG46" s="34"/>
      <c r="AL46" s="436"/>
      <c r="AM46" s="384">
        <f>AM45/AM44</f>
        <v>3.6784311188389679E-2</v>
      </c>
      <c r="AN46" s="384">
        <f>AN45/AN44</f>
        <v>5.8346811188389677E-2</v>
      </c>
      <c r="AO46" s="384">
        <f>AO45/AO44</f>
        <v>4.1273572286394833E-2</v>
      </c>
      <c r="AP46" s="21" t="s">
        <v>9</v>
      </c>
      <c r="BD46" s="8"/>
    </row>
    <row r="47" spans="1:57" ht="15.65" customHeight="1" x14ac:dyDescent="0.65">
      <c r="C47" s="310">
        <f t="shared" si="3"/>
        <v>0.21524495826678408</v>
      </c>
      <c r="E47" s="189"/>
      <c r="H47" s="437" t="s">
        <v>498</v>
      </c>
      <c r="I47" s="242"/>
      <c r="K47" s="402">
        <f>IF($F$44=1, $AG$26, $AG$25)*K43</f>
        <v>1</v>
      </c>
      <c r="AE47" s="438"/>
      <c r="AH47" s="439">
        <f>AH54+AH53</f>
        <v>37.5</v>
      </c>
      <c r="AI47" s="440">
        <f>AI54+AI53</f>
        <v>37.5</v>
      </c>
      <c r="AJ47" s="441">
        <f>AJ54+AJ53</f>
        <v>37.5</v>
      </c>
      <c r="AK47" s="342" t="s">
        <v>612</v>
      </c>
      <c r="AL47" s="83"/>
      <c r="AM47" s="83"/>
      <c r="AN47" s="83"/>
      <c r="AO47" s="83"/>
      <c r="BD47" s="8"/>
    </row>
    <row r="48" spans="1:57" x14ac:dyDescent="0.65">
      <c r="B48" s="10" t="s">
        <v>339</v>
      </c>
      <c r="C48" s="311">
        <f t="shared" si="3"/>
        <v>0.1918331050115393</v>
      </c>
      <c r="D48" s="65" t="s">
        <v>291</v>
      </c>
      <c r="E48" s="189"/>
      <c r="F48" s="206" t="s">
        <v>497</v>
      </c>
      <c r="H48" s="442">
        <f>C45+C48</f>
        <v>0.38366621002307855</v>
      </c>
      <c r="I48" s="242"/>
      <c r="K48" s="402">
        <f>IF($F$44=1, $AG$26, $AG$25)</f>
        <v>1</v>
      </c>
      <c r="AE48" s="443"/>
      <c r="AH48" s="439">
        <f>AH56+AH55</f>
        <v>63.972715110242923</v>
      </c>
      <c r="AI48" s="440">
        <f>AI56+AI55</f>
        <v>63.972715110242923</v>
      </c>
      <c r="AJ48" s="441">
        <f>AJ56+AJ55</f>
        <v>63.972715110242909</v>
      </c>
      <c r="AK48" s="342" t="s">
        <v>613</v>
      </c>
      <c r="AL48" s="590">
        <f>AR28</f>
        <v>533.0290021070914</v>
      </c>
      <c r="AM48" s="204" t="s">
        <v>617</v>
      </c>
      <c r="AN48" s="204" t="s">
        <v>668</v>
      </c>
      <c r="AO48" s="204" t="s">
        <v>669</v>
      </c>
      <c r="AP48" s="5" t="s">
        <v>9</v>
      </c>
      <c r="BB48" s="8"/>
      <c r="BC48" s="8"/>
      <c r="BD48" s="8"/>
      <c r="BE48" s="8"/>
    </row>
    <row r="49" spans="1:44" ht="15.65" customHeight="1" x14ac:dyDescent="0.65">
      <c r="C49" s="312">
        <f t="shared" si="3"/>
        <v>0.1918331050115393</v>
      </c>
      <c r="F49" s="432">
        <f>H43*C17/H44</f>
        <v>14.412833671807864</v>
      </c>
      <c r="G49" s="189"/>
      <c r="H49" s="442">
        <f>C46+C49</f>
        <v>0.38366621002307855</v>
      </c>
      <c r="I49" s="242"/>
      <c r="K49" s="402">
        <f>IF($F$44=1, $AG$26, $AG$25)</f>
        <v>1</v>
      </c>
      <c r="AH49" s="200">
        <f>AH58+AH57</f>
        <v>223.72841136599399</v>
      </c>
      <c r="AI49" s="201">
        <f>AI58+AI57</f>
        <v>223.72841136599399</v>
      </c>
      <c r="AJ49" s="202">
        <f>AJ58+AJ57</f>
        <v>223.72841136599399</v>
      </c>
      <c r="AK49" s="196" t="s">
        <v>614</v>
      </c>
      <c r="AM49" s="200">
        <f>'[2]динамика изотопов в ТЦ'!$CW$68</f>
        <v>37.710739557586066</v>
      </c>
      <c r="AN49" s="200">
        <f>'[2]динамика изотопов в ТЦ'!$BU$68</f>
        <v>1.4713724475355872</v>
      </c>
      <c r="AO49" s="200">
        <f>'[2]динамика изотопов в ТЦ'!$AZ$68</f>
        <v>0.86250000000000004</v>
      </c>
      <c r="AP49" s="204">
        <f>AM49+AN49+AO49-('[1]баланс тритий'!$B$9+'[1]баланс дейтерий'!$B$9)*(1/2*1.38E-23*300)</f>
        <v>39.999999999999993</v>
      </c>
      <c r="AQ49" s="22" t="str">
        <f>IF('[1]баланс тритий'!B202+'[1]баланс дейтерий'!B202&gt;[1]результаты!AD40, "ПРЕВЫЩЕНИЕ", "НОРМ")</f>
        <v>НОРМ</v>
      </c>
      <c r="AR49" s="500"/>
    </row>
    <row r="50" spans="1:44" ht="15.75" customHeight="1" x14ac:dyDescent="0.65">
      <c r="C50" s="310">
        <f t="shared" si="3"/>
        <v>0.16842125175629441</v>
      </c>
      <c r="E50" s="189"/>
      <c r="G50" s="189"/>
      <c r="H50" s="442">
        <f>C47+C50</f>
        <v>0.38366621002307849</v>
      </c>
      <c r="I50" s="242"/>
      <c r="K50" s="402">
        <f>IF($F$44=1, $AG$26, $AG$25)</f>
        <v>1</v>
      </c>
      <c r="AH50" s="444">
        <f>AH61+AH60</f>
        <v>323.04595714668824</v>
      </c>
      <c r="AI50" s="445">
        <f>AI61+AI60</f>
        <v>323.04595714668824</v>
      </c>
      <c r="AJ50" s="446">
        <f>AJ61+AJ60</f>
        <v>323.04595714668824</v>
      </c>
      <c r="AK50" s="447" t="s">
        <v>395</v>
      </c>
      <c r="AM50" s="201">
        <f>'[2]динамика изотопов в ТЦ'!$CX$68</f>
        <v>37.710739557586066</v>
      </c>
      <c r="AN50" s="201">
        <f>'[2]динамика изотопов в ТЦ'!$BV$68</f>
        <v>1.4713724475355872</v>
      </c>
      <c r="AO50" s="201">
        <f>'[2]динамика изотопов в ТЦ'!$BA$68</f>
        <v>0.86250000000000004</v>
      </c>
      <c r="AP50" s="204">
        <f>AM50+AN50+AO50-('[1]баланс тритий'!$B$9+'[1]баланс дейтерий'!$B$9)*(1/2*1.38E-23*300)</f>
        <v>39.999999999999993</v>
      </c>
      <c r="AQ50" s="22" t="str">
        <f>IF('[1]баланс тритий'!B203+'[1]баланс дейтерий'!B203&gt;[1]результаты!AD41, "ПРЕВЫЩЕНИЕ", "НОРМ")</f>
        <v>НОРМ</v>
      </c>
    </row>
    <row r="51" spans="1:44" x14ac:dyDescent="0.65">
      <c r="A51" s="10" t="s">
        <v>309</v>
      </c>
      <c r="B51" s="10" t="s">
        <v>340</v>
      </c>
      <c r="C51" s="193">
        <f>K51</f>
        <v>2.5373114388444984</v>
      </c>
      <c r="D51" s="65" t="s">
        <v>168</v>
      </c>
      <c r="E51" s="60" t="s">
        <v>8</v>
      </c>
      <c r="F51" s="186">
        <f>3.14/4*C51^3</f>
        <v>12.823039760321695</v>
      </c>
      <c r="G51" s="1" t="s">
        <v>360</v>
      </c>
      <c r="H51" s="234">
        <f>'[1]баланс тритий'!$H$82</f>
        <v>6.1755759485709281E+20</v>
      </c>
      <c r="I51" s="479">
        <f>H51/(C13*K5)</f>
        <v>0.1111111111111111</v>
      </c>
      <c r="K51" s="448">
        <f>('[1]баланс тритий'!$E$81/(3.14/4))^(1/3)</f>
        <v>2.5373114388444984</v>
      </c>
      <c r="L51" s="404" t="s">
        <v>168</v>
      </c>
      <c r="M51" s="404" t="str">
        <f>IF('[1]баланс тритий'!B83&lt;1, "ПРЕВЫЩЕНИЕ", "НОРМ")</f>
        <v>НОРМ</v>
      </c>
      <c r="AH51" s="40">
        <f>AH68+AH69</f>
        <v>1932.3671497584542</v>
      </c>
      <c r="AI51" s="40">
        <f>AI68+AI69</f>
        <v>1932.3671497584542</v>
      </c>
      <c r="AJ51" s="40">
        <f>AJ68+AJ69</f>
        <v>1932.3671497584542</v>
      </c>
      <c r="AK51" s="196" t="s">
        <v>618</v>
      </c>
      <c r="AM51" s="202">
        <f>'[2]динамика изотопов в ТЦ'!$CY$68</f>
        <v>37.710739557586066</v>
      </c>
      <c r="AN51" s="202">
        <f>'[2]динамика изотопов в ТЦ'!$BW$68</f>
        <v>1.4713724475355869</v>
      </c>
      <c r="AO51" s="202">
        <f>'[2]динамика изотопов в ТЦ'!$BB$68</f>
        <v>0.86250000000000004</v>
      </c>
      <c r="AP51" s="204">
        <f>AM51+AN51+AO51-('[1]баланс тритий'!$B$9+'[1]баланс дейтерий'!$B$9)*(1/2*1.38E-23*300)</f>
        <v>39.999999999999993</v>
      </c>
      <c r="AQ51" s="22" t="str">
        <f>IF('[1]баланс тритий'!B204+'[1]баланс дейтерий'!B204&gt;[1]результаты!AD42, "ПРЕВЫЩЕНИЕ", "НОРМ")</f>
        <v>НОРМ</v>
      </c>
    </row>
    <row r="52" spans="1:44" ht="15.75" customHeight="1" x14ac:dyDescent="0.65">
      <c r="B52" s="10" t="s">
        <v>339</v>
      </c>
      <c r="C52" s="193">
        <f>K52</f>
        <v>2.5268265612292273</v>
      </c>
      <c r="D52" s="65" t="s">
        <v>168</v>
      </c>
      <c r="E52" s="67" t="s">
        <v>8</v>
      </c>
      <c r="F52" s="186">
        <f>3.14/4*C52^3</f>
        <v>12.664730627478214</v>
      </c>
      <c r="G52" s="1" t="s">
        <v>360</v>
      </c>
      <c r="H52" s="234">
        <f>'[1]баланс дейтерий'!$H$82</f>
        <v>6.1755759485709268E+20</v>
      </c>
      <c r="I52" s="479">
        <f>H52/(C13*K5)</f>
        <v>0.11111111111111109</v>
      </c>
      <c r="K52" s="448">
        <f>('[1]баланс дейтерий'!$E$81/(3.14/4))^(1/3)</f>
        <v>2.5268265612292273</v>
      </c>
      <c r="L52" s="404" t="s">
        <v>168</v>
      </c>
      <c r="M52" s="404" t="str">
        <f>IF('[1]баланс дейтерий'!B83&lt;1, "ПРЕВЫЩЕНИЕ", "НОРМ")</f>
        <v>НОРМ</v>
      </c>
      <c r="V52" s="52"/>
      <c r="AI52" s="52"/>
      <c r="AK52" s="8"/>
      <c r="AM52" s="8"/>
      <c r="AP52" s="65"/>
    </row>
    <row r="53" spans="1:44" x14ac:dyDescent="0.65">
      <c r="G53" s="1"/>
      <c r="I53" s="9"/>
      <c r="K53" s="40"/>
      <c r="L53" s="1"/>
      <c r="M53" s="40"/>
      <c r="P53" s="215">
        <f>C21%</f>
        <v>0.5</v>
      </c>
      <c r="Q53" s="216">
        <f>(C13*K5*C22%+C14*F21-Q59-Q63+Q65)/(K11*K5+Q61+R61)</f>
        <v>0.65685700765891186</v>
      </c>
      <c r="R53" s="216">
        <f>(C13*K5*(1-C22%)+C14*F21-R59-R63+R65)/(K11*K5+R61+Q61)</f>
        <v>0.65685700765891186</v>
      </c>
      <c r="S53" s="217">
        <f>(C13*K5*C22%+C14*F21-S59-S63+S65)/(K11*K5+S61+T61)</f>
        <v>0.65685700765891186</v>
      </c>
      <c r="T53" s="217">
        <f>(C13*K5*(1-C22%)+C14*F21-T59-T63+T65)/(K11*K5+T61+S61)</f>
        <v>0.65685700765891186</v>
      </c>
      <c r="U53" s="218">
        <f>(C13*K5*C22%+C14*F21-U59-U63+U65)/(K11*K5+U61+V61)</f>
        <v>0.67591699612156519</v>
      </c>
      <c r="V53" s="218">
        <f>(C13*K5*(1-C22%)+C14*F21-V59-V63+V65)/(K11*K5+V61+U61)</f>
        <v>0.63779701919625853</v>
      </c>
      <c r="AH53" s="207">
        <f>[1]результаты!AD10</f>
        <v>18.75</v>
      </c>
      <c r="AI53" s="207">
        <f>[1]результаты!AF10</f>
        <v>18.75</v>
      </c>
      <c r="AJ53" s="207">
        <f>[1]результаты!AH10</f>
        <v>0</v>
      </c>
      <c r="AK53" s="196" t="str">
        <f>[1]результаты!AB10</f>
        <v>ST_nb</v>
      </c>
      <c r="AM53" s="397">
        <f>'[2]динамика изотопов в ТЦ'!DA35</f>
        <v>0.5</v>
      </c>
      <c r="AN53" s="397">
        <f>'[2]динамика изотопов в ТЦ'!DB35</f>
        <v>0.5</v>
      </c>
      <c r="AO53" s="397">
        <f>'[2]динамика изотопов в ТЦ'!DC35</f>
        <v>0.50905484172535165</v>
      </c>
      <c r="AP53" s="65" t="s">
        <v>617</v>
      </c>
    </row>
    <row r="54" spans="1:44" ht="15" customHeight="1" x14ac:dyDescent="0.65">
      <c r="A54" s="10" t="s">
        <v>307</v>
      </c>
      <c r="B54" s="10" t="s">
        <v>341</v>
      </c>
      <c r="C54" s="191">
        <v>0</v>
      </c>
      <c r="D54" s="8" t="s">
        <v>30</v>
      </c>
      <c r="F54" s="449" t="s">
        <v>500</v>
      </c>
      <c r="H54" s="25" t="s">
        <v>499</v>
      </c>
      <c r="I54" s="9"/>
      <c r="J54" s="304" t="s">
        <v>508</v>
      </c>
      <c r="K54" s="176">
        <v>0.5</v>
      </c>
      <c r="L54" s="381">
        <f>(K54/(3.14/4))^(1/3)</f>
        <v>0.86039943368647498</v>
      </c>
      <c r="Q54" s="219">
        <f t="shared" ref="Q54:V54" si="4">FLOOR(Q53,1%)</f>
        <v>0.65</v>
      </c>
      <c r="R54" s="215">
        <f t="shared" si="4"/>
        <v>0.65</v>
      </c>
      <c r="S54" s="219">
        <f t="shared" si="4"/>
        <v>0.65</v>
      </c>
      <c r="T54" s="215">
        <f t="shared" si="4"/>
        <v>0.65</v>
      </c>
      <c r="U54" s="219">
        <f t="shared" si="4"/>
        <v>0.67</v>
      </c>
      <c r="V54" s="215">
        <f t="shared" si="4"/>
        <v>0.63</v>
      </c>
      <c r="AH54" s="268">
        <f>[1]результаты!AD11</f>
        <v>18.75</v>
      </c>
      <c r="AI54" s="268">
        <f>[1]результаты!AF11</f>
        <v>18.75</v>
      </c>
      <c r="AJ54" s="268">
        <f>[1]результаты!AH11</f>
        <v>37.5</v>
      </c>
      <c r="AK54" s="224" t="str">
        <f>[1]результаты!AB11</f>
        <v>SD_nb</v>
      </c>
      <c r="AM54" s="397">
        <f>'[2]динамика изотопов в ТЦ'!B35</f>
        <v>0.5</v>
      </c>
      <c r="AN54" s="397">
        <f>'[2]динамика изотопов в ТЦ'!C35</f>
        <v>0.5</v>
      </c>
      <c r="AO54" s="397">
        <f>'[2]динамика изотопов в ТЦ'!D35</f>
        <v>0.5</v>
      </c>
      <c r="AP54" s="65" t="s">
        <v>616</v>
      </c>
    </row>
    <row r="55" spans="1:44" x14ac:dyDescent="0.65">
      <c r="B55" s="10" t="s">
        <v>342</v>
      </c>
      <c r="C55" s="191">
        <v>2</v>
      </c>
      <c r="D55" s="8" t="s">
        <v>30</v>
      </c>
      <c r="F55" s="450">
        <f>IF(H48&gt;F49, 0, F49-H48)</f>
        <v>14.029167461784786</v>
      </c>
      <c r="H55" s="442">
        <f>H48+C57</f>
        <v>0.38366621002307855</v>
      </c>
      <c r="I55" s="9"/>
      <c r="J55" s="304"/>
      <c r="K55" s="176">
        <v>1</v>
      </c>
      <c r="L55" s="381">
        <f>(K55/(3.14/4))^(1/3)</f>
        <v>1.0840353578192179</v>
      </c>
      <c r="Q55" s="199" t="s">
        <v>442</v>
      </c>
      <c r="R55" s="221" t="s">
        <v>441</v>
      </c>
      <c r="S55" s="199" t="s">
        <v>442</v>
      </c>
      <c r="T55" s="221" t="s">
        <v>441</v>
      </c>
      <c r="U55" s="199" t="s">
        <v>442</v>
      </c>
      <c r="V55" s="221" t="s">
        <v>441</v>
      </c>
      <c r="W55" s="52"/>
      <c r="AH55" s="207">
        <f>[1]результаты!AD12</f>
        <v>31.986357555121462</v>
      </c>
      <c r="AI55" s="207">
        <f>[1]результаты!AF12</f>
        <v>31.986357555121462</v>
      </c>
      <c r="AJ55" s="260">
        <f>[1]результаты!AH12</f>
        <v>35.890062857734634</v>
      </c>
      <c r="AK55" s="196" t="str">
        <f>[1]результаты!AB12</f>
        <v>ST_pel</v>
      </c>
      <c r="AM55" s="398">
        <f>'[2]динамика изотопов в ТЦ'!$KZ$35</f>
        <v>0.5</v>
      </c>
      <c r="AN55" s="398">
        <f>'[2]динамика изотопов в ТЦ'!$LF$35</f>
        <v>0.5</v>
      </c>
      <c r="AO55" s="398">
        <f>'[2]динамика изотопов в ТЦ'!$LL$35</f>
        <v>0.5</v>
      </c>
      <c r="AP55" s="65" t="s">
        <v>483</v>
      </c>
    </row>
    <row r="56" spans="1:44" x14ac:dyDescent="0.65">
      <c r="A56" s="10" t="s">
        <v>308</v>
      </c>
      <c r="B56" s="10" t="s">
        <v>341</v>
      </c>
      <c r="C56" s="193">
        <v>0</v>
      </c>
      <c r="D56" s="451" t="s">
        <v>291</v>
      </c>
      <c r="F56" s="450">
        <f>IF(H49&gt;F49, 0, F49-H49)</f>
        <v>14.029167461784786</v>
      </c>
      <c r="H56" s="442">
        <f>H49+C57</f>
        <v>0.38366621002307855</v>
      </c>
      <c r="I56" s="9"/>
      <c r="J56" s="304"/>
      <c r="K56" s="176">
        <v>1.5</v>
      </c>
      <c r="L56" s="381">
        <f>(K56/(3.14/4))^(1/3)</f>
        <v>1.2409107135270561</v>
      </c>
      <c r="P56" s="215">
        <f>C21%</f>
        <v>0.5</v>
      </c>
      <c r="R56" s="219">
        <f>1-R54</f>
        <v>0.35</v>
      </c>
      <c r="S56" s="215"/>
      <c r="T56" s="219">
        <f>1-T54</f>
        <v>0.35</v>
      </c>
      <c r="U56" s="215"/>
      <c r="V56" s="219">
        <f>1-V54</f>
        <v>0.37</v>
      </c>
      <c r="W56" s="52"/>
      <c r="AH56" s="268">
        <f>[1]результаты!AD13</f>
        <v>31.986357555121462</v>
      </c>
      <c r="AI56" s="268">
        <f>[1]результаты!AF13</f>
        <v>31.986357555121462</v>
      </c>
      <c r="AJ56" s="375">
        <f>[1]результаты!AH13</f>
        <v>28.082652252508275</v>
      </c>
      <c r="AK56" s="224" t="str">
        <f>[1]результаты!AB13</f>
        <v>SD_pel</v>
      </c>
      <c r="AM56" s="398">
        <f>'[2]динамика изотопов в ТЦ'!$KY$35</f>
        <v>0.5</v>
      </c>
      <c r="AN56" s="398">
        <f>'[2]динамика изотопов в ТЦ'!$LE$35</f>
        <v>0.5</v>
      </c>
      <c r="AO56" s="398">
        <f>'[2]динамика изотопов в ТЦ'!$LK$35</f>
        <v>0.5</v>
      </c>
      <c r="AP56" s="65" t="s">
        <v>484</v>
      </c>
    </row>
    <row r="57" spans="1:44" x14ac:dyDescent="0.65">
      <c r="B57" s="10" t="s">
        <v>342</v>
      </c>
      <c r="C57" s="313">
        <v>0</v>
      </c>
      <c r="D57" s="451" t="s">
        <v>291</v>
      </c>
      <c r="E57" s="7" t="s">
        <v>388</v>
      </c>
      <c r="F57" s="450">
        <f>IF(H50&gt;F49, 0, F49-H50)</f>
        <v>14.029167461784786</v>
      </c>
      <c r="G57" s="14" t="s">
        <v>122</v>
      </c>
      <c r="H57" s="442">
        <f>H50+C57</f>
        <v>0.38366621002307849</v>
      </c>
      <c r="I57" s="9"/>
      <c r="J57" s="304"/>
      <c r="K57" s="176">
        <v>2</v>
      </c>
      <c r="L57" s="381">
        <f>(K57/(3.14/4))^(1/3)</f>
        <v>1.3657989661467536</v>
      </c>
      <c r="Q57" s="222">
        <f>($C$22%*$C$13*$K$5/10^19-$Q$23*1/2*$F$21+$C$14*$F$24/10^19)/($K$5*$K$11/10^19+$T$25*$F$23)</f>
        <v>0.65617786356661911</v>
      </c>
      <c r="V57" s="222">
        <f>1-V53</f>
        <v>0.36220298080374147</v>
      </c>
      <c r="W57" s="52"/>
      <c r="AH57" s="207">
        <f>[1]результаты!AD16</f>
        <v>111.864205682997</v>
      </c>
      <c r="AI57" s="207">
        <f>[1]результаты!AF16</f>
        <v>111.864205682997</v>
      </c>
      <c r="AJ57" s="207">
        <f>[1]результаты!AH16</f>
        <v>111.864205682997</v>
      </c>
      <c r="AK57" s="196" t="str">
        <f>[1]результаты!AB16</f>
        <v>ST_sep</v>
      </c>
    </row>
    <row r="58" spans="1:44" x14ac:dyDescent="0.65">
      <c r="A58" s="10" t="s">
        <v>309</v>
      </c>
      <c r="B58" s="10" t="s">
        <v>341</v>
      </c>
      <c r="C58" s="193">
        <f>L57</f>
        <v>1.3657989661467536</v>
      </c>
      <c r="D58" s="65" t="s">
        <v>168</v>
      </c>
      <c r="E58" s="60" t="s">
        <v>8</v>
      </c>
      <c r="F58" s="186">
        <f>3.14*(C58/2)^2*C58</f>
        <v>2</v>
      </c>
      <c r="G58" s="1" t="s">
        <v>360</v>
      </c>
      <c r="H58" s="234">
        <f>'[1]баланс тритий'!$B$93</f>
        <v>9.6319999999999984E+19</v>
      </c>
      <c r="I58" s="479">
        <f>H58/(C13*K5)</f>
        <v>1.7329917583960391E-2</v>
      </c>
      <c r="J58" s="452"/>
      <c r="K58" s="83"/>
      <c r="L58" s="381"/>
      <c r="N58" s="239"/>
      <c r="P58" s="220"/>
      <c r="Q58" s="223" t="s">
        <v>20</v>
      </c>
      <c r="R58" s="224" t="s">
        <v>19</v>
      </c>
      <c r="S58" s="223" t="s">
        <v>20</v>
      </c>
      <c r="T58" s="224" t="s">
        <v>19</v>
      </c>
      <c r="U58" s="223" t="s">
        <v>20</v>
      </c>
      <c r="V58" s="224" t="s">
        <v>19</v>
      </c>
      <c r="W58" s="52"/>
      <c r="AH58" s="268">
        <f>[1]результаты!AD17</f>
        <v>111.864205682997</v>
      </c>
      <c r="AI58" s="268">
        <f>[1]результаты!AF17</f>
        <v>111.864205682997</v>
      </c>
      <c r="AJ58" s="268">
        <f>[1]результаты!AH17</f>
        <v>111.864205682997</v>
      </c>
      <c r="AK58" s="224" t="str">
        <f>[1]результаты!AB17</f>
        <v>SD_sep</v>
      </c>
      <c r="AM58" s="298">
        <f>[1]результаты!BK8</f>
        <v>150</v>
      </c>
      <c r="AN58" s="298">
        <f>[1]результаты!BL8</f>
        <v>150</v>
      </c>
      <c r="AO58" s="298">
        <f>[1]результаты!BM8</f>
        <v>8</v>
      </c>
      <c r="AP58" s="329" t="s">
        <v>15</v>
      </c>
    </row>
    <row r="59" spans="1:44" ht="16.25" x14ac:dyDescent="0.65">
      <c r="B59" s="10" t="s">
        <v>342</v>
      </c>
      <c r="C59" s="193">
        <f>C58</f>
        <v>1.3657989661467536</v>
      </c>
      <c r="D59" s="65" t="s">
        <v>168</v>
      </c>
      <c r="E59" s="67" t="s">
        <v>8</v>
      </c>
      <c r="F59" s="186">
        <f>3.14*(C59/2)^2*C59</f>
        <v>2</v>
      </c>
      <c r="G59" s="1" t="s">
        <v>360</v>
      </c>
      <c r="H59" s="234">
        <f>'[1]баланс дейтерий'!$B$93</f>
        <v>9.7524E+19</v>
      </c>
      <c r="I59" s="479">
        <f>H59/(C13*K5)</f>
        <v>1.7546541553759898E-2</v>
      </c>
      <c r="J59" s="304" t="s">
        <v>509</v>
      </c>
      <c r="K59" s="176">
        <v>3</v>
      </c>
      <c r="L59" s="381">
        <f t="shared" ref="L59:L64" si="5">(K59/(3.14/4))^(1/3)</f>
        <v>1.5634495290128048</v>
      </c>
      <c r="N59" s="239"/>
      <c r="P59" s="239" t="s">
        <v>440</v>
      </c>
      <c r="Q59" s="225">
        <f>[1]результаты!$AC$10*10^19*F21</f>
        <v>7.8491683073387004E+19</v>
      </c>
      <c r="R59" s="225">
        <f>[1]результаты!$AC$11*10^19*F21</f>
        <v>7.8491683073387004E+19</v>
      </c>
      <c r="S59" s="226">
        <f>[1]результаты!$AE$10*10^19*F21</f>
        <v>7.8491683073387004E+19</v>
      </c>
      <c r="T59" s="226">
        <f>[1]результаты!$AE$11*10^19*F21</f>
        <v>7.8491683073387004E+19</v>
      </c>
      <c r="U59" s="227">
        <f>[1]результаты!$AG$10*10^19*F21</f>
        <v>0</v>
      </c>
      <c r="V59" s="227">
        <f>[1]результаты!$AG$11*10^19*F21</f>
        <v>1.5698336614677401E+20</v>
      </c>
      <c r="W59" s="52"/>
      <c r="AI59" s="52"/>
      <c r="AK59" s="449"/>
      <c r="AM59" s="298">
        <f>[1]результаты!BK23</f>
        <v>26.344792719919113</v>
      </c>
      <c r="AN59" s="298">
        <f>[1]результаты!BL23</f>
        <v>7.68313676694682</v>
      </c>
      <c r="AO59" s="298">
        <f>[1]результаты!BM23</f>
        <v>7.68313676694682</v>
      </c>
      <c r="AP59" s="329" t="s">
        <v>486</v>
      </c>
    </row>
    <row r="60" spans="1:44" x14ac:dyDescent="0.65">
      <c r="J60" s="176"/>
      <c r="K60" s="176">
        <v>5</v>
      </c>
      <c r="L60" s="381">
        <f t="shared" si="5"/>
        <v>1.8536743872179289</v>
      </c>
      <c r="N60" s="239"/>
      <c r="P60" s="220"/>
      <c r="Q60" s="220">
        <f>R59+Q59</f>
        <v>1.5698336614677401E+20</v>
      </c>
      <c r="R60" s="83"/>
      <c r="S60" s="220">
        <f>T59+S59</f>
        <v>1.5698336614677401E+20</v>
      </c>
      <c r="T60" s="83"/>
      <c r="U60" s="220">
        <f>V59+U59</f>
        <v>1.5698336614677401E+20</v>
      </c>
      <c r="W60" s="52"/>
      <c r="AH60" s="207">
        <f>[1]результаты!AD20</f>
        <v>161.52297857334412</v>
      </c>
      <c r="AI60" s="207">
        <f>[1]результаты!AF20</f>
        <v>161.52297857334412</v>
      </c>
      <c r="AJ60" s="207">
        <f>[1]результаты!AH20</f>
        <v>146.67668387595728</v>
      </c>
      <c r="AK60" s="30" t="str">
        <f>[1]результаты!AB20</f>
        <v xml:space="preserve">ST_out= </v>
      </c>
      <c r="AM60" s="383">
        <f>[1]результаты!BK27</f>
        <v>10.732450399609469</v>
      </c>
      <c r="AN60" s="383">
        <f>[1]результаты!BL27</f>
        <v>12.6488269478339</v>
      </c>
      <c r="AO60" s="383">
        <f>[1]результаты!BM27+[1]результаты!$BM$26</f>
        <v>44.53988158061324</v>
      </c>
      <c r="AP60" s="329" t="s">
        <v>487</v>
      </c>
    </row>
    <row r="61" spans="1:44" ht="15.75" customHeight="1" x14ac:dyDescent="0.65">
      <c r="B61" s="6" t="s">
        <v>297</v>
      </c>
      <c r="C61" s="453">
        <v>100</v>
      </c>
      <c r="D61" s="8" t="s">
        <v>16</v>
      </c>
      <c r="F61" s="14"/>
      <c r="H61" s="240" t="str">
        <f>IF('[1]баланс дейтерий'!$H$95&lt;0, "ПРЕВЫЩЕНИЕ   ", "НОРМ   ")</f>
        <v xml:space="preserve">НОРМ   </v>
      </c>
      <c r="J61" s="176"/>
      <c r="K61" s="176">
        <v>7</v>
      </c>
      <c r="L61" s="381">
        <f t="shared" si="5"/>
        <v>2.0736850392002064</v>
      </c>
      <c r="P61" s="239" t="s">
        <v>434</v>
      </c>
      <c r="Q61" s="225">
        <f>[1]результаты!$AC$16*10^19*F23</f>
        <v>2.5465487835687735E+19</v>
      </c>
      <c r="R61" s="225">
        <f>[1]результаты!$AC$17*10^19*F23</f>
        <v>2.5465487835687735E+19</v>
      </c>
      <c r="S61" s="226">
        <f>[1]результаты!$AE$16*10^19*F23</f>
        <v>2.5465487835687735E+19</v>
      </c>
      <c r="T61" s="226">
        <f>[1]результаты!$AE$17*10^19*F23</f>
        <v>2.5465487835687735E+19</v>
      </c>
      <c r="U61" s="227">
        <f>[1]результаты!$AG$16*10^19*F23</f>
        <v>2.5465487835687735E+19</v>
      </c>
      <c r="V61" s="227">
        <f>[1]результаты!$AG$17*10^19*F23</f>
        <v>2.5465487835687735E+19</v>
      </c>
      <c r="W61" s="52"/>
      <c r="AH61" s="268">
        <f>[1]результаты!AD21</f>
        <v>161.52297857334412</v>
      </c>
      <c r="AI61" s="268">
        <f>[1]результаты!AF21</f>
        <v>161.52297857334412</v>
      </c>
      <c r="AJ61" s="268">
        <f>[1]результаты!AH21</f>
        <v>176.36927327073093</v>
      </c>
      <c r="AK61" s="338" t="str">
        <f>[1]результаты!AB21</f>
        <v xml:space="preserve">SD_out= </v>
      </c>
      <c r="AM61" s="454">
        <f>[1]результаты!BK33</f>
        <v>68.7752780586451</v>
      </c>
      <c r="AN61" s="454">
        <f>[1]результаты!BL33</f>
        <v>68.7752780586451</v>
      </c>
      <c r="AO61" s="454">
        <f>[1]результаты!BM33</f>
        <v>68.7752780586451</v>
      </c>
      <c r="AP61" s="244" t="s">
        <v>665</v>
      </c>
    </row>
    <row r="62" spans="1:44" ht="15" customHeight="1" x14ac:dyDescent="0.65">
      <c r="B62" s="10" t="s">
        <v>290</v>
      </c>
      <c r="C62" s="191">
        <v>8.5999999999999993E-2</v>
      </c>
      <c r="D62" s="65" t="s">
        <v>66</v>
      </c>
      <c r="H62" s="10"/>
      <c r="J62" s="176"/>
      <c r="K62" s="176">
        <v>9</v>
      </c>
      <c r="L62" s="381">
        <f t="shared" si="5"/>
        <v>2.2548844114160373</v>
      </c>
      <c r="N62" s="239"/>
      <c r="Q62" s="220">
        <f>R61+Q61</f>
        <v>5.0930975671375471E+19</v>
      </c>
      <c r="R62" s="83"/>
      <c r="S62" s="220">
        <f>T61+S61</f>
        <v>5.0930975671375471E+19</v>
      </c>
      <c r="T62" s="83"/>
      <c r="U62" s="220">
        <f>V61+U61</f>
        <v>5.0930975671375471E+19</v>
      </c>
      <c r="W62" s="52"/>
      <c r="AI62" s="52"/>
      <c r="AJ62" s="454">
        <f>AJ64+AJ63</f>
        <v>1833.0496039777597</v>
      </c>
      <c r="AK62" s="449"/>
      <c r="AM62" s="454">
        <f>[1]результаты!BK15</f>
        <v>1.5166791655757978</v>
      </c>
      <c r="AN62" s="454">
        <f>[1]результаты!BL15</f>
        <v>1.5166791655757978</v>
      </c>
      <c r="AO62" s="454">
        <f>[1]результаты!BM15</f>
        <v>1.5166791655757978</v>
      </c>
      <c r="AP62" s="244" t="s">
        <v>489</v>
      </c>
    </row>
    <row r="63" spans="1:44" ht="14.25" customHeight="1" x14ac:dyDescent="0.65">
      <c r="A63" s="6" t="s">
        <v>289</v>
      </c>
      <c r="B63" s="10" t="s">
        <v>119</v>
      </c>
      <c r="C63" s="191">
        <v>0.16200000000000001</v>
      </c>
      <c r="D63" s="65" t="s">
        <v>66</v>
      </c>
      <c r="J63" s="176"/>
      <c r="K63" s="176">
        <v>11</v>
      </c>
      <c r="L63" s="381">
        <f t="shared" si="5"/>
        <v>2.4108730532631246</v>
      </c>
      <c r="P63" s="239" t="s">
        <v>503</v>
      </c>
      <c r="Q63" s="305">
        <f>'[2]динамика изотопов в ТЦ'!CM6*F22</f>
        <v>0</v>
      </c>
      <c r="R63" s="225">
        <f>'[2]динамика изотопов в ТЦ'!$CP$6*F22</f>
        <v>0</v>
      </c>
      <c r="S63" s="307">
        <f>'[2]динамика изотопов в ТЦ'!$CN$6*F22</f>
        <v>0</v>
      </c>
      <c r="T63" s="226">
        <f>'[2]динамика изотопов в ТЦ'!$CQ$6*F22</f>
        <v>0</v>
      </c>
      <c r="U63" s="306">
        <f>'[2]динамика изотопов в ТЦ'!$CO$6*F22</f>
        <v>0</v>
      </c>
      <c r="V63" s="227">
        <f>'[2]динамика изотопов в ТЦ'!$CR$6*F22</f>
        <v>0</v>
      </c>
      <c r="W63" s="52"/>
      <c r="AH63" s="271">
        <f>[1]результаты!AD18</f>
        <v>916.52480198887986</v>
      </c>
      <c r="AI63" s="271">
        <f>[1]результаты!AF18</f>
        <v>916.52480198887986</v>
      </c>
      <c r="AJ63" s="271">
        <f>[1]результаты!AH18</f>
        <v>931.3710966862667</v>
      </c>
      <c r="AK63" s="30" t="s">
        <v>627</v>
      </c>
      <c r="AM63" s="454">
        <f>[1]результаты!BK18</f>
        <v>46</v>
      </c>
      <c r="AN63" s="454">
        <f>[1]результаты!BL18</f>
        <v>46</v>
      </c>
      <c r="AO63" s="454">
        <f>[1]результаты!BM18</f>
        <v>46</v>
      </c>
      <c r="AP63" s="244" t="s">
        <v>490</v>
      </c>
    </row>
    <row r="64" spans="1:44" x14ac:dyDescent="0.65">
      <c r="B64" s="10" t="s">
        <v>120</v>
      </c>
      <c r="C64" s="191">
        <v>0.24</v>
      </c>
      <c r="D64" s="65" t="s">
        <v>66</v>
      </c>
      <c r="K64" s="176">
        <v>13</v>
      </c>
      <c r="L64" s="381">
        <f t="shared" si="5"/>
        <v>2.54892993955611</v>
      </c>
      <c r="N64" s="243"/>
      <c r="P64" s="52"/>
      <c r="Q64" s="220">
        <f>R63+Q63</f>
        <v>0</v>
      </c>
      <c r="R64" s="83"/>
      <c r="S64" s="220">
        <f>T63+S63</f>
        <v>0</v>
      </c>
      <c r="T64" s="83"/>
      <c r="U64" s="220">
        <f>V63+U63</f>
        <v>0</v>
      </c>
      <c r="V64" s="52"/>
      <c r="W64" s="52"/>
      <c r="AH64" s="273">
        <f>[1]результаты!AD19</f>
        <v>916.52480198887986</v>
      </c>
      <c r="AI64" s="273">
        <f>[1]результаты!AF19</f>
        <v>916.52480198887986</v>
      </c>
      <c r="AJ64" s="273">
        <f>[1]результаты!AH19</f>
        <v>901.67850729149302</v>
      </c>
      <c r="AK64" s="338" t="s">
        <v>628</v>
      </c>
      <c r="AM64" s="454">
        <f>[1]результаты!BK30</f>
        <v>94.094836388875166</v>
      </c>
      <c r="AN64" s="454">
        <f>[1]результаты!BL30</f>
        <v>94.056605157357467</v>
      </c>
      <c r="AO64" s="454">
        <f>[1]результаты!BM30</f>
        <v>93.548542758870838</v>
      </c>
      <c r="AP64" s="244" t="s">
        <v>491</v>
      </c>
    </row>
    <row r="65" spans="2:43" x14ac:dyDescent="0.65">
      <c r="P65" s="455" t="s">
        <v>505</v>
      </c>
      <c r="Q65" s="225">
        <f>(H43*1000/(3*1.6)*(C17/N3)*10^19)*C21%*(1-F44)*F22</f>
        <v>0</v>
      </c>
      <c r="R65" s="225">
        <f>(H43*1000/(3*1.6)*(C17/N3)*10^19)*(1-C21%)*(1-F44)*F22</f>
        <v>0</v>
      </c>
      <c r="S65" s="226">
        <f>(H43*1000/(3*1.6)*(C17/N3)*10^19)*C21%*(1-F44)*F22</f>
        <v>0</v>
      </c>
      <c r="T65" s="226">
        <f>(H43*1000/(3*1.6)*(C17/N3)*10^19)*(1-C21%)*(1-F44)*F22</f>
        <v>0</v>
      </c>
      <c r="U65" s="227">
        <f>(H43*1000/(3*1.6)*(C17/N3)*10^19)*C21%*(1-F44)*F22</f>
        <v>0</v>
      </c>
      <c r="V65" s="227">
        <f>(H43*1000/(3*1.6)*(C17/N3)*10^19)*(1-C21%)*(1-F44)*F22</f>
        <v>0</v>
      </c>
      <c r="W65" s="52"/>
      <c r="AH65" s="284">
        <f>[1]результаты!AD14</f>
        <v>910.88742892719972</v>
      </c>
      <c r="AI65" s="284">
        <f>[1]результаты!AF14</f>
        <v>910.88742892719972</v>
      </c>
      <c r="AJ65" s="284">
        <f>[1]результаты!AH14</f>
        <v>927.38331192429621</v>
      </c>
      <c r="AK65" s="196" t="str">
        <f>[1]результаты!AB14</f>
        <v>SGIST</v>
      </c>
      <c r="AM65" s="454">
        <f>[1]результаты!BK12</f>
        <v>21</v>
      </c>
      <c r="AN65" s="454">
        <f>[1]результаты!BL12</f>
        <v>21</v>
      </c>
      <c r="AO65" s="454">
        <f>[1]результаты!BM12</f>
        <v>21</v>
      </c>
      <c r="AP65" s="244" t="s">
        <v>492</v>
      </c>
    </row>
    <row r="66" spans="2:43" x14ac:dyDescent="0.65">
      <c r="B66" s="6" t="s">
        <v>336</v>
      </c>
      <c r="C66" s="13">
        <v>90</v>
      </c>
      <c r="D66" s="39" t="s">
        <v>16</v>
      </c>
      <c r="J66" s="176"/>
      <c r="N66" s="52"/>
      <c r="Q66" s="220">
        <f>R65+Q65</f>
        <v>0</v>
      </c>
      <c r="R66" s="83"/>
      <c r="S66" s="220">
        <f>T65+S65</f>
        <v>0</v>
      </c>
      <c r="T66" s="83"/>
      <c r="U66" s="220">
        <f>V65+U65</f>
        <v>0</v>
      </c>
      <c r="V66" s="52"/>
      <c r="W66" s="52"/>
      <c r="AH66" s="381">
        <f>[1]результаты!AD15</f>
        <v>910.88742892719972</v>
      </c>
      <c r="AI66" s="381">
        <f>[1]результаты!AF15</f>
        <v>910.88742892719972</v>
      </c>
      <c r="AJ66" s="381">
        <f>[1]результаты!AH15</f>
        <v>894.39154593010323</v>
      </c>
      <c r="AK66" s="224" t="str">
        <f>[1]результаты!AB15</f>
        <v>SGISD</v>
      </c>
      <c r="AM66" s="454">
        <f>[1]результаты!BK32</f>
        <v>314.95787307851498</v>
      </c>
      <c r="AN66" s="454">
        <f>[1]результаты!BL32</f>
        <v>315.65559305371278</v>
      </c>
      <c r="AO66" s="454">
        <f>[1]результаты!BM32</f>
        <v>324.92773182609398</v>
      </c>
      <c r="AP66" s="244" t="s">
        <v>493</v>
      </c>
    </row>
    <row r="67" spans="2:43" x14ac:dyDescent="0.65">
      <c r="B67" s="6" t="s">
        <v>287</v>
      </c>
      <c r="C67" s="13">
        <v>90</v>
      </c>
      <c r="D67" s="39" t="s">
        <v>16</v>
      </c>
      <c r="AH67" s="274"/>
      <c r="AI67" s="274"/>
      <c r="AJ67" s="274"/>
      <c r="AK67" s="10"/>
      <c r="AM67" s="8"/>
      <c r="AP67" s="65"/>
    </row>
    <row r="68" spans="2:43" x14ac:dyDescent="0.65">
      <c r="B68" s="6" t="s">
        <v>288</v>
      </c>
      <c r="C68" s="13">
        <v>50</v>
      </c>
      <c r="D68" s="39" t="s">
        <v>16</v>
      </c>
      <c r="Q68" s="456"/>
      <c r="R68" s="457"/>
      <c r="S68" s="222">
        <f>(R78+R79)%</f>
        <v>0.3</v>
      </c>
      <c r="T68" s="222"/>
      <c r="U68" s="222">
        <f>(100-R78-R79)%*(100-C67)%</f>
        <v>6.9999999999999993E-2</v>
      </c>
      <c r="V68" s="222">
        <f>(100-R78-R79)%*C67%</f>
        <v>0.63</v>
      </c>
      <c r="AH68" s="302">
        <f>[1]результаты!AD29</f>
        <v>966.18357487922708</v>
      </c>
      <c r="AI68" s="302">
        <f>[1]результаты!AF29</f>
        <v>966.18357487922708</v>
      </c>
      <c r="AJ68" s="302">
        <f>[1]результаты!AH29</f>
        <v>966.18357487922708</v>
      </c>
      <c r="AK68" s="196" t="s">
        <v>608</v>
      </c>
      <c r="AM68" s="299">
        <f>[1]результаты!BK36</f>
        <v>513.14309937484188</v>
      </c>
      <c r="AN68" s="299">
        <f>[1]результаты!BL36</f>
        <v>496.35958873857641</v>
      </c>
      <c r="AO68" s="299">
        <f>[1]результаты!BM36</f>
        <v>385.74258097286906</v>
      </c>
      <c r="AP68" s="37" t="s">
        <v>488</v>
      </c>
    </row>
    <row r="69" spans="2:43" x14ac:dyDescent="0.65">
      <c r="L69" s="65"/>
      <c r="S69" s="458">
        <f>(R78+R79)%</f>
        <v>0.3</v>
      </c>
      <c r="T69" s="458"/>
      <c r="U69" s="458">
        <f>(100-R78-R79)%*U70</f>
        <v>6.9999999999999993E-2</v>
      </c>
      <c r="V69" s="458">
        <f>(100-R78-R79)%*V70</f>
        <v>0.63</v>
      </c>
      <c r="AA69" s="459"/>
      <c r="AD69" s="190"/>
      <c r="AH69" s="302">
        <f>[1]результаты!AD30</f>
        <v>966.18357487922708</v>
      </c>
      <c r="AI69" s="302">
        <f>[1]результаты!AF30</f>
        <v>966.18357487922708</v>
      </c>
      <c r="AJ69" s="302">
        <f>[1]результаты!AH30</f>
        <v>966.18357487922708</v>
      </c>
      <c r="AK69" s="196" t="s">
        <v>607</v>
      </c>
      <c r="AM69" s="418">
        <f>'[4]поэлементый расчет систем'!$Q$439</f>
        <v>356.041232304559</v>
      </c>
      <c r="AN69" s="418">
        <f>'[4]поэлементый расчет систем'!$Q$440</f>
        <v>656.69946603345534</v>
      </c>
      <c r="AO69" s="418">
        <f>'[4]поэлементый расчет систем'!$Q$441</f>
        <v>1022.9820801133799</v>
      </c>
    </row>
    <row r="70" spans="2:43" x14ac:dyDescent="0.65">
      <c r="B70" s="10" t="s">
        <v>116</v>
      </c>
      <c r="C70" s="13">
        <v>100</v>
      </c>
      <c r="D70" s="65" t="s">
        <v>2</v>
      </c>
      <c r="Q70" s="368" t="s">
        <v>356</v>
      </c>
      <c r="R70" s="460">
        <v>1</v>
      </c>
      <c r="S70" s="303"/>
      <c r="T70" s="258"/>
      <c r="U70" s="461">
        <f>(R70-S70-T70)*(100-C67)%</f>
        <v>0.1</v>
      </c>
      <c r="V70" s="461">
        <f>(R70-S70-T70)*C67%</f>
        <v>0.9</v>
      </c>
      <c r="AD70" s="83"/>
    </row>
    <row r="71" spans="2:43" x14ac:dyDescent="0.65">
      <c r="B71" s="6" t="s">
        <v>295</v>
      </c>
      <c r="C71" s="96">
        <v>20</v>
      </c>
      <c r="D71" s="48" t="s">
        <v>16</v>
      </c>
      <c r="J71" s="14" t="s">
        <v>282</v>
      </c>
      <c r="Q71" s="462" t="s">
        <v>357</v>
      </c>
      <c r="R71" s="463">
        <v>1</v>
      </c>
      <c r="S71" s="464">
        <f>R78%</f>
        <v>0.1</v>
      </c>
      <c r="T71" s="464">
        <f>R79%</f>
        <v>0.2</v>
      </c>
      <c r="U71" s="215">
        <f>(R71-S71-T71)*(100-C67)%</f>
        <v>6.9999999999999993E-2</v>
      </c>
      <c r="V71" s="215">
        <f>(R71-S71-T71)*C67%</f>
        <v>0.63</v>
      </c>
      <c r="AJ71" s="40">
        <f>(AJ68+AJ69)*10^19*(1/2*1.38E-23*300)</f>
        <v>40.000000000000007</v>
      </c>
      <c r="AM71" s="10" t="s">
        <v>701</v>
      </c>
      <c r="AN71" s="487">
        <f>M39</f>
        <v>20</v>
      </c>
      <c r="AO71" s="40">
        <f>AJ51</f>
        <v>1932.3671497584542</v>
      </c>
      <c r="AP71" s="8" t="s">
        <v>618</v>
      </c>
      <c r="AQ71" s="40">
        <f>AO71-AO72+AO73</f>
        <v>2144.8208150010878</v>
      </c>
    </row>
    <row r="72" spans="2:43" x14ac:dyDescent="0.65">
      <c r="B72" s="465" t="s">
        <v>335</v>
      </c>
      <c r="C72" s="96">
        <v>2</v>
      </c>
      <c r="D72" s="48" t="s">
        <v>16</v>
      </c>
      <c r="J72" s="57" t="s">
        <v>281</v>
      </c>
      <c r="Q72" s="466"/>
      <c r="R72" s="60" t="s">
        <v>355</v>
      </c>
      <c r="S72" s="467" t="s">
        <v>351</v>
      </c>
      <c r="T72" s="467" t="s">
        <v>352</v>
      </c>
      <c r="U72" s="83" t="s">
        <v>353</v>
      </c>
      <c r="V72" s="83" t="s">
        <v>354</v>
      </c>
      <c r="AM72" s="10" t="s">
        <v>700</v>
      </c>
      <c r="AN72" s="334">
        <f>AO45</f>
        <v>1.6509428914557933</v>
      </c>
      <c r="AO72" s="40">
        <f>AJ75</f>
        <v>11.274746123360273</v>
      </c>
      <c r="AP72" s="8" t="s">
        <v>699</v>
      </c>
      <c r="AQ72" s="83"/>
    </row>
    <row r="73" spans="2:43" x14ac:dyDescent="0.65">
      <c r="K73" s="468"/>
      <c r="L73" s="468"/>
      <c r="M73" s="468"/>
      <c r="N73" s="176"/>
      <c r="Q73" s="368" t="s">
        <v>356</v>
      </c>
      <c r="R73" s="460">
        <v>1</v>
      </c>
      <c r="S73" s="469"/>
      <c r="T73" s="258"/>
      <c r="U73" s="461">
        <f>(R73-S73-T73)*(100-C68)%</f>
        <v>0.5</v>
      </c>
      <c r="V73" s="461">
        <f>(R73-S73-T73)*C68%</f>
        <v>0.5</v>
      </c>
      <c r="AH73" s="284">
        <f t="shared" ref="AH73:AJ74" si="6">AH63-AH65</f>
        <v>5.6373730616801367</v>
      </c>
      <c r="AI73" s="284">
        <f t="shared" si="6"/>
        <v>5.6373730616801367</v>
      </c>
      <c r="AJ73" s="284">
        <f t="shared" si="6"/>
        <v>3.987784761970488</v>
      </c>
      <c r="AK73" s="486" t="s">
        <v>692</v>
      </c>
      <c r="AM73" s="8"/>
      <c r="AN73" s="8"/>
      <c r="AO73" s="40">
        <f>AJ49</f>
        <v>223.72841136599399</v>
      </c>
      <c r="AP73" s="8" t="s">
        <v>394</v>
      </c>
      <c r="AQ73" s="83"/>
    </row>
    <row r="74" spans="2:43" x14ac:dyDescent="0.65">
      <c r="B74" s="330" t="s">
        <v>33</v>
      </c>
      <c r="C74" s="155">
        <v>1</v>
      </c>
      <c r="D74" s="331" t="s">
        <v>29</v>
      </c>
      <c r="E74" s="60" t="s">
        <v>8</v>
      </c>
      <c r="F74" s="297">
        <f>60*60*C74</f>
        <v>3600</v>
      </c>
      <c r="G74" s="1" t="s">
        <v>28</v>
      </c>
      <c r="K74" s="468"/>
      <c r="L74" s="468"/>
      <c r="M74" s="468"/>
      <c r="N74" s="176"/>
      <c r="Q74" s="462" t="s">
        <v>357</v>
      </c>
      <c r="R74" s="463">
        <v>1</v>
      </c>
      <c r="S74" s="464">
        <v>0.1</v>
      </c>
      <c r="T74" s="464">
        <v>0.2</v>
      </c>
      <c r="U74" s="215">
        <f>(R74-S74-T74)*(100-C68)%</f>
        <v>0.35</v>
      </c>
      <c r="V74" s="215">
        <f>(R74-S74-T74)*C68%</f>
        <v>0.35</v>
      </c>
      <c r="AH74" s="381">
        <f t="shared" si="6"/>
        <v>5.6373730616801367</v>
      </c>
      <c r="AI74" s="381">
        <f t="shared" si="6"/>
        <v>5.6373730616801367</v>
      </c>
      <c r="AJ74" s="381">
        <f t="shared" si="6"/>
        <v>7.2869613613897855</v>
      </c>
      <c r="AK74" s="486" t="s">
        <v>693</v>
      </c>
      <c r="AM74" s="8"/>
      <c r="AN74" s="8"/>
      <c r="AO74" s="40">
        <f>AJ50</f>
        <v>323.04595714668824</v>
      </c>
      <c r="AP74" s="8" t="s">
        <v>395</v>
      </c>
      <c r="AQ74" s="40">
        <f>AO74+AO75</f>
        <v>2144.8208150010878</v>
      </c>
    </row>
    <row r="75" spans="2:43" x14ac:dyDescent="0.65">
      <c r="B75" s="31" t="s">
        <v>34</v>
      </c>
      <c r="C75" s="13">
        <v>8</v>
      </c>
      <c r="D75" s="66" t="s">
        <v>29</v>
      </c>
      <c r="E75" s="67" t="s">
        <v>8</v>
      </c>
      <c r="F75" s="297">
        <f>60*60*C75</f>
        <v>28800</v>
      </c>
      <c r="G75" s="68" t="s">
        <v>28</v>
      </c>
      <c r="N75" s="176"/>
      <c r="Q75" s="470"/>
      <c r="R75" s="11"/>
      <c r="S75" s="458">
        <f>(R78+R79)%</f>
        <v>0.3</v>
      </c>
      <c r="T75" s="458"/>
      <c r="U75" s="458">
        <f>(100-R78-R79)%*U73</f>
        <v>0.35</v>
      </c>
      <c r="V75" s="458">
        <f>(100-R78-R79)%*V73</f>
        <v>0.35</v>
      </c>
      <c r="AH75" s="302">
        <f>AH73+AH74</f>
        <v>11.274746123360273</v>
      </c>
      <c r="AI75" s="302">
        <f>AI73+AI74</f>
        <v>11.274746123360273</v>
      </c>
      <c r="AJ75" s="302">
        <f>AJ73+AJ74</f>
        <v>11.274746123360273</v>
      </c>
      <c r="AM75" s="8"/>
      <c r="AN75" s="8"/>
      <c r="AO75" s="40">
        <f>AJ65+AJ66</f>
        <v>1821.7748578543994</v>
      </c>
      <c r="AP75" s="8" t="s">
        <v>689</v>
      </c>
      <c r="AQ75" s="8"/>
    </row>
    <row r="76" spans="2:43" x14ac:dyDescent="0.65">
      <c r="B76" s="10" t="s">
        <v>32</v>
      </c>
      <c r="C76" s="13">
        <v>8</v>
      </c>
      <c r="D76" s="66" t="s">
        <v>29</v>
      </c>
      <c r="E76" s="67" t="s">
        <v>8</v>
      </c>
      <c r="F76" s="297">
        <f>60*60*C76</f>
        <v>28800</v>
      </c>
      <c r="G76" s="68" t="s">
        <v>28</v>
      </c>
      <c r="K76" s="228"/>
      <c r="S76" s="222">
        <f>(R78+R79)%</f>
        <v>0.3</v>
      </c>
      <c r="T76" s="222"/>
      <c r="U76" s="222">
        <f>(100-R78-R79)%*(100-C68)%</f>
        <v>0.35</v>
      </c>
      <c r="V76" s="222">
        <f>(100-R78-R79)%*C68%</f>
        <v>0.35</v>
      </c>
      <c r="AJ76" s="8"/>
    </row>
    <row r="77" spans="2:43" x14ac:dyDescent="0.65">
      <c r="H77" s="35"/>
      <c r="K77" s="228"/>
      <c r="T77" s="181"/>
      <c r="U77" s="181"/>
      <c r="AB77" s="471"/>
    </row>
    <row r="78" spans="2:43" ht="15.75" customHeight="1" x14ac:dyDescent="0.65">
      <c r="B78" s="38" t="s">
        <v>250</v>
      </c>
      <c r="C78" s="472">
        <v>0.01</v>
      </c>
      <c r="D78" s="35" t="s">
        <v>4</v>
      </c>
      <c r="J78" s="35" t="s">
        <v>247</v>
      </c>
      <c r="Q78" s="10" t="s">
        <v>348</v>
      </c>
      <c r="R78" s="191">
        <v>10</v>
      </c>
      <c r="S78" s="21" t="s">
        <v>349</v>
      </c>
      <c r="AB78" s="471"/>
      <c r="AJ78" s="8"/>
    </row>
    <row r="79" spans="2:43" x14ac:dyDescent="0.65">
      <c r="B79" s="38" t="s">
        <v>35</v>
      </c>
      <c r="C79" s="158">
        <v>1.8480000000000001</v>
      </c>
      <c r="D79" s="35" t="s">
        <v>66</v>
      </c>
      <c r="J79" s="35" t="s">
        <v>247</v>
      </c>
      <c r="Q79" s="10" t="s">
        <v>348</v>
      </c>
      <c r="R79" s="191">
        <v>20</v>
      </c>
      <c r="S79" s="21" t="s">
        <v>350</v>
      </c>
      <c r="AB79" s="471"/>
      <c r="AJ79" s="8"/>
    </row>
    <row r="80" spans="2:43" x14ac:dyDescent="0.65">
      <c r="T80" s="237"/>
      <c r="U80" s="237"/>
      <c r="V80" s="477"/>
      <c r="W80" s="477"/>
      <c r="AB80" s="471"/>
      <c r="AJ80" s="8"/>
    </row>
    <row r="81" spans="11:36" x14ac:dyDescent="0.65">
      <c r="T81" s="237"/>
      <c r="U81" s="209"/>
      <c r="V81" s="40"/>
      <c r="W81" s="40"/>
      <c r="AB81" s="473"/>
      <c r="AJ81" s="8"/>
    </row>
    <row r="82" spans="11:36" x14ac:dyDescent="0.65">
      <c r="T82" s="237"/>
      <c r="U82" s="474"/>
      <c r="W82" s="40"/>
      <c r="AB82" s="473"/>
      <c r="AJ82" s="8"/>
    </row>
    <row r="83" spans="11:36" x14ac:dyDescent="0.65">
      <c r="AB83" s="473"/>
      <c r="AJ83" s="8"/>
    </row>
    <row r="84" spans="11:36" x14ac:dyDescent="0.65">
      <c r="T84" s="230"/>
      <c r="U84" s="230"/>
      <c r="AB84" s="473"/>
      <c r="AJ84" s="8"/>
    </row>
    <row r="85" spans="11:36" x14ac:dyDescent="0.65">
      <c r="T85" s="209"/>
      <c r="U85" s="209"/>
      <c r="AB85" s="473"/>
      <c r="AJ85" s="8"/>
    </row>
    <row r="86" spans="11:36" x14ac:dyDescent="0.65">
      <c r="S86" s="209"/>
      <c r="T86" s="209"/>
      <c r="AD86" s="52"/>
      <c r="AE86" s="52"/>
    </row>
    <row r="87" spans="11:36" x14ac:dyDescent="0.65">
      <c r="AD87" s="52"/>
      <c r="AE87" s="52"/>
    </row>
    <row r="88" spans="11:36" x14ac:dyDescent="0.65">
      <c r="S88" s="230"/>
      <c r="T88" s="230"/>
    </row>
    <row r="89" spans="11:36" x14ac:dyDescent="0.65">
      <c r="S89" s="209"/>
      <c r="T89" s="209"/>
    </row>
    <row r="90" spans="11:36" x14ac:dyDescent="0.65">
      <c r="K90" s="176"/>
      <c r="S90" s="209"/>
      <c r="T90" s="209"/>
    </row>
    <row r="91" spans="11:36" x14ac:dyDescent="0.65">
      <c r="K91" s="176"/>
      <c r="M91" s="1"/>
      <c r="N91" s="1"/>
      <c r="O91" s="1"/>
      <c r="Q91" s="1"/>
      <c r="R91" s="1"/>
    </row>
    <row r="107" spans="20:20" x14ac:dyDescent="0.65">
      <c r="T107" s="1"/>
    </row>
    <row r="108" spans="20:20" x14ac:dyDescent="0.65">
      <c r="T108" s="1"/>
    </row>
    <row r="111" spans="20:20" x14ac:dyDescent="0.65">
      <c r="T111" s="461"/>
    </row>
    <row r="112" spans="20:20" x14ac:dyDescent="0.65">
      <c r="T112" s="1"/>
    </row>
    <row r="113" spans="20:20" x14ac:dyDescent="0.65">
      <c r="T113" s="1"/>
    </row>
    <row r="114" spans="20:20" x14ac:dyDescent="0.65">
      <c r="T114" s="334"/>
    </row>
    <row r="116" spans="20:20" x14ac:dyDescent="0.65">
      <c r="T116" s="22"/>
    </row>
    <row r="117" spans="20:20" x14ac:dyDescent="0.65">
      <c r="T117" s="1"/>
    </row>
    <row r="118" spans="20:20" x14ac:dyDescent="0.65">
      <c r="T118" s="1"/>
    </row>
    <row r="119" spans="20:20" x14ac:dyDescent="0.65">
      <c r="T119" s="1"/>
    </row>
    <row r="122" spans="20:20" x14ac:dyDescent="0.65">
      <c r="T122" s="14"/>
    </row>
    <row r="123" spans="20:20" x14ac:dyDescent="0.65">
      <c r="T123" s="293"/>
    </row>
    <row r="124" spans="20:20" x14ac:dyDescent="0.65">
      <c r="T124" s="14"/>
    </row>
    <row r="125" spans="20:20" x14ac:dyDescent="0.65">
      <c r="T125" s="14"/>
    </row>
  </sheetData>
  <pageMargins left="0.25" right="0.25" top="0.75" bottom="0.75" header="0.3" footer="0.3"/>
  <pageSetup paperSize="9" scale="4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52"/>
  <sheetViews>
    <sheetView topLeftCell="U1" zoomScaleNormal="100" workbookViewId="0">
      <selection activeCell="W3" sqref="W3"/>
    </sheetView>
  </sheetViews>
  <sheetFormatPr defaultRowHeight="14.25" x14ac:dyDescent="0.65"/>
  <cols>
    <col min="18" max="18" width="9.1796875" customWidth="1"/>
  </cols>
  <sheetData>
    <row r="1" spans="1:138" s="172" customFormat="1" ht="15.25" x14ac:dyDescent="0.65">
      <c r="A1" s="69" t="s">
        <v>601</v>
      </c>
      <c r="B1" s="69"/>
      <c r="C1" s="392">
        <v>1</v>
      </c>
      <c r="D1" s="69">
        <v>1.5</v>
      </c>
      <c r="E1" s="69">
        <v>2</v>
      </c>
      <c r="F1" s="69">
        <v>2.5</v>
      </c>
      <c r="G1" s="69">
        <v>3</v>
      </c>
      <c r="H1" s="392">
        <v>1</v>
      </c>
      <c r="I1" s="69">
        <v>1.5</v>
      </c>
      <c r="J1" s="69">
        <v>2</v>
      </c>
      <c r="K1" s="69">
        <v>2.5</v>
      </c>
      <c r="L1" s="69">
        <v>3</v>
      </c>
      <c r="M1" s="392">
        <v>1</v>
      </c>
      <c r="N1" s="69">
        <v>1.5</v>
      </c>
      <c r="O1" s="69">
        <v>2</v>
      </c>
      <c r="P1" s="69">
        <v>2.5</v>
      </c>
      <c r="Q1" s="69">
        <v>3</v>
      </c>
      <c r="R1" s="392">
        <v>1</v>
      </c>
      <c r="S1" s="69">
        <v>1.5</v>
      </c>
      <c r="T1" s="69">
        <v>2</v>
      </c>
      <c r="U1" s="69">
        <v>2.5</v>
      </c>
      <c r="V1" s="69">
        <v>3</v>
      </c>
      <c r="W1" s="392">
        <v>1</v>
      </c>
      <c r="X1" s="69">
        <v>1.5</v>
      </c>
      <c r="Y1" s="69">
        <v>2</v>
      </c>
      <c r="Z1" s="69">
        <v>2.5</v>
      </c>
      <c r="AA1" s="69">
        <v>3</v>
      </c>
      <c r="AB1" s="392">
        <v>1</v>
      </c>
      <c r="AC1" s="69">
        <v>1.5</v>
      </c>
      <c r="AD1" s="69">
        <v>2</v>
      </c>
      <c r="AE1" s="69">
        <v>2.5</v>
      </c>
      <c r="AF1" s="69">
        <v>3</v>
      </c>
      <c r="AG1" s="392">
        <v>1</v>
      </c>
      <c r="AH1" s="69">
        <v>1.5</v>
      </c>
      <c r="AI1" s="69">
        <v>2</v>
      </c>
      <c r="AJ1" s="69">
        <v>2.5</v>
      </c>
      <c r="AK1" s="69">
        <v>3</v>
      </c>
      <c r="AL1" s="392">
        <v>1</v>
      </c>
      <c r="AM1" s="69">
        <v>1.5</v>
      </c>
      <c r="AN1" s="69">
        <v>2</v>
      </c>
      <c r="AO1" s="69">
        <v>2.5</v>
      </c>
      <c r="AP1" s="69">
        <v>3</v>
      </c>
      <c r="AQ1" s="392">
        <v>1</v>
      </c>
      <c r="AR1" s="69">
        <v>1.5</v>
      </c>
      <c r="AS1" s="69">
        <v>2</v>
      </c>
      <c r="AT1" s="69">
        <v>2.5</v>
      </c>
      <c r="AU1" s="69">
        <v>3</v>
      </c>
      <c r="AV1" s="392">
        <v>1</v>
      </c>
      <c r="AW1" s="69">
        <v>1.5</v>
      </c>
      <c r="AX1" s="69">
        <v>2</v>
      </c>
      <c r="AY1" s="69">
        <v>2.5</v>
      </c>
      <c r="AZ1" s="69">
        <v>3</v>
      </c>
      <c r="BA1" s="392">
        <v>1</v>
      </c>
      <c r="BB1" s="69">
        <v>1.5</v>
      </c>
      <c r="BC1" s="69">
        <v>2</v>
      </c>
      <c r="BD1" s="69">
        <v>2.5</v>
      </c>
      <c r="BE1" s="69">
        <v>3</v>
      </c>
      <c r="BF1" s="392">
        <v>1</v>
      </c>
      <c r="BG1" s="69">
        <v>1.5</v>
      </c>
      <c r="BH1" s="69">
        <v>2</v>
      </c>
      <c r="BI1" s="69">
        <v>2.5</v>
      </c>
      <c r="BJ1" s="69">
        <v>3</v>
      </c>
      <c r="BK1" s="392">
        <v>1</v>
      </c>
      <c r="BL1" s="69">
        <v>1.5</v>
      </c>
      <c r="BM1" s="69">
        <v>2</v>
      </c>
      <c r="BN1" s="69">
        <v>2.5</v>
      </c>
      <c r="BO1" s="69">
        <v>3</v>
      </c>
      <c r="BP1" s="392">
        <v>1</v>
      </c>
      <c r="BQ1" s="69">
        <v>1.5</v>
      </c>
      <c r="BR1" s="69">
        <v>2</v>
      </c>
      <c r="BS1" s="69">
        <v>2.5</v>
      </c>
      <c r="BT1" s="69">
        <v>3</v>
      </c>
      <c r="BU1" s="392">
        <v>1</v>
      </c>
      <c r="BV1" s="69">
        <v>1.5</v>
      </c>
      <c r="BW1" s="69">
        <v>2</v>
      </c>
      <c r="BX1" s="69">
        <v>2.5</v>
      </c>
      <c r="BY1" s="69">
        <v>3</v>
      </c>
      <c r="BZ1" s="392">
        <v>1</v>
      </c>
      <c r="CA1" s="69">
        <v>1.5</v>
      </c>
      <c r="CB1" s="69">
        <v>2</v>
      </c>
      <c r="CC1" s="69">
        <v>2.5</v>
      </c>
      <c r="CD1" s="69">
        <v>3</v>
      </c>
      <c r="CE1" s="392">
        <v>1</v>
      </c>
      <c r="CF1" s="69">
        <v>1.5</v>
      </c>
      <c r="CG1" s="69">
        <v>2</v>
      </c>
      <c r="CH1" s="69">
        <v>2.5</v>
      </c>
      <c r="CI1" s="69">
        <v>3</v>
      </c>
      <c r="CJ1" s="392">
        <v>1</v>
      </c>
      <c r="CK1" s="69">
        <v>1.5</v>
      </c>
      <c r="CL1" s="69">
        <v>2</v>
      </c>
      <c r="CM1" s="69">
        <v>2.5</v>
      </c>
      <c r="CN1" s="69">
        <v>3</v>
      </c>
      <c r="CO1" s="392">
        <v>1</v>
      </c>
      <c r="CP1" s="69">
        <v>1.5</v>
      </c>
      <c r="CQ1" s="69">
        <v>2</v>
      </c>
      <c r="CR1" s="69">
        <v>2.5</v>
      </c>
      <c r="CS1" s="69">
        <v>3</v>
      </c>
      <c r="CT1" s="392">
        <v>1</v>
      </c>
      <c r="CU1" s="69">
        <v>1.5</v>
      </c>
      <c r="CV1" s="69">
        <v>2</v>
      </c>
      <c r="CW1" s="69">
        <v>2.5</v>
      </c>
      <c r="CX1" s="69">
        <v>3</v>
      </c>
      <c r="CY1" s="392">
        <v>1</v>
      </c>
      <c r="CZ1" s="337">
        <v>1.5</v>
      </c>
      <c r="DA1" s="337">
        <v>2</v>
      </c>
      <c r="DB1" s="337">
        <v>2.5</v>
      </c>
      <c r="DC1" s="337">
        <v>3</v>
      </c>
      <c r="DD1" s="392">
        <v>1</v>
      </c>
      <c r="DE1" s="69">
        <v>1.5</v>
      </c>
      <c r="DF1" s="69">
        <v>2</v>
      </c>
      <c r="DG1" s="69">
        <v>2.5</v>
      </c>
      <c r="DH1" s="69">
        <v>3</v>
      </c>
      <c r="DI1" s="392">
        <v>1</v>
      </c>
      <c r="DJ1" s="337">
        <v>1.5</v>
      </c>
      <c r="DK1" s="337">
        <v>2</v>
      </c>
      <c r="DL1" s="337">
        <v>2.5</v>
      </c>
      <c r="DM1" s="337">
        <v>3</v>
      </c>
      <c r="DN1" s="392">
        <v>1</v>
      </c>
      <c r="DO1" s="69">
        <v>1.5</v>
      </c>
      <c r="DP1" s="69">
        <v>2</v>
      </c>
      <c r="DQ1" s="69">
        <v>2.5</v>
      </c>
      <c r="DR1" s="69">
        <v>3</v>
      </c>
      <c r="DS1" s="392">
        <v>1</v>
      </c>
      <c r="DT1" s="337">
        <v>1.5</v>
      </c>
      <c r="DU1" s="337">
        <v>2</v>
      </c>
      <c r="DV1" s="337">
        <v>2.5</v>
      </c>
      <c r="DW1" s="337">
        <v>3</v>
      </c>
      <c r="DX1" s="392">
        <v>1</v>
      </c>
      <c r="DY1" s="69">
        <v>1.5</v>
      </c>
      <c r="DZ1" s="69">
        <v>2</v>
      </c>
      <c r="EA1" s="69">
        <v>2.5</v>
      </c>
      <c r="EB1" s="69">
        <v>3</v>
      </c>
    </row>
    <row r="2" spans="1:138" s="549" customFormat="1" ht="15.5" x14ac:dyDescent="0.35">
      <c r="A2" s="550" t="s">
        <v>447</v>
      </c>
      <c r="B2" s="550"/>
      <c r="C2" s="550"/>
      <c r="D2" s="551" t="s">
        <v>635</v>
      </c>
      <c r="E2" s="550"/>
      <c r="F2" s="550"/>
      <c r="G2" s="550"/>
      <c r="H2" s="550"/>
      <c r="I2" s="552" t="s">
        <v>479</v>
      </c>
      <c r="J2" s="553"/>
      <c r="K2" s="553"/>
      <c r="L2" s="553"/>
      <c r="M2" s="554"/>
      <c r="N2" s="551" t="s">
        <v>478</v>
      </c>
      <c r="S2" s="552" t="s">
        <v>448</v>
      </c>
      <c r="T2" s="553"/>
      <c r="U2" s="553"/>
      <c r="V2" s="553"/>
      <c r="W2" s="554"/>
      <c r="X2" s="551" t="s">
        <v>477</v>
      </c>
      <c r="AC2" s="551" t="s">
        <v>476</v>
      </c>
      <c r="AH2" s="551" t="s">
        <v>475</v>
      </c>
      <c r="AM2" s="551" t="s">
        <v>474</v>
      </c>
      <c r="AQ2" s="554"/>
      <c r="AR2" s="551" t="s">
        <v>473</v>
      </c>
      <c r="AW2" s="551" t="s">
        <v>657</v>
      </c>
      <c r="BB2" s="555" t="s">
        <v>494</v>
      </c>
      <c r="BG2" s="551" t="s">
        <v>603</v>
      </c>
      <c r="BL2" s="555" t="s">
        <v>661</v>
      </c>
      <c r="BM2" s="556" t="s">
        <v>659</v>
      </c>
      <c r="BQ2" s="555" t="s">
        <v>662</v>
      </c>
      <c r="BR2" s="556" t="s">
        <v>659</v>
      </c>
      <c r="BV2" s="551" t="s">
        <v>393</v>
      </c>
      <c r="CA2" s="557" t="s">
        <v>443</v>
      </c>
      <c r="CF2" s="551" t="s">
        <v>394</v>
      </c>
      <c r="CK2" s="551" t="s">
        <v>615</v>
      </c>
      <c r="CP2" s="551" t="s">
        <v>619</v>
      </c>
      <c r="CU2" s="551" t="s">
        <v>633</v>
      </c>
      <c r="CZ2" s="551" t="s">
        <v>634</v>
      </c>
      <c r="DE2" s="551" t="s">
        <v>642</v>
      </c>
      <c r="DJ2" s="551" t="s">
        <v>639</v>
      </c>
      <c r="DK2" s="551"/>
      <c r="DL2" s="551"/>
      <c r="DM2" s="551"/>
      <c r="DO2" s="551" t="s">
        <v>640</v>
      </c>
      <c r="DT2" s="558" t="s">
        <v>386</v>
      </c>
      <c r="DY2" s="558" t="s">
        <v>377</v>
      </c>
      <c r="ED2" s="557" t="s">
        <v>397</v>
      </c>
      <c r="EE2" s="551" t="s">
        <v>397</v>
      </c>
      <c r="EG2" s="557" t="s">
        <v>396</v>
      </c>
      <c r="EH2" s="559" t="s">
        <v>396</v>
      </c>
    </row>
    <row r="3" spans="1:138" ht="15.5" x14ac:dyDescent="0.35">
      <c r="A3" s="290">
        <v>6</v>
      </c>
      <c r="B3" s="290"/>
      <c r="C3" s="393">
        <f>ASTRA!B45</f>
        <v>4.4021821885204897</v>
      </c>
      <c r="D3" s="290">
        <f>ASTRA!C45</f>
        <v>4.3757055545660668</v>
      </c>
      <c r="E3" s="290">
        <f>ASTRA!D45</f>
        <v>4.3283921143060704</v>
      </c>
      <c r="F3" s="290">
        <f>ASTRA!E45</f>
        <v>4.9148052650883676</v>
      </c>
      <c r="G3" s="377">
        <f>ASTRA!F45</f>
        <v>0</v>
      </c>
      <c r="H3" s="394">
        <f>ASTRA!B34</f>
        <v>30.325818669945232</v>
      </c>
      <c r="I3" s="278">
        <f>ASTRA!C34</f>
        <v>30.761419385377401</v>
      </c>
      <c r="J3" s="278">
        <f>ASTRA!D34</f>
        <v>30.53985018836266</v>
      </c>
      <c r="K3" s="278">
        <f>ASTRA!E34</f>
        <v>32.788508879004112</v>
      </c>
      <c r="L3" s="374">
        <f>ASTRA!F34</f>
        <v>0</v>
      </c>
      <c r="M3" s="339">
        <f>ASTRA!B11/100</f>
        <v>1.07691117435885</v>
      </c>
      <c r="N3" s="169">
        <f>ASTRA!C11/100</f>
        <v>1.0923799497648219</v>
      </c>
      <c r="O3" s="169">
        <f>ASTRA!D11/100</f>
        <v>1.084511725439014</v>
      </c>
      <c r="P3" s="169">
        <f>ASTRA!E11/100</f>
        <v>1.1643646618964529</v>
      </c>
      <c r="Q3" s="288">
        <f>ASTRA!F11/100</f>
        <v>0</v>
      </c>
      <c r="R3" s="394">
        <f>ASTRA!B35</f>
        <v>36.032084179519657</v>
      </c>
      <c r="S3" s="279">
        <f>ASTRA!C35</f>
        <v>35.817539872481248</v>
      </c>
      <c r="T3" s="279">
        <f>ASTRA!D35</f>
        <v>36.246833341573172</v>
      </c>
      <c r="U3" s="279">
        <f>ASTRA!E35</f>
        <v>36.541005338341662</v>
      </c>
      <c r="V3" s="374">
        <f>ASTRA!F35</f>
        <v>0</v>
      </c>
      <c r="W3" s="339">
        <f>ASTRA!B25*W41</f>
        <v>0.41862230972473069</v>
      </c>
      <c r="X3" s="289">
        <f>ASTRA!C25*X41</f>
        <v>0.70095312070656457</v>
      </c>
      <c r="Y3" s="289">
        <f>ASTRA!D25*Y41</f>
        <v>1.0160302689353471</v>
      </c>
      <c r="Z3" s="289">
        <f>ASTRA!E25*Z41</f>
        <v>2.1199578261063641</v>
      </c>
      <c r="AA3" s="288">
        <f>ASTRA!F25*AA41</f>
        <v>0</v>
      </c>
      <c r="AB3" s="395">
        <f>ASTRA!B29*AB41</f>
        <v>2.0106969401825472</v>
      </c>
      <c r="AC3" s="319">
        <f>ASTRA!C29*AC41</f>
        <v>3.3625205098926783</v>
      </c>
      <c r="AD3" s="319">
        <f>ASTRA!D29*AD41</f>
        <v>4.8836534497906232</v>
      </c>
      <c r="AE3" s="319">
        <f>ASTRA!E29*AE41</f>
        <v>10.57247077115923</v>
      </c>
      <c r="AF3" s="373">
        <f>ASTRA!F29*AF41</f>
        <v>0</v>
      </c>
      <c r="AG3" s="339">
        <f>ASTRA!B30*AG41</f>
        <v>2.2764643685802711E-2</v>
      </c>
      <c r="AH3" s="289">
        <f>ASTRA!C30*AH41</f>
        <v>3.4722498036228837E-2</v>
      </c>
      <c r="AI3" s="289">
        <f>ASTRA!D30*AI41</f>
        <v>3.9057753365996283E-2</v>
      </c>
      <c r="AJ3" s="289">
        <f>ASTRA!E30*AJ41</f>
        <v>0.101663990209114</v>
      </c>
      <c r="AK3" s="288">
        <f>ASTRA!F30*AK41</f>
        <v>0</v>
      </c>
      <c r="AL3" s="394">
        <f>ASTRA!B24</f>
        <v>0.15782996820197831</v>
      </c>
      <c r="AM3" s="279">
        <f>ASTRA!C24</f>
        <v>0.23231190388968209</v>
      </c>
      <c r="AN3" s="279">
        <f>ASTRA!D24</f>
        <v>0.28966817965585773</v>
      </c>
      <c r="AO3" s="279">
        <f>ASTRA!E24</f>
        <v>0.54537985439518744</v>
      </c>
      <c r="AP3" s="374">
        <f>ASTRA!F24</f>
        <v>0</v>
      </c>
      <c r="AQ3" s="339">
        <f>ASTRA!B32</f>
        <v>0.6940563179930932</v>
      </c>
      <c r="AR3" s="169">
        <f>ASTRA!C32</f>
        <v>0.7045453826597029</v>
      </c>
      <c r="AS3" s="169">
        <f>ASTRA!D32</f>
        <v>0.69242340150749127</v>
      </c>
      <c r="AT3" s="169">
        <f>ASTRA!E32</f>
        <v>0.73443818459725008</v>
      </c>
      <c r="AU3" s="288">
        <f>ASTRA!F32</f>
        <v>0</v>
      </c>
      <c r="AV3" s="339">
        <f>ASTRA!B46</f>
        <v>0.31870935142095591</v>
      </c>
      <c r="AW3" s="169">
        <f>ASTRA!C46</f>
        <v>0.53094234287480657</v>
      </c>
      <c r="AX3" s="169">
        <f>ASTRA!D46</f>
        <v>0.77197757508628428</v>
      </c>
      <c r="AY3" s="169">
        <f>ASTRA!E46</f>
        <v>1.5807749934181199</v>
      </c>
      <c r="AZ3" s="288">
        <f>ASTRA!F46</f>
        <v>0</v>
      </c>
      <c r="BA3" s="394">
        <f>ASTRA!B23</f>
        <v>0.67152913655168456</v>
      </c>
      <c r="BB3" s="278">
        <f>ASTRA!C23</f>
        <v>0.99813663122089058</v>
      </c>
      <c r="BC3" s="278">
        <f>ASTRA!D23</f>
        <v>1.320909195306843</v>
      </c>
      <c r="BD3" s="278">
        <f>ASTRA!E23</f>
        <v>1.76161935760239</v>
      </c>
      <c r="BE3" s="374">
        <f>ASTRA!F23</f>
        <v>0</v>
      </c>
      <c r="BF3" s="339">
        <f>ASTRA!B41</f>
        <v>2.779884220994032</v>
      </c>
      <c r="BG3" s="169">
        <f>ASTRA!C41</f>
        <v>2.7951866594750601</v>
      </c>
      <c r="BH3" s="169">
        <f>ASTRA!D41</f>
        <v>2.8058568698159778</v>
      </c>
      <c r="BI3" s="169">
        <f>ASTRA!E41</f>
        <v>2.6465295830648481</v>
      </c>
      <c r="BJ3" s="169">
        <f>ASTRA!F41</f>
        <v>0</v>
      </c>
      <c r="BK3" s="394">
        <f>ASTRA!B38</f>
        <v>4.5802494080564973</v>
      </c>
      <c r="BL3" s="278">
        <f>ASTRA!C38</f>
        <v>4.5661845582647862</v>
      </c>
      <c r="BM3" s="278">
        <f>ASTRA!D38</f>
        <v>4.593733230992326</v>
      </c>
      <c r="BN3" s="278">
        <f>ASTRA!E38</f>
        <v>4.6126801949029694</v>
      </c>
      <c r="BO3" s="374">
        <f>ASTRA!F38</f>
        <v>0</v>
      </c>
      <c r="BP3" s="339">
        <f>ASTRA!B39</f>
        <v>3.367853816126742</v>
      </c>
      <c r="BQ3" s="169">
        <f>ASTRA!C39</f>
        <v>3.3567525043259838</v>
      </c>
      <c r="BR3" s="169">
        <f>ASTRA!D39</f>
        <v>3.378532164730732</v>
      </c>
      <c r="BS3" s="169">
        <f>ASTRA!E39</f>
        <v>3.3935072398094688</v>
      </c>
      <c r="BT3" s="288">
        <f>ASTRA!F39</f>
        <v>0</v>
      </c>
      <c r="BU3" s="339">
        <f>ASTRA!B14+ASTRA!B17</f>
        <v>36.940597539775922</v>
      </c>
      <c r="BV3" s="169">
        <f>ASTRA!C14+ASTRA!C17</f>
        <v>36.953751954429293</v>
      </c>
      <c r="BW3" s="169">
        <f>ASTRA!D14+ASTRA!D17</f>
        <v>36.951397061097687</v>
      </c>
      <c r="BX3" s="169">
        <f>ASTRA!E14+ASTRA!E17</f>
        <v>37.110526979979298</v>
      </c>
      <c r="BY3" s="288">
        <v>0</v>
      </c>
      <c r="BZ3" s="394">
        <f>ASTRA!B13</f>
        <v>533.0290021070914</v>
      </c>
      <c r="CA3" s="278">
        <f>ASTRA!C13</f>
        <v>269.57689949047023</v>
      </c>
      <c r="CB3" s="278">
        <f>ASTRA!D13</f>
        <v>136.17985126249431</v>
      </c>
      <c r="CC3" s="278">
        <f>ASTRA!E13</f>
        <v>77.679242935239216</v>
      </c>
      <c r="CD3" s="374">
        <f>ASTRA!F13</f>
        <v>0</v>
      </c>
      <c r="CE3" s="339">
        <f>ASTRA!B16+ASTRA!B19</f>
        <v>223.63838075916701</v>
      </c>
      <c r="CF3" s="169">
        <f>ASTRA!C16+ASTRA!C19</f>
        <v>224.10505736820241</v>
      </c>
      <c r="CG3" s="169">
        <f>ASTRA!D16+ASTRA!D19</f>
        <v>223.4531869862</v>
      </c>
      <c r="CH3" s="169">
        <f>ASTRA!E16+ASTRA!E19</f>
        <v>222.94696508974158</v>
      </c>
      <c r="CI3" s="288">
        <f>ASTRA!F16+ASTRA!F19</f>
        <v>0</v>
      </c>
      <c r="CJ3" s="339">
        <f>ASTRA!B31</f>
        <v>0.88232409746766405</v>
      </c>
      <c r="CK3" s="169">
        <f>ASTRA!C31</f>
        <v>1.2994346074542891</v>
      </c>
      <c r="CL3" s="169">
        <f>ASTRA!D31</f>
        <v>1.7062359159960889</v>
      </c>
      <c r="CM3" s="169">
        <f>ASTRA!E31</f>
        <v>2.221891470368123</v>
      </c>
      <c r="CN3" s="169">
        <f>ASTRA!F31</f>
        <v>0</v>
      </c>
      <c r="CO3" s="394">
        <f>ASTRA!B8</f>
        <v>0.70588171784061704</v>
      </c>
      <c r="CP3" s="278">
        <f>ASTRA!C8</f>
        <v>0.41331188315759437</v>
      </c>
      <c r="CQ3" s="278">
        <f>ASTRA!D8</f>
        <v>0.28094423242828442</v>
      </c>
      <c r="CR3" s="278">
        <f>ASTRA!E8</f>
        <v>0.1405667384711049</v>
      </c>
      <c r="CS3" s="374">
        <f>ASTRA!F8</f>
        <v>0</v>
      </c>
      <c r="CT3" s="339">
        <f>ASTRA!B43</f>
        <v>3.7482382067662781</v>
      </c>
      <c r="CU3" s="169">
        <f>ASTRA!C43</f>
        <v>3.702072592544623</v>
      </c>
      <c r="CV3" s="169">
        <f>ASTRA!D43</f>
        <v>3.668768637513363</v>
      </c>
      <c r="CW3" s="169">
        <f>ASTRA!E43</f>
        <v>4.1198174389051747</v>
      </c>
      <c r="CX3" s="288">
        <f>ASTRA!F43</f>
        <v>0</v>
      </c>
      <c r="CY3" s="394">
        <f>ASTRA!B44</f>
        <v>0.64880621227576285</v>
      </c>
      <c r="CZ3" s="278">
        <f>ASTRA!C44</f>
        <v>0.65315651556684517</v>
      </c>
      <c r="DA3" s="278">
        <f>ASTRA!D44</f>
        <v>0.64857082034698721</v>
      </c>
      <c r="DB3" s="278">
        <f>ASTRA!E44</f>
        <v>0.59395569890916655</v>
      </c>
      <c r="DC3" s="374">
        <f>ASTRA!F44</f>
        <v>0</v>
      </c>
      <c r="DD3" s="339">
        <f>ASTRA!B52</f>
        <v>2.8612596587687991</v>
      </c>
      <c r="DE3" s="169">
        <f>ASTRA!C52</f>
        <v>2.8782320654677291</v>
      </c>
      <c r="DF3" s="169">
        <f>ASTRA!D52</f>
        <v>2.9049567278379991</v>
      </c>
      <c r="DG3" s="169">
        <f>ASTRA!E52</f>
        <v>2.7864806718549562</v>
      </c>
      <c r="DH3" s="288">
        <f>ASTRA!F52</f>
        <v>0</v>
      </c>
      <c r="DI3" s="339">
        <f>ASTRA!B49</f>
        <v>1.006228729514012</v>
      </c>
      <c r="DJ3" s="169">
        <f>ASTRA!C49</f>
        <v>1.010542673146585</v>
      </c>
      <c r="DK3" s="169">
        <f>ASTRA!D49</f>
        <v>1.015242168428943</v>
      </c>
      <c r="DL3" s="169">
        <f>ASTRA!E49</f>
        <v>1.029913091487086</v>
      </c>
      <c r="DM3" s="288">
        <f>ASTRA!F49</f>
        <v>0</v>
      </c>
      <c r="DN3" s="339">
        <f>ASTRA!B50</f>
        <v>2.7549816856675289</v>
      </c>
      <c r="DO3" s="169">
        <f>ASTRA!C50</f>
        <v>2.7676403225617099</v>
      </c>
      <c r="DP3" s="169">
        <f>ASTRA!D50</f>
        <v>2.789664712499996</v>
      </c>
      <c r="DQ3" s="169">
        <f>ASTRA!E50</f>
        <v>2.656518152490118</v>
      </c>
      <c r="DR3" s="288">
        <f>ASTRA!F50</f>
        <v>0</v>
      </c>
      <c r="DS3" s="339">
        <f>ASTRA!B21</f>
        <v>6.158719992557681</v>
      </c>
      <c r="DT3" s="169">
        <f>ASTRA!C21</f>
        <v>6.2502535985883432</v>
      </c>
      <c r="DU3" s="169">
        <f>ASTRA!D21</f>
        <v>6.1993757011467077</v>
      </c>
      <c r="DV3" s="169">
        <f>ASTRA!E21</f>
        <v>6.6509722064503922</v>
      </c>
      <c r="DW3" s="288">
        <f>ASTRA!F21</f>
        <v>0</v>
      </c>
      <c r="DX3" s="339">
        <f>ASTRA!B22</f>
        <v>1.0769135416740381</v>
      </c>
      <c r="DY3" s="169">
        <f>ASTRA!C22</f>
        <v>1.0923804382643441</v>
      </c>
      <c r="DZ3" s="169">
        <f>ASTRA!D22</f>
        <v>1.084510927820691</v>
      </c>
      <c r="EA3" s="169">
        <f>ASTRA!E22</f>
        <v>1.1643674028967641</v>
      </c>
      <c r="EB3" s="288">
        <f>ASTRA!F22</f>
        <v>0</v>
      </c>
      <c r="ED3" s="277">
        <v>727</v>
      </c>
      <c r="EE3" s="287">
        <f>'[2]параметры для расчета'!$K$5*A3</f>
        <v>726.18000000000006</v>
      </c>
      <c r="EG3" s="288">
        <v>235</v>
      </c>
      <c r="EH3" s="287">
        <f>BV3+CA3+CF3</f>
        <v>530.63570881310193</v>
      </c>
    </row>
    <row r="4" spans="1:138" s="317" customFormat="1" ht="15.5" x14ac:dyDescent="0.35">
      <c r="A4" s="290">
        <v>7</v>
      </c>
      <c r="B4" s="290"/>
      <c r="C4" s="393">
        <f>ASTRA!G45</f>
        <v>5.3950266899004333</v>
      </c>
      <c r="D4" s="290">
        <f>ASTRA!H45</f>
        <v>5.3229730055373556</v>
      </c>
      <c r="E4" s="290">
        <f>ASTRA!I45</f>
        <v>5.2732445925655336</v>
      </c>
      <c r="F4" s="290">
        <f>ASTRA!J45</f>
        <v>5.1773221858265872</v>
      </c>
      <c r="G4" s="377">
        <f>ASTRA!K45</f>
        <v>0</v>
      </c>
      <c r="H4" s="394">
        <f>ASTRA!G34</f>
        <v>32.61270497762996</v>
      </c>
      <c r="I4" s="278">
        <f>ASTRA!H34</f>
        <v>33.050025514038282</v>
      </c>
      <c r="J4" s="278">
        <f>ASTRA!I34</f>
        <v>33.193942657233379</v>
      </c>
      <c r="K4" s="278">
        <f>ASTRA!J34</f>
        <v>32.176037104215048</v>
      </c>
      <c r="L4" s="374">
        <f>ASTRA!K34</f>
        <v>0</v>
      </c>
      <c r="M4" s="339">
        <f>ASTRA!G11/100</f>
        <v>1.158121625626064</v>
      </c>
      <c r="N4" s="169">
        <f>ASTRA!H11/100</f>
        <v>1.173651474220109</v>
      </c>
      <c r="O4" s="169">
        <f>ASTRA!I11/100</f>
        <v>1.1787621682256171</v>
      </c>
      <c r="P4" s="169">
        <f>ASTRA!J11/100</f>
        <v>1.1426149539849089</v>
      </c>
      <c r="Q4" s="288">
        <f>ASTRA!K11/100</f>
        <v>0</v>
      </c>
      <c r="R4" s="394">
        <f>ASTRA!G35</f>
        <v>36.424236786712243</v>
      </c>
      <c r="S4" s="279">
        <f>ASTRA!H35</f>
        <v>37.019776838552332</v>
      </c>
      <c r="T4" s="279">
        <f>ASTRA!I35</f>
        <v>36.733346349197816</v>
      </c>
      <c r="U4" s="279">
        <f>ASTRA!J35</f>
        <v>36.446375715679679</v>
      </c>
      <c r="V4" s="374">
        <f>ASTRA!K35</f>
        <v>0</v>
      </c>
      <c r="W4" s="393">
        <f>ASTRA!G25*W42</f>
        <v>0.63476934575504662</v>
      </c>
      <c r="X4" s="318">
        <f>ASTRA!H25*X42</f>
        <v>1.064684734900829</v>
      </c>
      <c r="Y4" s="318">
        <f>ASTRA!I25*Y42</f>
        <v>1.584500946963034</v>
      </c>
      <c r="Z4" s="318">
        <f>ASTRA!J25*Z42</f>
        <v>2.2628265372665961</v>
      </c>
      <c r="AA4" s="377">
        <f>ASTRA!K25*AA42</f>
        <v>0</v>
      </c>
      <c r="AB4" s="394">
        <f>ASTRA!G29*AB42</f>
        <v>3.3152476201835377</v>
      </c>
      <c r="AC4" s="291">
        <f>ASTRA!H29*AC42</f>
        <v>5.5521220115795291</v>
      </c>
      <c r="AD4" s="291">
        <f>ASTRA!I29*AD42</f>
        <v>8.2232796836757629</v>
      </c>
      <c r="AE4" s="291">
        <f>ASTRA!J29*AE42</f>
        <v>11.85145056118313</v>
      </c>
      <c r="AF4" s="374">
        <f>ASTRA!K29*AF42</f>
        <v>0</v>
      </c>
      <c r="AG4" s="339">
        <f>ASTRA!G30*AG42</f>
        <v>2.852828437417005E-2</v>
      </c>
      <c r="AH4" s="289">
        <f>ASTRA!H30*AH42</f>
        <v>4.1621891638244028E-2</v>
      </c>
      <c r="AI4" s="289">
        <f>ASTRA!I30*AI42</f>
        <v>7.5139610047732258E-2</v>
      </c>
      <c r="AJ4" s="289">
        <f>ASTRA!J30*AJ42</f>
        <v>9.6939763581797372E-2</v>
      </c>
      <c r="AK4" s="288">
        <f>ASTRA!K30*AK42</f>
        <v>0</v>
      </c>
      <c r="AL4" s="394">
        <f>ASTRA!G24</f>
        <v>0.26800494850259537</v>
      </c>
      <c r="AM4" s="279">
        <f>ASTRA!H24</f>
        <v>0.39060445355217371</v>
      </c>
      <c r="AN4" s="279">
        <f>ASTRA!I24</f>
        <v>0.50423272157667343</v>
      </c>
      <c r="AO4" s="279">
        <f>ASTRA!J24</f>
        <v>0.61864894702468287</v>
      </c>
      <c r="AP4" s="374">
        <f>ASTRA!K24</f>
        <v>0</v>
      </c>
      <c r="AQ4" s="339">
        <f>ASTRA!G32</f>
        <v>0.74064339174072369</v>
      </c>
      <c r="AR4" s="169">
        <f>ASTRA!H32</f>
        <v>0.73590572122771503</v>
      </c>
      <c r="AS4" s="169">
        <f>ASTRA!I32</f>
        <v>0.7387853660538346</v>
      </c>
      <c r="AT4" s="169">
        <f>ASTRA!J32</f>
        <v>0.74688266789457802</v>
      </c>
      <c r="AU4" s="288">
        <f>ASTRA!K32</f>
        <v>0</v>
      </c>
      <c r="AV4" s="339">
        <f>ASTRA!G46</f>
        <v>0.50459271983545151</v>
      </c>
      <c r="AW4" s="169">
        <f>ASTRA!H46</f>
        <v>0.82785024361895843</v>
      </c>
      <c r="AX4" s="169">
        <f>ASTRA!I46</f>
        <v>1.2085852427142121</v>
      </c>
      <c r="AY4" s="169">
        <f>ASTRA!J46</f>
        <v>1.7642409632180041</v>
      </c>
      <c r="AZ4" s="288">
        <f>ASTRA!K46</f>
        <v>0</v>
      </c>
      <c r="BA4" s="394">
        <f>ASTRA!G23</f>
        <v>0.7203415112797863</v>
      </c>
      <c r="BB4" s="278">
        <f>ASTRA!H23</f>
        <v>1.0914154070678921</v>
      </c>
      <c r="BC4" s="278">
        <f>ASTRA!I23</f>
        <v>1.4220605129095161</v>
      </c>
      <c r="BD4" s="278">
        <f>ASTRA!J23</f>
        <v>1.791064419948597</v>
      </c>
      <c r="BE4" s="374">
        <f>ASTRA!K23</f>
        <v>0</v>
      </c>
      <c r="BF4" s="339">
        <f>ASTRA!G41</f>
        <v>2.5550995359232478</v>
      </c>
      <c r="BG4" s="169">
        <f>ASTRA!H41</f>
        <v>2.55112847655354</v>
      </c>
      <c r="BH4" s="169">
        <f>ASTRA!I41</f>
        <v>2.553576811850502</v>
      </c>
      <c r="BI4" s="169">
        <f>ASTRA!J41</f>
        <v>2.589277071200077</v>
      </c>
      <c r="BJ4" s="169">
        <f>ASTRA!K41</f>
        <v>0</v>
      </c>
      <c r="BK4" s="394">
        <f>ASTRA!G38</f>
        <v>4.6051968074429626</v>
      </c>
      <c r="BL4" s="278">
        <f>ASTRA!H38</f>
        <v>4.6435609990761844</v>
      </c>
      <c r="BM4" s="278">
        <f>ASTRA!I38</f>
        <v>4.6254892208931766</v>
      </c>
      <c r="BN4" s="278">
        <f>ASTRA!J38</f>
        <v>4.6069934307581928</v>
      </c>
      <c r="BO4" s="374">
        <f>ASTRA!K38</f>
        <v>0</v>
      </c>
      <c r="BP4" s="339">
        <f>ASTRA!G39</f>
        <v>3.3875903170306971</v>
      </c>
      <c r="BQ4" s="169">
        <f>ASTRA!H39</f>
        <v>3.4179118457545208</v>
      </c>
      <c r="BR4" s="169">
        <f>ASTRA!I39</f>
        <v>3.403605641299317</v>
      </c>
      <c r="BS4" s="169">
        <f>ASTRA!J39</f>
        <v>3.388987843213191</v>
      </c>
      <c r="BT4" s="288">
        <f>ASTRA!K39</f>
        <v>0</v>
      </c>
      <c r="BU4" s="339">
        <f>ASTRA!G14+ASTRA!G17</f>
        <v>37.120524779235062</v>
      </c>
      <c r="BV4" s="169">
        <f>ASTRA!H14+ASTRA!H17</f>
        <v>37.132224844809322</v>
      </c>
      <c r="BW4" s="169">
        <f>ASTRA!$H$14+ASTRA!$H$17</f>
        <v>37.132224844809322</v>
      </c>
      <c r="BX4" s="169">
        <f>ASTRA!$H$14+ASTRA!$H$17</f>
        <v>37.132224844809322</v>
      </c>
      <c r="BY4" s="288">
        <v>0</v>
      </c>
      <c r="BZ4" s="394">
        <f>ASTRA!G13</f>
        <v>646.2035210199474</v>
      </c>
      <c r="CA4" s="278">
        <f>ASTRA!H13</f>
        <v>330.67132919381822</v>
      </c>
      <c r="CB4" s="278">
        <f>ASTRA!I13</f>
        <v>188.75231963159561</v>
      </c>
      <c r="CC4" s="278">
        <f>ASTRA!J13</f>
        <v>89.496154135898806</v>
      </c>
      <c r="CD4" s="374">
        <f>ASTRA!K13</f>
        <v>0</v>
      </c>
      <c r="CE4" s="339">
        <f>ASTRA!G16+ASTRA!G19</f>
        <v>223.17329512962689</v>
      </c>
      <c r="CF4" s="169">
        <f>ASTRA!H16+ASTRA!H19</f>
        <v>222.5340923766847</v>
      </c>
      <c r="CG4" s="169">
        <f>ASTRA!I16+ASTRA!I19</f>
        <v>222.96651121033409</v>
      </c>
      <c r="CH4" s="169">
        <f>ASTRA!J16+ASTRA!J19</f>
        <v>223.24765378177682</v>
      </c>
      <c r="CI4" s="288">
        <f>ASTRA!K16+ASTRA!K19</f>
        <v>0</v>
      </c>
      <c r="CJ4" s="339">
        <f>ASTRA!G31</f>
        <v>0.90779402077261129</v>
      </c>
      <c r="CK4" s="169">
        <f>ASTRA!H31</f>
        <v>1.3701469366681931</v>
      </c>
      <c r="CL4" s="169">
        <f>ASTRA!I31</f>
        <v>1.778798200900654</v>
      </c>
      <c r="CM4" s="169">
        <f>ASTRA!J31</f>
        <v>2.2404322115732058</v>
      </c>
      <c r="CN4" s="169">
        <f>ASTRA!K31</f>
        <v>0</v>
      </c>
      <c r="CO4" s="394">
        <f>ASTRA!G8</f>
        <v>0.46638044010589502</v>
      </c>
      <c r="CP4" s="278">
        <f>ASTRA!H8</f>
        <v>0.28120448450546298</v>
      </c>
      <c r="CQ4" s="278">
        <f>ASTRA!I8</f>
        <v>0.18416120226577551</v>
      </c>
      <c r="CR4" s="278">
        <f>ASTRA!J8</f>
        <v>0.1304345490753393</v>
      </c>
      <c r="CS4" s="374">
        <f>ASTRA!K8</f>
        <v>0</v>
      </c>
      <c r="CT4" s="339">
        <f>ASTRA!G43</f>
        <v>4.3462938243189857</v>
      </c>
      <c r="CU4" s="169">
        <f>ASTRA!H43</f>
        <v>4.3174071970637558</v>
      </c>
      <c r="CV4" s="169">
        <f>ASTRA!I43</f>
        <v>4.2834453359459861</v>
      </c>
      <c r="CW4" s="169">
        <f>ASTRA!J43</f>
        <v>4.2942022542426752</v>
      </c>
      <c r="CX4" s="288">
        <f>ASTRA!K43</f>
        <v>0</v>
      </c>
      <c r="CY4" s="394">
        <f>ASTRA!G44</f>
        <v>0.55192371128986661</v>
      </c>
      <c r="CZ4" s="278">
        <f>ASTRA!H44</f>
        <v>0.56632182954179133</v>
      </c>
      <c r="DA4" s="278">
        <f>ASTRA!I44</f>
        <v>0.56296471802617143</v>
      </c>
      <c r="DB4" s="278">
        <f>ASTRA!J44</f>
        <v>0.56611449955973048</v>
      </c>
      <c r="DC4" s="374">
        <f>ASTRA!K44</f>
        <v>0</v>
      </c>
      <c r="DD4" s="339">
        <f>ASTRA!G52</f>
        <v>2.635831199209576</v>
      </c>
      <c r="DE4" s="169">
        <f>ASTRA!H52</f>
        <v>2.6647128156310602</v>
      </c>
      <c r="DF4" s="169">
        <f>ASTRA!I52</f>
        <v>2.6862756154774412</v>
      </c>
      <c r="DG4" s="169">
        <f>ASTRA!J52</f>
        <v>2.729813870123543</v>
      </c>
      <c r="DH4" s="288">
        <f>ASTRA!K52</f>
        <v>0</v>
      </c>
      <c r="DI4" s="339">
        <f>ASTRA!G49</f>
        <v>1.0090968519956149</v>
      </c>
      <c r="DJ4" s="169">
        <f>ASTRA!H49</f>
        <v>1.015136378890733</v>
      </c>
      <c r="DK4" s="169">
        <f>ASTRA!I49</f>
        <v>1.022199767351605</v>
      </c>
      <c r="DL4" s="169">
        <f>ASTRA!J49</f>
        <v>1.031453266746005</v>
      </c>
      <c r="DM4" s="288">
        <f>ASTRA!K49</f>
        <v>0</v>
      </c>
      <c r="DN4" s="339">
        <f>ASTRA!G50</f>
        <v>2.5266853183632381</v>
      </c>
      <c r="DO4" s="169">
        <f>ASTRA!H50</f>
        <v>2.5495276449147628</v>
      </c>
      <c r="DP4" s="169">
        <f>ASTRA!I50</f>
        <v>2.5640264190685409</v>
      </c>
      <c r="DQ4" s="169">
        <f>ASTRA!J50</f>
        <v>2.5983118120228519</v>
      </c>
      <c r="DR4" s="288">
        <f>ASTRA!K50</f>
        <v>0</v>
      </c>
      <c r="DS4" s="339">
        <f>ASTRA!G21</f>
        <v>6.617127637158478</v>
      </c>
      <c r="DT4" s="169">
        <f>ASTRA!H21</f>
        <v>6.6966421277357728</v>
      </c>
      <c r="DU4" s="169">
        <f>ASTRA!I21</f>
        <v>6.7298150066306688</v>
      </c>
      <c r="DV4" s="169">
        <f>ASTRA!J21</f>
        <v>6.5279809502517452</v>
      </c>
      <c r="DW4" s="288">
        <f>ASTRA!K21</f>
        <v>0</v>
      </c>
      <c r="DX4" s="339">
        <f>ASTRA!G22</f>
        <v>1.1581214260993411</v>
      </c>
      <c r="DY4" s="169">
        <f>ASTRA!H22</f>
        <v>1.1736552531683631</v>
      </c>
      <c r="DZ4" s="169">
        <f>ASTRA!I22</f>
        <v>1.1787623911108169</v>
      </c>
      <c r="EA4" s="169">
        <f>ASTRA!J22</f>
        <v>1.1426166910475719</v>
      </c>
      <c r="EB4" s="288">
        <f>ASTRA!K22</f>
        <v>0</v>
      </c>
      <c r="ED4" s="277">
        <v>846</v>
      </c>
      <c r="EE4" s="287">
        <f>'[2]параметры для расчета'!$K$5*A4</f>
        <v>847.21</v>
      </c>
      <c r="EG4" s="288">
        <v>290</v>
      </c>
      <c r="EH4" s="287">
        <f>BV4+CA4+CF4</f>
        <v>590.33764641531229</v>
      </c>
    </row>
    <row r="5" spans="1:138" ht="15.5" x14ac:dyDescent="0.35">
      <c r="A5" s="290">
        <v>8</v>
      </c>
      <c r="B5" s="290"/>
      <c r="C5" s="393">
        <f>ASTRA!L45</f>
        <v>6.375354543468954</v>
      </c>
      <c r="D5" s="290">
        <f>ASTRA!M45</f>
        <v>6.2850776598650251</v>
      </c>
      <c r="E5" s="290">
        <f>ASTRA!N45</f>
        <v>6.2110695778386766</v>
      </c>
      <c r="F5" s="290">
        <f>ASTRA!O45</f>
        <v>6.1011487748740887</v>
      </c>
      <c r="G5" s="377">
        <f>ASTRA!P45</f>
        <v>0</v>
      </c>
      <c r="H5" s="394">
        <f>ASTRA!L34</f>
        <v>33.165596022411073</v>
      </c>
      <c r="I5" s="278">
        <f>ASTRA!M34</f>
        <v>33.362307013997167</v>
      </c>
      <c r="J5" s="278">
        <f>ASTRA!N34</f>
        <v>33.067293018916253</v>
      </c>
      <c r="K5" s="278">
        <f>ASTRA!O34</f>
        <v>33.707288190201403</v>
      </c>
      <c r="L5" s="374">
        <f>ASTRA!P34</f>
        <v>0</v>
      </c>
      <c r="M5" s="339">
        <f>ASTRA!L11/100</f>
        <v>1.1777555405685751</v>
      </c>
      <c r="N5" s="169">
        <f>ASTRA!M11/100</f>
        <v>1.1847410161220591</v>
      </c>
      <c r="O5" s="169">
        <f>ASTRA!N11/100</f>
        <v>1.174264666864923</v>
      </c>
      <c r="P5" s="169">
        <f>ASTRA!O11/100</f>
        <v>1.1969917681179469</v>
      </c>
      <c r="Q5" s="288">
        <f>ASTRA!P11/100</f>
        <v>0</v>
      </c>
      <c r="R5" s="394">
        <f>ASTRA!L35</f>
        <v>36.385680359718272</v>
      </c>
      <c r="S5" s="279">
        <f>ASTRA!M35</f>
        <v>36.279159894422151</v>
      </c>
      <c r="T5" s="279">
        <f>ASTRA!N35</f>
        <v>36.181333441268968</v>
      </c>
      <c r="U5" s="279">
        <f>ASTRA!O35</f>
        <v>36.373642572839472</v>
      </c>
      <c r="V5" s="374">
        <f>ASTRA!P35</f>
        <v>0</v>
      </c>
      <c r="W5" s="339">
        <f>ASTRA!L25*W43</f>
        <v>0.78118838449983641</v>
      </c>
      <c r="X5" s="289">
        <f>ASTRA!M25*X43</f>
        <v>1.2920193701147249</v>
      </c>
      <c r="Y5" s="289">
        <f>ASTRA!N25*Y43</f>
        <v>1.8987558906408379</v>
      </c>
      <c r="Z5" s="289">
        <f>ASTRA!O25*Z43</f>
        <v>2.6840505428183752</v>
      </c>
      <c r="AA5" s="288">
        <f>ASTRA!P25*AA43</f>
        <v>0</v>
      </c>
      <c r="AB5" s="394">
        <f>ASTRA!L29*AB43</f>
        <v>4.4463676113951003</v>
      </c>
      <c r="AC5" s="291">
        <f>ASTRA!M29*AC43</f>
        <v>7.5051486838039079</v>
      </c>
      <c r="AD5" s="291">
        <f>ASTRA!N29*AD43</f>
        <v>10.96639686083418</v>
      </c>
      <c r="AE5" s="291">
        <f>ASTRA!O29*AE43</f>
        <v>16.393634129227802</v>
      </c>
      <c r="AF5" s="374">
        <f>ASTRA!P29*AF43</f>
        <v>0</v>
      </c>
      <c r="AG5" s="339">
        <f>ASTRA!L30*AG43</f>
        <v>3.1060425913463599E-2</v>
      </c>
      <c r="AH5" s="289">
        <f>ASTRA!M30*AH43</f>
        <v>5.6847000970641257E-2</v>
      </c>
      <c r="AI5" s="289">
        <f>ASTRA!N30*AI43</f>
        <v>8.2933686315911692E-2</v>
      </c>
      <c r="AJ5" s="289">
        <f>ASTRA!O30*AJ43</f>
        <v>0.14073505060076499</v>
      </c>
      <c r="AK5" s="288">
        <f>ASTRA!P30*AK43</f>
        <v>0</v>
      </c>
      <c r="AL5" s="394">
        <f>ASTRA!L24</f>
        <v>0.36111306131804349</v>
      </c>
      <c r="AM5" s="279">
        <f>ASTRA!M24</f>
        <v>0.54031573554169243</v>
      </c>
      <c r="AN5" s="279">
        <f>ASTRA!N24</f>
        <v>0.69735661932150639</v>
      </c>
      <c r="AO5" s="279">
        <f>ASTRA!O24</f>
        <v>0.84238739640577953</v>
      </c>
      <c r="AP5" s="374">
        <f>ASTRA!P24</f>
        <v>0</v>
      </c>
      <c r="AQ5" s="339">
        <f>ASTRA!L32</f>
        <v>0.78812959684333295</v>
      </c>
      <c r="AR5" s="169">
        <f>ASTRA!M32</f>
        <v>0.78749420826813032</v>
      </c>
      <c r="AS5" s="169">
        <f>ASTRA!N32</f>
        <v>0.78897175613577097</v>
      </c>
      <c r="AT5" s="169">
        <f>ASTRA!O32</f>
        <v>0.79196567352181702</v>
      </c>
      <c r="AU5" s="288">
        <f>ASTRA!P32</f>
        <v>0</v>
      </c>
      <c r="AV5" s="339">
        <f>ASTRA!L46</f>
        <v>0.63169069234756037</v>
      </c>
      <c r="AW5" s="169">
        <f>ASTRA!M46</f>
        <v>1.070029728659041</v>
      </c>
      <c r="AX5" s="169">
        <f>ASTRA!N46</f>
        <v>1.5685334649168581</v>
      </c>
      <c r="AY5" s="169">
        <f>ASTRA!O46</f>
        <v>2.141893267584547</v>
      </c>
      <c r="AZ5" s="288">
        <f>ASTRA!P46</f>
        <v>0</v>
      </c>
      <c r="BA5" s="394">
        <f>ASTRA!L23</f>
        <v>0.77016532191918385</v>
      </c>
      <c r="BB5" s="278">
        <f>ASTRA!M23</f>
        <v>1.169273660448515</v>
      </c>
      <c r="BC5" s="278">
        <f>ASTRA!N23</f>
        <v>1.527854462722273</v>
      </c>
      <c r="BD5" s="278">
        <f>ASTRA!O23</f>
        <v>1.892163442214591</v>
      </c>
      <c r="BE5" s="374">
        <f>ASTRA!P23</f>
        <v>0</v>
      </c>
      <c r="BF5" s="339">
        <f>ASTRA!L41</f>
        <v>2.3872799904378641</v>
      </c>
      <c r="BG5" s="169">
        <f>ASTRA!M41</f>
        <v>2.36437526780171</v>
      </c>
      <c r="BH5" s="169">
        <f>ASTRA!N41</f>
        <v>2.367429976926716</v>
      </c>
      <c r="BI5" s="169">
        <f>ASTRA!O41</f>
        <v>2.383516466677686</v>
      </c>
      <c r="BJ5" s="169">
        <f>ASTRA!P41</f>
        <v>0</v>
      </c>
      <c r="BK5" s="394">
        <f>ASTRA!L38</f>
        <v>4.6029877094517273</v>
      </c>
      <c r="BL5" s="278">
        <f>ASTRA!M38</f>
        <v>4.5962017072205983</v>
      </c>
      <c r="BM5" s="278">
        <f>ASTRA!N38</f>
        <v>4.5898929496871137</v>
      </c>
      <c r="BN5" s="278">
        <f>ASTRA!O38</f>
        <v>4.6021273978497463</v>
      </c>
      <c r="BO5" s="374">
        <f>ASTRA!P38</f>
        <v>0</v>
      </c>
      <c r="BP5" s="339">
        <f>ASTRA!L39</f>
        <v>3.3858277142123989</v>
      </c>
      <c r="BQ5" s="169">
        <f>ASTRA!M39</f>
        <v>3.3804597238160818</v>
      </c>
      <c r="BR5" s="169">
        <f>ASTRA!N39</f>
        <v>3.375473900135971</v>
      </c>
      <c r="BS5" s="169">
        <f>ASTRA!O39</f>
        <v>3.385152876351238</v>
      </c>
      <c r="BT5" s="288">
        <f>ASTRA!P39</f>
        <v>0</v>
      </c>
      <c r="BU5" s="339">
        <f>ASTRA!L14+ASTRA!L17</f>
        <v>37.225584306065187</v>
      </c>
      <c r="BV5" s="169">
        <f>ASTRA!M14+ASTRA!M17</f>
        <v>37.232425038529932</v>
      </c>
      <c r="BW5" s="169">
        <f>ASTRA!$M$14+ASTRA!$M$17</f>
        <v>37.232425038529932</v>
      </c>
      <c r="BX5" s="169">
        <f>ASTRA!$M$14+ASTRA!$M$17</f>
        <v>37.232425038529932</v>
      </c>
      <c r="BY5" s="288">
        <v>0</v>
      </c>
      <c r="BZ5" s="394">
        <f>ASTRA!L13</f>
        <v>741.25167915965119</v>
      </c>
      <c r="CA5" s="278">
        <f>ASTRA!M13</f>
        <v>389.89694775065112</v>
      </c>
      <c r="CB5" s="278">
        <f>ASTRA!N13</f>
        <v>231.36486825666239</v>
      </c>
      <c r="CC5" s="278">
        <f>ASTRA!O13</f>
        <v>129.95583669065161</v>
      </c>
      <c r="CD5" s="374">
        <f>ASTRA!P13</f>
        <v>0</v>
      </c>
      <c r="CE5" s="339">
        <f>ASTRA!L16+ASTRA!L19</f>
        <v>223.39213508229881</v>
      </c>
      <c r="CF5" s="169">
        <f>ASTRA!M16+ASTRA!M19</f>
        <v>223.4290862920214</v>
      </c>
      <c r="CG5" s="169">
        <f>ASTRA!N16+ASTRA!N19</f>
        <v>223.49566734379852</v>
      </c>
      <c r="CH5" s="169">
        <f>ASTRA!O16+ASTRA!O19</f>
        <v>223.18757710029021</v>
      </c>
      <c r="CI5" s="288">
        <f>ASTRA!P16+ASTRA!P19</f>
        <v>0</v>
      </c>
      <c r="CJ5" s="339">
        <f>ASTRA!L31</f>
        <v>0.94176546568597608</v>
      </c>
      <c r="CK5" s="169">
        <f>ASTRA!M31</f>
        <v>1.427740795722773</v>
      </c>
      <c r="CL5" s="169">
        <f>ASTRA!N31</f>
        <v>1.8644888433814319</v>
      </c>
      <c r="CM5" s="169">
        <f>ASTRA!O31</f>
        <v>2.3149339128232009</v>
      </c>
      <c r="CN5" s="169">
        <f>ASTRA!P31</f>
        <v>0</v>
      </c>
      <c r="CO5" s="394">
        <f>ASTRA!L8</f>
        <v>0.38597169052844521</v>
      </c>
      <c r="CP5" s="278">
        <f>ASTRA!M8</f>
        <v>0.23925323058769801</v>
      </c>
      <c r="CQ5" s="278">
        <f>ASTRA!N8</f>
        <v>0.15937304406324029</v>
      </c>
      <c r="CR5" s="278">
        <f>ASTRA!O8</f>
        <v>0.11909961584830391</v>
      </c>
      <c r="CS5" s="374">
        <f>ASTRA!P8</f>
        <v>0</v>
      </c>
      <c r="CT5" s="339">
        <f>ASTRA!L43</f>
        <v>4.9522512355594923</v>
      </c>
      <c r="CU5" s="169">
        <f>ASTRA!M43</f>
        <v>4.9276231324178168</v>
      </c>
      <c r="CV5" s="169">
        <f>ASTRA!N43</f>
        <v>4.932816084859498</v>
      </c>
      <c r="CW5" s="169">
        <f>ASTRA!O43</f>
        <v>4.9527603404993341</v>
      </c>
      <c r="CX5" s="288">
        <f>ASTRA!P43</f>
        <v>0</v>
      </c>
      <c r="CY5" s="394">
        <f>ASTRA!L44</f>
        <v>0.47512589478167949</v>
      </c>
      <c r="CZ5" s="278">
        <f>ASTRA!M44</f>
        <v>0.47717854734808018</v>
      </c>
      <c r="DA5" s="278">
        <f>ASTRA!N44</f>
        <v>0.47717690892925579</v>
      </c>
      <c r="DB5" s="278">
        <f>ASTRA!O44</f>
        <v>0.48951193683096372</v>
      </c>
      <c r="DC5" s="374">
        <f>ASTRA!P44</f>
        <v>0</v>
      </c>
      <c r="DD5" s="339">
        <f>ASTRA!L52</f>
        <v>2.4637119646989949</v>
      </c>
      <c r="DE5" s="169">
        <f>ASTRA!M52</f>
        <v>2.497485035293376</v>
      </c>
      <c r="DF5" s="169">
        <f>ASTRA!N52</f>
        <v>2.5275674175291059</v>
      </c>
      <c r="DG5" s="169">
        <f>ASTRA!O52</f>
        <v>2.560056267265165</v>
      </c>
      <c r="DH5" s="288">
        <f>ASTRA!P52</f>
        <v>0</v>
      </c>
      <c r="DI5" s="339">
        <f>ASTRA!L49</f>
        <v>1.010194448318156</v>
      </c>
      <c r="DJ5" s="169">
        <f>ASTRA!M49</f>
        <v>1.017464089308965</v>
      </c>
      <c r="DK5" s="169">
        <f>ASTRA!N49</f>
        <v>1.0253517962401051</v>
      </c>
      <c r="DL5" s="169">
        <f>ASTRA!O49</f>
        <v>1.0353084799125309</v>
      </c>
      <c r="DM5" s="288">
        <f>ASTRA!P49</f>
        <v>0</v>
      </c>
      <c r="DN5" s="339">
        <f>ASTRA!L50</f>
        <v>2.3534694515547931</v>
      </c>
      <c r="DO5" s="169">
        <f>ASTRA!M50</f>
        <v>2.3799724302092331</v>
      </c>
      <c r="DP5" s="169">
        <f>ASTRA!N50</f>
        <v>2.402166882857721</v>
      </c>
      <c r="DQ5" s="169">
        <f>ASTRA!O50</f>
        <v>2.4246990570999101</v>
      </c>
      <c r="DR5" s="288">
        <f>ASTRA!P50</f>
        <v>0</v>
      </c>
      <c r="DS5" s="339">
        <f>ASTRA!L21</f>
        <v>6.7297914657104716</v>
      </c>
      <c r="DT5" s="169">
        <f>ASTRA!M21</f>
        <v>6.7712429462224781</v>
      </c>
      <c r="DU5" s="169">
        <f>ASTRA!N21</f>
        <v>6.7129971146293128</v>
      </c>
      <c r="DV5" s="169">
        <f>ASTRA!O21</f>
        <v>6.8400965831063916</v>
      </c>
      <c r="DW5" s="288">
        <f>ASTRA!P21</f>
        <v>0</v>
      </c>
      <c r="DX5" s="339">
        <f>ASTRA!L22</f>
        <v>1.1777517339122581</v>
      </c>
      <c r="DY5" s="169">
        <f>ASTRA!M22</f>
        <v>1.184740410719838</v>
      </c>
      <c r="DZ5" s="169">
        <f>ASTRA!N22</f>
        <v>1.1742632413787431</v>
      </c>
      <c r="EA5" s="169">
        <f>ASTRA!O22</f>
        <v>1.1969901348962411</v>
      </c>
      <c r="EB5" s="288">
        <f>ASTRA!P22</f>
        <v>0</v>
      </c>
      <c r="ED5" s="277">
        <v>968</v>
      </c>
      <c r="EE5" s="287">
        <f>'[2]параметры для расчета'!$K$5*A5</f>
        <v>968.24</v>
      </c>
      <c r="EG5" s="288">
        <v>351</v>
      </c>
      <c r="EH5" s="287">
        <f>BV5+CA5+CF5</f>
        <v>650.5584590812025</v>
      </c>
    </row>
    <row r="6" spans="1:138" ht="15.5" x14ac:dyDescent="0.35">
      <c r="A6" s="2"/>
      <c r="B6" s="2"/>
      <c r="C6" s="2"/>
      <c r="D6" s="2"/>
      <c r="E6" s="2"/>
      <c r="F6" s="2"/>
      <c r="G6" s="2"/>
      <c r="H6" s="560">
        <f>IF(ABS(H5-H7)&lt;0.01, H5-H7, "ОШИБКА")</f>
        <v>-7.1054273576010019E-15</v>
      </c>
      <c r="I6" s="560">
        <f t="shared" ref="I6:AO6" si="0">IF(ABS(I5-I7)&lt;0.01, I5-I7, "ОШИБКА")</f>
        <v>-7.1054273576010019E-15</v>
      </c>
      <c r="J6" s="560">
        <f t="shared" si="0"/>
        <v>-7.1054273576010019E-15</v>
      </c>
      <c r="K6" s="560">
        <f t="shared" si="0"/>
        <v>-7.1054273576010019E-15</v>
      </c>
      <c r="L6" s="560"/>
      <c r="M6" s="560">
        <f t="shared" si="0"/>
        <v>0</v>
      </c>
      <c r="N6" s="560">
        <f t="shared" si="0"/>
        <v>0</v>
      </c>
      <c r="O6" s="560">
        <f t="shared" si="0"/>
        <v>-2.2204460492503131E-16</v>
      </c>
      <c r="P6" s="560">
        <f t="shared" si="0"/>
        <v>-2.2204460492503131E-16</v>
      </c>
      <c r="Q6" s="560"/>
      <c r="R6" s="560">
        <f t="shared" si="0"/>
        <v>0</v>
      </c>
      <c r="S6" s="560">
        <f t="shared" si="0"/>
        <v>7.1054273576010019E-15</v>
      </c>
      <c r="T6" s="560">
        <f t="shared" si="0"/>
        <v>0</v>
      </c>
      <c r="U6" s="560">
        <f t="shared" si="0"/>
        <v>0</v>
      </c>
      <c r="V6" s="560"/>
      <c r="W6" s="346"/>
      <c r="X6" s="2"/>
      <c r="AB6" s="346"/>
      <c r="AC6" s="2"/>
      <c r="AG6" s="346"/>
      <c r="AH6" s="2"/>
      <c r="AL6" s="560">
        <f t="shared" si="0"/>
        <v>-2.7755575615628914E-16</v>
      </c>
      <c r="AM6" s="560">
        <f t="shared" si="0"/>
        <v>-1.1102230246251565E-16</v>
      </c>
      <c r="AN6" s="560">
        <f t="shared" si="0"/>
        <v>2.2204460492503131E-16</v>
      </c>
      <c r="AO6" s="560">
        <f t="shared" si="0"/>
        <v>2.2204460492503131E-16</v>
      </c>
      <c r="AP6" s="560"/>
      <c r="AQ6" s="33"/>
      <c r="AR6" s="2"/>
      <c r="AS6" s="2"/>
      <c r="AU6" s="2"/>
      <c r="AV6" s="2"/>
      <c r="BD6" s="2"/>
      <c r="BF6" s="560">
        <f t="shared" ref="BF6" si="1">IF(ABS(BF5-BF7)&lt;0.01, BF5-BF7, "ОШИБКА")</f>
        <v>-8.2000956213645892E-4</v>
      </c>
      <c r="BG6" s="560">
        <f t="shared" ref="BG6" si="2">IF(ABS(BG5-BG7)&lt;0.01, BG5-BG7, "ОШИБКА")</f>
        <v>-3.3247321982901035E-3</v>
      </c>
      <c r="BH6" s="560">
        <f t="shared" ref="BH6" si="3">IF(ABS(BH5-BH7)&lt;0.01, BH5-BH7, "ОШИБКА")</f>
        <v>-2.4700230732839223E-3</v>
      </c>
      <c r="BI6" s="560">
        <f t="shared" ref="BI6" si="4">IF(ABS(BI5-BI7)&lt;0.01, BI5-BI7, "ОШИБКА")</f>
        <v>2.5164666776862354E-3</v>
      </c>
      <c r="BM6" s="2"/>
      <c r="BQ6" s="2"/>
      <c r="BV6" s="2"/>
      <c r="CA6" s="174"/>
      <c r="CF6" s="174"/>
      <c r="CP6" s="2"/>
      <c r="CQ6" s="3"/>
    </row>
    <row r="7" spans="1:138" s="69" customFormat="1" ht="15.5" x14ac:dyDescent="0.35">
      <c r="A7" s="287">
        <f>A5</f>
        <v>8</v>
      </c>
      <c r="B7" s="287"/>
      <c r="C7" s="287"/>
      <c r="D7" s="287"/>
      <c r="E7" s="287"/>
      <c r="F7" s="287"/>
      <c r="G7" s="287"/>
      <c r="H7" s="159">
        <f>$A$7^2*H8+$A$7*H9+H10</f>
        <v>33.16559602241108</v>
      </c>
      <c r="I7" s="159">
        <f t="shared" ref="I7:T7" si="5">$A$7^2*I8+$A$7*I9+I10</f>
        <v>33.362307013997174</v>
      </c>
      <c r="J7" s="159">
        <f t="shared" si="5"/>
        <v>33.06729301891626</v>
      </c>
      <c r="K7" s="159">
        <f t="shared" si="5"/>
        <v>33.70728819020141</v>
      </c>
      <c r="L7" s="159"/>
      <c r="M7" s="159">
        <f>$A$7^2*M8+$A$7*M9+M10</f>
        <v>1.1777555405685751</v>
      </c>
      <c r="N7" s="159">
        <f t="shared" si="5"/>
        <v>1.1847410161220591</v>
      </c>
      <c r="O7" s="159">
        <f t="shared" si="5"/>
        <v>1.1742646668649233</v>
      </c>
      <c r="P7" s="159">
        <f>$A$7^2*P8+$A$7*P9+P10</f>
        <v>1.1969917681179472</v>
      </c>
      <c r="Q7" s="159"/>
      <c r="R7" s="159">
        <f>$A$7^2*R8+$A$7*R9+R10</f>
        <v>36.385680359718272</v>
      </c>
      <c r="S7" s="159">
        <f t="shared" si="5"/>
        <v>36.279159894422143</v>
      </c>
      <c r="T7" s="159">
        <f t="shared" si="5"/>
        <v>36.181333441268968</v>
      </c>
      <c r="U7" s="159">
        <f>$A$7^2*U8+$A$7*U9+U10</f>
        <v>36.373642572839472</v>
      </c>
      <c r="V7" s="159"/>
      <c r="W7" s="159">
        <f>$A$7^2*W8+$A$7*W9+W10</f>
        <v>0.78118838449983663</v>
      </c>
      <c r="X7" s="159">
        <f t="shared" ref="X7:AJ7" si="6">$A$7^2*X8+$A$7*X9+X10</f>
        <v>1.2920193701147245</v>
      </c>
      <c r="Y7" s="159">
        <f t="shared" si="6"/>
        <v>1.8987558906408379</v>
      </c>
      <c r="Z7" s="159">
        <f t="shared" si="6"/>
        <v>2.6840505428183752</v>
      </c>
      <c r="AA7" s="167"/>
      <c r="AB7" s="159">
        <f>$A$7^2*AB8+$A$7*AB9+AB10</f>
        <v>4.4463676113951021</v>
      </c>
      <c r="AC7" s="159">
        <f t="shared" si="6"/>
        <v>7.5051486838039025</v>
      </c>
      <c r="AD7" s="159">
        <f t="shared" si="6"/>
        <v>10.96639686083418</v>
      </c>
      <c r="AE7" s="159">
        <f t="shared" si="6"/>
        <v>16.393634129227806</v>
      </c>
      <c r="AF7" s="167"/>
      <c r="AG7" s="159">
        <f>$A$7^2*AG8+$A$7*AG9+AG10</f>
        <v>3.1060425913463599E-2</v>
      </c>
      <c r="AH7" s="159">
        <f t="shared" si="6"/>
        <v>5.684700097064127E-2</v>
      </c>
      <c r="AI7" s="159">
        <f t="shared" si="6"/>
        <v>8.2933686315911581E-2</v>
      </c>
      <c r="AJ7" s="159">
        <f t="shared" si="6"/>
        <v>0.14073505060076519</v>
      </c>
      <c r="AK7" s="167"/>
      <c r="AL7" s="159">
        <f>$A$7^2*AL8+$A$7*AL9+AL10</f>
        <v>0.36111306131804377</v>
      </c>
      <c r="AM7" s="159">
        <f>$A$7^2*AM8+$A$7*AM9+AM10</f>
        <v>0.54031573554169254</v>
      </c>
      <c r="AN7" s="159">
        <f>$A$7^2*AN8+$A$7*AN9+AN10</f>
        <v>0.69735661932150617</v>
      </c>
      <c r="AO7" s="159">
        <f>$A$7^2*AO8+$A$7*AO9+AO10</f>
        <v>0.84238739640577931</v>
      </c>
      <c r="AP7" s="159"/>
      <c r="AQ7" s="167"/>
      <c r="AR7" s="159"/>
      <c r="AS7" s="159"/>
      <c r="AT7" s="159"/>
      <c r="AU7" s="159"/>
      <c r="AV7" s="159"/>
      <c r="BB7" s="159"/>
      <c r="BC7" s="159"/>
      <c r="BD7" s="159"/>
      <c r="BE7" s="159"/>
      <c r="BF7" s="159">
        <f>$A$7^2*BF8+$A$7*BF9+BF10</f>
        <v>2.3881000000000006</v>
      </c>
      <c r="BG7" s="159">
        <f>$A$7^2*BG8+$A$7*BG9+BG10</f>
        <v>2.3677000000000001</v>
      </c>
      <c r="BH7" s="159">
        <f>$A$7^2*BH8+$A$7*BH9+BH10</f>
        <v>2.3698999999999999</v>
      </c>
      <c r="BI7" s="159">
        <f>$A$7^2*BI8+$A$7*BI9+BI10</f>
        <v>2.3809999999999998</v>
      </c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287"/>
      <c r="CQ7" s="287"/>
    </row>
    <row r="8" spans="1:138" s="172" customFormat="1" ht="15.5" x14ac:dyDescent="0.35">
      <c r="A8" s="69"/>
      <c r="B8" s="69"/>
      <c r="C8" s="69"/>
      <c r="D8" s="69"/>
      <c r="E8" s="69"/>
      <c r="F8" s="69"/>
      <c r="G8" s="69"/>
      <c r="H8" s="563">
        <f>J34</f>
        <v>-0.86699763145180664</v>
      </c>
      <c r="I8" s="563">
        <f>J35</f>
        <v>-0.98816231435099633</v>
      </c>
      <c r="J8" s="563">
        <f>J36</f>
        <v>-1.3903710535939211</v>
      </c>
      <c r="K8" s="563">
        <f>J37</f>
        <v>1.071861430387709</v>
      </c>
      <c r="L8" s="23"/>
      <c r="M8" s="563">
        <f>O20</f>
        <v>-3.0788268162351438E-2</v>
      </c>
      <c r="N8" s="563">
        <f>O21</f>
        <v>-3.5090991276668447E-2</v>
      </c>
      <c r="O8" s="563">
        <f>O22</f>
        <v>-4.9373972073648541E-2</v>
      </c>
      <c r="P8" s="563">
        <f>O23</f>
        <v>3.8063261022291031E-2</v>
      </c>
      <c r="Q8" s="23"/>
      <c r="R8" s="563">
        <f>T34</f>
        <v>-0.21535451709327763</v>
      </c>
      <c r="S8" s="563">
        <f>T35</f>
        <v>-0.97142695510063115</v>
      </c>
      <c r="T8" s="563">
        <f>T36</f>
        <v>-0.5192629577767458</v>
      </c>
      <c r="U8" s="563">
        <f>T37</f>
        <v>1.094823991088844E-2</v>
      </c>
      <c r="V8" s="23"/>
      <c r="W8" s="563">
        <f>Y20</f>
        <v>-3.4863998642762933E-2</v>
      </c>
      <c r="X8" s="563">
        <f>Y21</f>
        <v>-6.8198489490184144E-2</v>
      </c>
      <c r="Y8" s="563">
        <f>Y22</f>
        <v>-0.12710786717494121</v>
      </c>
      <c r="Z8" s="563">
        <f>Y23</f>
        <v>0.13917764719577347</v>
      </c>
      <c r="AA8" s="23"/>
      <c r="AB8" s="563">
        <f>AD34</f>
        <v>-8.6715344394713789E-2</v>
      </c>
      <c r="AC8" s="563">
        <f>AD35</f>
        <v>-0.1182874147312357</v>
      </c>
      <c r="AD8" s="563">
        <f>AD36</f>
        <v>-0.29825452836335997</v>
      </c>
      <c r="AE8" s="563">
        <f>AD37</f>
        <v>1.6316018890103847</v>
      </c>
      <c r="AF8" s="23"/>
      <c r="AG8" s="563">
        <f>AJ20</f>
        <v>-1.6157495745368923E-3</v>
      </c>
      <c r="AH8" s="563">
        <f>AJ21</f>
        <v>4.1628578651910185E-3</v>
      </c>
      <c r="AI8" s="563">
        <f>AJ22</f>
        <v>-1.4143890206778252E-2</v>
      </c>
      <c r="AJ8" s="563">
        <f>AJ23</f>
        <v>2.4259756823142103E-2</v>
      </c>
      <c r="AK8" s="23"/>
      <c r="AL8" s="563">
        <f>AN34</f>
        <v>-8.5334337425844366E-3</v>
      </c>
      <c r="AM8" s="563">
        <f>AN35</f>
        <v>-4.2906338364864472E-3</v>
      </c>
      <c r="AN8" s="563">
        <f>AN36</f>
        <v>-1.0720322087991353E-2</v>
      </c>
      <c r="AO8" s="563">
        <f>AN37</f>
        <v>7.5234678375800529E-2</v>
      </c>
      <c r="AP8" s="23"/>
      <c r="AQ8" s="23"/>
      <c r="AR8" s="69"/>
      <c r="AS8" s="69"/>
      <c r="AT8" s="69"/>
      <c r="AU8" s="69"/>
      <c r="AV8" s="69"/>
      <c r="BB8" s="69"/>
      <c r="BC8" s="69"/>
      <c r="BD8" s="69"/>
      <c r="BE8" s="69"/>
      <c r="BF8" s="69">
        <v>2.8500000000000001E-2</v>
      </c>
      <c r="BG8" s="69">
        <v>2.87E-2</v>
      </c>
      <c r="BH8" s="69">
        <v>3.3099999999999997E-2</v>
      </c>
      <c r="BI8" s="69">
        <v>-7.4300000000000005E-2</v>
      </c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</row>
    <row r="9" spans="1:138" s="172" customFormat="1" ht="15.5" x14ac:dyDescent="0.35">
      <c r="A9" s="69"/>
      <c r="B9" s="69"/>
      <c r="C9" s="69"/>
      <c r="D9" s="69"/>
      <c r="E9" s="69"/>
      <c r="F9" s="69"/>
      <c r="G9" s="69"/>
      <c r="H9" s="563">
        <f>K34</f>
        <v>13.557855516558213</v>
      </c>
      <c r="I9" s="563">
        <f>K35</f>
        <v>15.134716215223831</v>
      </c>
      <c r="J9" s="563">
        <f>K36</f>
        <v>20.728916165591691</v>
      </c>
      <c r="K9" s="563">
        <f>K37</f>
        <v>-14.546670369829279</v>
      </c>
      <c r="L9" s="23"/>
      <c r="M9" s="563">
        <f>P20</f>
        <v>0.48145793737778264</v>
      </c>
      <c r="N9" s="563">
        <f>P21</f>
        <v>0.53745441105197678</v>
      </c>
      <c r="O9" s="563">
        <f>P22</f>
        <v>0.73611207974403392</v>
      </c>
      <c r="P9" s="563">
        <f>P23</f>
        <v>-0.51657210120132746</v>
      </c>
      <c r="Q9" s="23"/>
      <c r="R9" s="563">
        <f>U34</f>
        <v>3.1917613294051939</v>
      </c>
      <c r="S9" s="563">
        <f>U35</f>
        <v>13.830787382379286</v>
      </c>
      <c r="T9" s="563">
        <f>U36</f>
        <v>7.2369314587223394</v>
      </c>
      <c r="U9" s="563">
        <f>U37</f>
        <v>-0.2369567415035333</v>
      </c>
      <c r="V9" s="23"/>
      <c r="W9" s="563">
        <f>Z20</f>
        <v>0.66937901838623382</v>
      </c>
      <c r="X9" s="563">
        <f>Z21</f>
        <v>1.2503119775666582</v>
      </c>
      <c r="Y9" s="563">
        <f>Z22</f>
        <v>2.2208729513019221</v>
      </c>
      <c r="Z9" s="563">
        <f>Z23</f>
        <v>-1.6664407023848231</v>
      </c>
      <c r="AA9" s="23"/>
      <c r="AB9" s="563">
        <f>AE34</f>
        <v>2.4318501571322693</v>
      </c>
      <c r="AC9" s="563">
        <f>AE35</f>
        <v>3.7273378931929142</v>
      </c>
      <c r="AD9" s="563">
        <f>AE36</f>
        <v>7.2169351026088169</v>
      </c>
      <c r="AE9" s="563">
        <f>AE37</f>
        <v>-19.931844767111098</v>
      </c>
      <c r="AF9" s="23"/>
      <c r="AG9" s="563">
        <f>AK20</f>
        <v>2.6768385157346933E-2</v>
      </c>
      <c r="AH9" s="563">
        <f>AK21</f>
        <v>-4.7217758645468046E-2</v>
      </c>
      <c r="AI9" s="563">
        <f>AK22</f>
        <v>0.21995242936985318</v>
      </c>
      <c r="AJ9" s="563">
        <f>AK23</f>
        <v>-0.3201010653281639</v>
      </c>
      <c r="AK9" s="23"/>
      <c r="AL9" s="563">
        <f>AO34</f>
        <v>0.22110961895421469</v>
      </c>
      <c r="AM9" s="563">
        <f>AO35</f>
        <v>0.21407078953681541</v>
      </c>
      <c r="AN9" s="563">
        <f>AO36</f>
        <v>0.35392872906470318</v>
      </c>
      <c r="AO9" s="563">
        <f>AO37</f>
        <v>-0.90478172625591113</v>
      </c>
      <c r="AP9" s="23"/>
      <c r="AQ9" s="23"/>
      <c r="AR9" s="69"/>
      <c r="AS9" s="69"/>
      <c r="AT9" s="69"/>
      <c r="AU9" s="69"/>
      <c r="AV9" s="69"/>
      <c r="BB9" s="69"/>
      <c r="BC9" s="69"/>
      <c r="BD9" s="69"/>
      <c r="BE9" s="69"/>
      <c r="BF9" s="69">
        <v>-0.59509999999999996</v>
      </c>
      <c r="BG9" s="69">
        <v>-0.61650000000000005</v>
      </c>
      <c r="BH9" s="69">
        <v>-0.68210000000000004</v>
      </c>
      <c r="BI9" s="69">
        <v>0.90810000000000002</v>
      </c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</row>
    <row r="10" spans="1:138" s="172" customFormat="1" ht="15.5" x14ac:dyDescent="0.35">
      <c r="A10" s="69"/>
      <c r="B10" s="69"/>
      <c r="C10" s="69"/>
      <c r="D10" s="69"/>
      <c r="E10" s="69"/>
      <c r="F10" s="69"/>
      <c r="G10" s="69"/>
      <c r="H10" s="563">
        <f>L34</f>
        <v>-19.809399697139</v>
      </c>
      <c r="I10" s="563">
        <f>L35</f>
        <v>-24.473034589329707</v>
      </c>
      <c r="J10" s="563">
        <f>L36</f>
        <v>-43.78028887580632</v>
      </c>
      <c r="K10" s="563">
        <f>L37</f>
        <v>81.481519604022267</v>
      </c>
      <c r="L10" s="23"/>
      <c r="M10" s="563">
        <f>Q20</f>
        <v>-0.70345879606319395</v>
      </c>
      <c r="N10" s="563">
        <f>Q21</f>
        <v>-0.86907083058697454</v>
      </c>
      <c r="O10" s="563">
        <f>Q22</f>
        <v>-1.5546977583738415</v>
      </c>
      <c r="P10" s="563">
        <f>Q23</f>
        <v>2.8935198723019409</v>
      </c>
      <c r="Q10" s="23"/>
      <c r="R10" s="563">
        <f>V34</f>
        <v>24.634278818446489</v>
      </c>
      <c r="S10" s="563">
        <f>V35</f>
        <v>-12.195814038171754</v>
      </c>
      <c r="T10" s="563">
        <f>V36</f>
        <v>11.518711069201984</v>
      </c>
      <c r="U10" s="563">
        <f>V37</f>
        <v>37.568609150570879</v>
      </c>
      <c r="V10" s="23"/>
      <c r="W10" s="563">
        <f>AA20</f>
        <v>-2.3425478494532062</v>
      </c>
      <c r="X10" s="563">
        <f>AA21</f>
        <v>-4.3457731230467562</v>
      </c>
      <c r="Y10" s="563">
        <f>AA22</f>
        <v>-7.733324220578301</v>
      </c>
      <c r="Z10" s="563">
        <f>AA23</f>
        <v>7.1082067413674581</v>
      </c>
      <c r="AA10" s="23"/>
      <c r="AB10" s="563">
        <f>AF34</f>
        <v>-9.4586516044013695</v>
      </c>
      <c r="AC10" s="563">
        <f>AF35</f>
        <v>-14.743159918940325</v>
      </c>
      <c r="AD10" s="563">
        <f>AF36</f>
        <v>-27.680794144781316</v>
      </c>
      <c r="AE10" s="563">
        <f>AF37</f>
        <v>71.425871369451968</v>
      </c>
      <c r="AF10" s="23"/>
      <c r="AG10" s="563">
        <f>AL20</f>
        <v>-7.9678682574950754E-2</v>
      </c>
      <c r="AH10" s="563">
        <f>AL21</f>
        <v>0.16816616676216045</v>
      </c>
      <c r="AI10" s="563">
        <f>AL22</f>
        <v>-0.77147677540910575</v>
      </c>
      <c r="AJ10" s="563">
        <f>AL23</f>
        <v>1.1489191365449818</v>
      </c>
      <c r="AK10" s="23"/>
      <c r="AL10" s="563">
        <f>AP34</f>
        <v>-0.86162413079026989</v>
      </c>
      <c r="AM10" s="563">
        <f>AP35</f>
        <v>-0.89765001521769805</v>
      </c>
      <c r="AN10" s="563">
        <f>AP36</f>
        <v>-1.4479725995646726</v>
      </c>
      <c r="AO10" s="563">
        <f>AP37</f>
        <v>3.2656217904018345</v>
      </c>
      <c r="AP10" s="23"/>
      <c r="AQ10" s="23"/>
      <c r="AR10" s="69"/>
      <c r="AS10" s="69"/>
      <c r="AT10" s="69"/>
      <c r="AU10" s="69"/>
      <c r="AV10" s="69"/>
      <c r="BB10" s="69"/>
      <c r="BC10" s="69"/>
      <c r="BD10" s="69"/>
      <c r="BE10" s="69"/>
      <c r="BF10" s="69">
        <v>5.3249000000000004</v>
      </c>
      <c r="BG10" s="69">
        <v>5.4629000000000003</v>
      </c>
      <c r="BH10" s="69">
        <v>5.7083000000000004</v>
      </c>
      <c r="BI10" s="69">
        <v>-0.12859999999999999</v>
      </c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</row>
    <row r="11" spans="1:138" ht="15.5" x14ac:dyDescent="0.35">
      <c r="A11" s="182"/>
      <c r="B11" s="182"/>
      <c r="C11" s="182"/>
      <c r="D11" s="182"/>
      <c r="E11" s="182"/>
      <c r="F11" s="182"/>
      <c r="G11" s="182"/>
      <c r="H11" s="182"/>
      <c r="I11" s="69"/>
      <c r="W11" s="346"/>
      <c r="AP11" s="346"/>
      <c r="AW11" s="2"/>
      <c r="AX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R11" s="3"/>
      <c r="BS11" s="3"/>
      <c r="BT11" s="3"/>
      <c r="BU11" s="3"/>
      <c r="BV11" s="162"/>
    </row>
    <row r="12" spans="1:138" ht="15.5" x14ac:dyDescent="0.35">
      <c r="A12" s="182"/>
      <c r="B12" s="182"/>
      <c r="C12" s="182"/>
      <c r="D12" s="182"/>
      <c r="E12" s="182"/>
      <c r="F12" s="182"/>
      <c r="G12" s="182"/>
      <c r="H12" s="182"/>
      <c r="AW12" s="2"/>
      <c r="AX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R12" s="3"/>
      <c r="BS12" s="3"/>
      <c r="BT12" s="3"/>
      <c r="BU12" s="3"/>
      <c r="BV12" s="162"/>
    </row>
    <row r="13" spans="1:138" ht="15.5" x14ac:dyDescent="0.35">
      <c r="A13" s="182"/>
      <c r="B13" s="182"/>
      <c r="C13" s="182"/>
      <c r="D13" s="182"/>
      <c r="E13" s="182"/>
      <c r="F13" s="182"/>
      <c r="G13" s="182"/>
      <c r="H13" s="182"/>
      <c r="O13" s="587">
        <f>A3</f>
        <v>6</v>
      </c>
      <c r="P13" s="587">
        <f>A4</f>
        <v>7</v>
      </c>
      <c r="Q13" s="587">
        <f>A5</f>
        <v>8</v>
      </c>
      <c r="Y13" s="573">
        <f>A3</f>
        <v>6</v>
      </c>
      <c r="Z13" s="573">
        <f>A4</f>
        <v>7</v>
      </c>
      <c r="AA13" s="573">
        <f>A5</f>
        <v>8</v>
      </c>
      <c r="AB13" s="574"/>
      <c r="AC13" s="574"/>
      <c r="AD13" s="574"/>
      <c r="AE13" s="574"/>
      <c r="AF13" s="574"/>
      <c r="AG13" s="574"/>
      <c r="AH13" s="574"/>
      <c r="AI13" s="574"/>
      <c r="AJ13" s="575">
        <f>A3</f>
        <v>6</v>
      </c>
      <c r="AK13" s="575">
        <f>A4</f>
        <v>7</v>
      </c>
      <c r="AL13" s="575">
        <f>A5</f>
        <v>8</v>
      </c>
      <c r="AW13" s="2"/>
      <c r="AX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R13" s="3"/>
      <c r="BS13" s="3"/>
      <c r="BT13" s="3"/>
      <c r="BU13" s="3"/>
      <c r="BV13" s="162"/>
    </row>
    <row r="14" spans="1:138" ht="15.5" x14ac:dyDescent="0.35">
      <c r="A14" s="182"/>
      <c r="B14" s="182"/>
      <c r="C14" s="182"/>
      <c r="D14" s="182"/>
      <c r="E14" s="182"/>
      <c r="F14" s="182"/>
      <c r="G14" s="182"/>
      <c r="H14" s="182"/>
      <c r="O14" s="576">
        <f>M3</f>
        <v>1.07691117435885</v>
      </c>
      <c r="P14" s="576">
        <f>M4</f>
        <v>1.158121625626064</v>
      </c>
      <c r="Q14" s="576">
        <f>M5</f>
        <v>1.1777555405685751</v>
      </c>
      <c r="Y14" s="576">
        <f>W3</f>
        <v>0.41862230972473069</v>
      </c>
      <c r="Z14" s="576">
        <f>W4</f>
        <v>0.63476934575504662</v>
      </c>
      <c r="AA14" s="576">
        <f>W5</f>
        <v>0.78118838449983641</v>
      </c>
      <c r="AB14" s="574"/>
      <c r="AC14" s="574"/>
      <c r="AD14" s="574"/>
      <c r="AE14" s="574"/>
      <c r="AF14" s="574"/>
      <c r="AG14" s="574"/>
      <c r="AH14" s="574"/>
      <c r="AI14" s="574"/>
      <c r="AJ14" s="532">
        <f>AG3</f>
        <v>2.2764643685802711E-2</v>
      </c>
      <c r="AK14" s="532">
        <f>AG4</f>
        <v>2.852828437417005E-2</v>
      </c>
      <c r="AL14" s="532">
        <f>AG5</f>
        <v>3.1060425913463599E-2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3"/>
      <c r="BR14" s="3"/>
      <c r="BS14" s="3"/>
      <c r="BT14" s="3"/>
      <c r="BU14" s="3"/>
      <c r="BV14" s="162"/>
    </row>
    <row r="15" spans="1:138" ht="15.5" x14ac:dyDescent="0.35">
      <c r="A15" s="2"/>
      <c r="B15" s="2"/>
      <c r="C15" s="2"/>
      <c r="D15" s="2"/>
      <c r="E15" s="2"/>
      <c r="F15" s="2"/>
      <c r="G15" s="2"/>
      <c r="H15" s="2"/>
      <c r="O15" s="576">
        <f>N3</f>
        <v>1.0923799497648219</v>
      </c>
      <c r="P15" s="576">
        <f>N4</f>
        <v>1.173651474220109</v>
      </c>
      <c r="Q15" s="576">
        <f>N5</f>
        <v>1.1847410161220591</v>
      </c>
      <c r="Y15" s="576">
        <f>X3</f>
        <v>0.70095312070656457</v>
      </c>
      <c r="Z15" s="576">
        <f>X4</f>
        <v>1.064684734900829</v>
      </c>
      <c r="AA15" s="576">
        <f>X5</f>
        <v>1.2920193701147249</v>
      </c>
      <c r="AB15" s="574"/>
      <c r="AC15" s="574"/>
      <c r="AD15" s="574"/>
      <c r="AE15" s="574"/>
      <c r="AF15" s="574"/>
      <c r="AG15" s="574"/>
      <c r="AH15" s="574"/>
      <c r="AI15" s="574"/>
      <c r="AJ15" s="532">
        <f>AH3</f>
        <v>3.4722498036228837E-2</v>
      </c>
      <c r="AK15" s="532">
        <f>AH4</f>
        <v>4.1621891638244028E-2</v>
      </c>
      <c r="AL15" s="532">
        <f>AH5</f>
        <v>5.6847000970641257E-2</v>
      </c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"/>
      <c r="BR15" s="3"/>
      <c r="BS15" s="3"/>
      <c r="BT15" s="3"/>
      <c r="BU15" s="3"/>
      <c r="BV15" s="162"/>
    </row>
    <row r="16" spans="1:138" ht="15.5" x14ac:dyDescent="0.35">
      <c r="A16" s="182"/>
      <c r="B16" s="182"/>
      <c r="C16" s="182"/>
      <c r="D16" s="182"/>
      <c r="E16" s="182"/>
      <c r="F16" s="182"/>
      <c r="G16" s="182"/>
      <c r="H16" s="182"/>
      <c r="O16" s="576">
        <f>O3</f>
        <v>1.084511725439014</v>
      </c>
      <c r="P16" s="576">
        <f>O4</f>
        <v>1.1787621682256171</v>
      </c>
      <c r="Q16" s="576">
        <f>O5</f>
        <v>1.174264666864923</v>
      </c>
      <c r="Y16" s="576">
        <f>Y3</f>
        <v>1.0160302689353471</v>
      </c>
      <c r="Z16" s="576">
        <f>Y4</f>
        <v>1.584500946963034</v>
      </c>
      <c r="AA16" s="576">
        <f>Y5</f>
        <v>1.8987558906408379</v>
      </c>
      <c r="AB16" s="574"/>
      <c r="AC16" s="574"/>
      <c r="AD16" s="574"/>
      <c r="AE16" s="574"/>
      <c r="AF16" s="574"/>
      <c r="AG16" s="574"/>
      <c r="AH16" s="574"/>
      <c r="AI16" s="574"/>
      <c r="AJ16" s="532">
        <f>AI3</f>
        <v>3.9057753365996283E-2</v>
      </c>
      <c r="AK16" s="532">
        <f>AI4</f>
        <v>7.5139610047732258E-2</v>
      </c>
      <c r="AL16" s="532">
        <f>AI5</f>
        <v>8.2933686315911692E-2</v>
      </c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3"/>
      <c r="BR16" s="3"/>
      <c r="BS16" s="3"/>
      <c r="BT16" s="3"/>
      <c r="BU16" s="3"/>
      <c r="BV16" s="162"/>
    </row>
    <row r="17" spans="1:74" ht="15.5" x14ac:dyDescent="0.35">
      <c r="A17" s="182"/>
      <c r="B17" s="182"/>
      <c r="C17" s="182"/>
      <c r="D17" s="182"/>
      <c r="E17" s="182"/>
      <c r="F17" s="182"/>
      <c r="G17" s="182"/>
      <c r="H17" s="182"/>
      <c r="O17" s="576">
        <f>P3</f>
        <v>1.1643646618964529</v>
      </c>
      <c r="P17" s="576">
        <f>P4</f>
        <v>1.1426149539849089</v>
      </c>
      <c r="Q17" s="576">
        <f>P5</f>
        <v>1.1969917681179469</v>
      </c>
      <c r="Y17" s="576">
        <f>Z3</f>
        <v>2.1199578261063641</v>
      </c>
      <c r="Z17" s="576">
        <f>Z4</f>
        <v>2.2628265372665961</v>
      </c>
      <c r="AA17" s="576">
        <f>Z5</f>
        <v>2.6840505428183752</v>
      </c>
      <c r="AB17" s="574"/>
      <c r="AC17" s="574"/>
      <c r="AD17" s="574"/>
      <c r="AE17" s="574"/>
      <c r="AF17" s="574"/>
      <c r="AG17" s="574"/>
      <c r="AH17" s="574"/>
      <c r="AI17" s="574"/>
      <c r="AJ17" s="532">
        <f>AJ3</f>
        <v>0.101663990209114</v>
      </c>
      <c r="AK17" s="532">
        <f>AJ4</f>
        <v>9.6939763581797372E-2</v>
      </c>
      <c r="AL17" s="532">
        <f>AJ5</f>
        <v>0.14073505060076499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3"/>
      <c r="BS17" s="3"/>
      <c r="BT17" s="3"/>
      <c r="BU17" s="3"/>
      <c r="BV17" s="162"/>
    </row>
    <row r="18" spans="1:74" ht="15.5" x14ac:dyDescent="0.35">
      <c r="A18" s="182"/>
      <c r="B18" s="182"/>
      <c r="C18" s="182"/>
      <c r="D18" s="182"/>
      <c r="E18" s="182"/>
      <c r="F18" s="182"/>
      <c r="G18" s="182"/>
      <c r="H18" s="182"/>
      <c r="O18" s="577"/>
      <c r="P18" s="577"/>
      <c r="Q18" s="577"/>
      <c r="Y18" s="577"/>
      <c r="Z18" s="577"/>
      <c r="AA18" s="577"/>
      <c r="AB18" s="574"/>
      <c r="AC18" s="574"/>
      <c r="AD18" s="574"/>
      <c r="AE18" s="574"/>
      <c r="AF18" s="574"/>
      <c r="AG18" s="574"/>
      <c r="AH18" s="574"/>
      <c r="AI18" s="574"/>
      <c r="AJ18" s="578"/>
      <c r="AK18" s="578"/>
      <c r="AL18" s="578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3"/>
      <c r="BR18" s="3"/>
      <c r="BS18" s="3"/>
      <c r="BT18" s="3"/>
      <c r="BU18" s="3"/>
      <c r="BV18" s="162"/>
    </row>
    <row r="19" spans="1:74" ht="15.5" x14ac:dyDescent="0.35">
      <c r="A19" s="182"/>
      <c r="B19" s="182"/>
      <c r="C19" s="182"/>
      <c r="D19" s="182"/>
      <c r="E19" s="182"/>
      <c r="F19" s="182"/>
      <c r="G19" s="182"/>
      <c r="H19" s="182"/>
      <c r="O19" s="574"/>
      <c r="P19" s="574"/>
      <c r="Q19" s="574"/>
      <c r="Y19" s="574"/>
      <c r="Z19" s="574"/>
      <c r="AA19" s="574"/>
      <c r="AB19" s="574"/>
      <c r="AC19" s="574"/>
      <c r="AD19" s="574"/>
      <c r="AE19" s="574"/>
      <c r="AF19" s="574"/>
      <c r="AG19" s="574"/>
      <c r="AH19" s="574"/>
      <c r="AI19" s="574"/>
      <c r="AJ19" s="574"/>
      <c r="AK19" s="574"/>
      <c r="AL19" s="574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3"/>
      <c r="BR19" s="3"/>
      <c r="BS19" s="3"/>
      <c r="BT19" s="3"/>
      <c r="BU19" s="3"/>
      <c r="BV19" s="162"/>
    </row>
    <row r="20" spans="1:74" ht="15.5" x14ac:dyDescent="0.35">
      <c r="A20" s="182"/>
      <c r="B20" s="182"/>
      <c r="C20" s="182"/>
      <c r="D20" s="182"/>
      <c r="E20" s="182"/>
      <c r="F20" s="182"/>
      <c r="G20" s="182"/>
      <c r="H20" s="182"/>
      <c r="O20" s="579">
        <f t="array" ref="O20:Q20">LINEST(O14:Q14, O13:Q13^{1;2},1,0)</f>
        <v>-3.0788268162351438E-2</v>
      </c>
      <c r="P20" s="579">
        <v>0.48145793737778264</v>
      </c>
      <c r="Q20" s="579">
        <v>-0.70345879606319395</v>
      </c>
      <c r="Y20" s="579">
        <f t="array" ref="Y20:AA20">LINEST(Y14:AA14, Y13:AA13^{1;2},1,0)</f>
        <v>-3.4863998642762933E-2</v>
      </c>
      <c r="Z20" s="579">
        <v>0.66937901838623382</v>
      </c>
      <c r="AA20" s="579">
        <v>-2.3425478494532062</v>
      </c>
      <c r="AB20" s="574"/>
      <c r="AC20" s="574"/>
      <c r="AD20" s="574"/>
      <c r="AE20" s="574"/>
      <c r="AF20" s="574"/>
      <c r="AG20" s="574"/>
      <c r="AH20" s="574"/>
      <c r="AI20" s="574"/>
      <c r="AJ20" s="579">
        <f t="array" ref="AJ20:AL20">LINEST(AJ14:AL14, AJ13:AL13^{1;2},1,0)</f>
        <v>-1.6157495745368923E-3</v>
      </c>
      <c r="AK20" s="579">
        <v>2.6768385157346933E-2</v>
      </c>
      <c r="AL20" s="579">
        <v>-7.9678682574950754E-2</v>
      </c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3"/>
      <c r="BR20" s="3"/>
      <c r="BS20" s="3"/>
      <c r="BT20" s="3"/>
      <c r="BU20" s="3"/>
      <c r="BV20" s="162"/>
    </row>
    <row r="21" spans="1:74" ht="15.5" x14ac:dyDescent="0.35">
      <c r="A21" s="182"/>
      <c r="B21" s="182"/>
      <c r="C21" s="182"/>
      <c r="D21" s="182"/>
      <c r="E21" s="182"/>
      <c r="F21" s="182"/>
      <c r="G21" s="182"/>
      <c r="H21" s="182"/>
      <c r="O21" s="579">
        <f t="array" ref="O21:Q21">LINEST(O15:Q15, O13:Q13^{1;2},1,0)</f>
        <v>-3.5090991276668447E-2</v>
      </c>
      <c r="P21" s="579">
        <v>0.53745441105197678</v>
      </c>
      <c r="Q21" s="579">
        <v>-0.86907083058697454</v>
      </c>
      <c r="Y21" s="579">
        <f t="array" ref="Y21:AA21">LINEST(Y15:AA15, Y13:AA13^{1;2},1,0)</f>
        <v>-6.8198489490184144E-2</v>
      </c>
      <c r="Z21" s="579">
        <v>1.2503119775666582</v>
      </c>
      <c r="AA21" s="579">
        <v>-4.3457731230467562</v>
      </c>
      <c r="AB21" s="574"/>
      <c r="AC21" s="574"/>
      <c r="AD21" s="574"/>
      <c r="AE21" s="574"/>
      <c r="AF21" s="574"/>
      <c r="AG21" s="574"/>
      <c r="AH21" s="574"/>
      <c r="AI21" s="574"/>
      <c r="AJ21" s="579">
        <f t="array" ref="AJ21:AL21">LINEST(AJ15:AL15, AJ13:AL13^{1;2},1,0)</f>
        <v>4.1628578651910185E-3</v>
      </c>
      <c r="AK21" s="579">
        <v>-4.7217758645468046E-2</v>
      </c>
      <c r="AL21" s="579">
        <v>0.16816616676216045</v>
      </c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3"/>
      <c r="BR21" s="3"/>
      <c r="BS21" s="3"/>
      <c r="BT21" s="3"/>
      <c r="BU21" s="3"/>
      <c r="BV21" s="162"/>
    </row>
    <row r="22" spans="1:74" ht="15.25" x14ac:dyDescent="0.65">
      <c r="A22" s="2"/>
      <c r="B22" s="2"/>
      <c r="C22" s="2"/>
      <c r="D22" s="2"/>
      <c r="E22" s="2"/>
      <c r="F22" s="2"/>
      <c r="G22" s="2"/>
      <c r="H22" s="2"/>
      <c r="O22" s="579">
        <f t="array" ref="O22:Q22">LINEST(O16:Q16, O13:Q13^{1;2},1,0)</f>
        <v>-4.9373972073648541E-2</v>
      </c>
      <c r="P22" s="579">
        <v>0.73611207974403392</v>
      </c>
      <c r="Q22" s="579">
        <v>-1.5546977583738415</v>
      </c>
      <c r="Y22" s="579">
        <f t="array" ref="Y22:AA22">LINEST(Y16:AA16, Y13:AA13^{1;2},1,0)</f>
        <v>-0.12710786717494121</v>
      </c>
      <c r="Z22" s="579">
        <v>2.2208729513019221</v>
      </c>
      <c r="AA22" s="579">
        <v>-7.733324220578301</v>
      </c>
      <c r="AB22" s="574"/>
      <c r="AC22" s="574"/>
      <c r="AD22" s="574"/>
      <c r="AE22" s="574"/>
      <c r="AF22" s="574"/>
      <c r="AG22" s="574"/>
      <c r="AH22" s="574"/>
      <c r="AI22" s="574"/>
      <c r="AJ22" s="579">
        <f t="array" ref="AJ22:AL22">LINEST(AJ16:AL16, AJ13:AL13^{1;2},1,0)</f>
        <v>-1.4143890206778252E-2</v>
      </c>
      <c r="AK22" s="579">
        <v>0.21995242936985318</v>
      </c>
      <c r="AL22" s="579">
        <v>-0.77147677540910575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3"/>
      <c r="BR22" s="3"/>
      <c r="BS22" s="3"/>
      <c r="BT22" s="3"/>
      <c r="BU22" s="3"/>
      <c r="BV22" s="162"/>
    </row>
    <row r="23" spans="1:74" ht="15.25" x14ac:dyDescent="0.65">
      <c r="A23" s="2"/>
      <c r="B23" s="2"/>
      <c r="C23" s="2"/>
      <c r="D23" s="2"/>
      <c r="E23" s="2"/>
      <c r="F23" s="2"/>
      <c r="G23" s="2"/>
      <c r="H23" s="2"/>
      <c r="O23" s="579">
        <f t="array" ref="O23:Q23">LINEST(O17:Q17, O13:Q13^{1;2},1,0)</f>
        <v>3.8063261022291031E-2</v>
      </c>
      <c r="P23" s="579">
        <v>-0.51657210120132746</v>
      </c>
      <c r="Q23" s="579">
        <v>2.8935198723019409</v>
      </c>
      <c r="Y23" s="579">
        <f t="array" ref="Y23:AA23">LINEST(Y17:AA17, Y13:AA13^{1;2},1,0)</f>
        <v>0.13917764719577347</v>
      </c>
      <c r="Z23" s="579">
        <v>-1.6664407023848231</v>
      </c>
      <c r="AA23" s="579">
        <v>7.1082067413674581</v>
      </c>
      <c r="AB23" s="574"/>
      <c r="AC23" s="574"/>
      <c r="AD23" s="574"/>
      <c r="AE23" s="574"/>
      <c r="AF23" s="574"/>
      <c r="AG23" s="574"/>
      <c r="AH23" s="574"/>
      <c r="AI23" s="574"/>
      <c r="AJ23" s="579">
        <f t="array" ref="AJ23:AL23">LINEST(AJ17:AL17, AJ13:AL13^{1;2},1,0)</f>
        <v>2.4259756823142103E-2</v>
      </c>
      <c r="AK23" s="579">
        <v>-0.3201010653281639</v>
      </c>
      <c r="AL23" s="579">
        <v>1.1489191365449818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3"/>
      <c r="BR23" s="3"/>
      <c r="BS23" s="3"/>
      <c r="BT23" s="3"/>
      <c r="BU23" s="3"/>
      <c r="BV23" s="162"/>
    </row>
    <row r="24" spans="1:74" ht="15.25" x14ac:dyDescent="0.6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571"/>
      <c r="Z24" s="571"/>
      <c r="AA24" s="571"/>
      <c r="AB24" s="2"/>
      <c r="AC24" s="3"/>
      <c r="AD24" s="3"/>
      <c r="AE24" s="3"/>
      <c r="AF24" s="3"/>
      <c r="AG24" s="3"/>
      <c r="AH24" s="162"/>
      <c r="AI24" s="574"/>
      <c r="AJ24" s="571"/>
      <c r="AK24" s="571"/>
      <c r="AL24" s="571"/>
    </row>
    <row r="25" spans="1:74" ht="16.5" customHeight="1" x14ac:dyDescent="0.65">
      <c r="A25" s="43"/>
      <c r="B25" s="43"/>
      <c r="C25" s="43"/>
      <c r="D25" s="43"/>
      <c r="E25" s="43"/>
      <c r="F25" s="43"/>
      <c r="G25" s="43"/>
      <c r="H25" s="43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43"/>
      <c r="Y25" s="580"/>
      <c r="Z25" s="594"/>
      <c r="AA25" s="594"/>
      <c r="AB25" s="562"/>
      <c r="AC25" s="328"/>
      <c r="AD25" s="328"/>
      <c r="AE25" s="328"/>
      <c r="AF25" s="594"/>
      <c r="AG25" s="594"/>
      <c r="AH25" s="594"/>
      <c r="AI25" s="594"/>
      <c r="AJ25" s="580"/>
      <c r="AK25" s="574"/>
      <c r="AL25" s="574"/>
    </row>
    <row r="26" spans="1:74" ht="15.25" x14ac:dyDescent="0.65">
      <c r="A26" s="43"/>
      <c r="B26" s="43"/>
      <c r="C26" s="43"/>
      <c r="D26" s="43"/>
      <c r="E26" s="43"/>
      <c r="F26" s="43"/>
      <c r="G26" s="43"/>
      <c r="H26" s="43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43"/>
      <c r="Y26" s="580"/>
      <c r="Z26" s="594"/>
      <c r="AA26" s="594"/>
      <c r="AB26" s="562"/>
      <c r="AC26" s="562"/>
      <c r="AD26" s="562"/>
      <c r="AE26" s="562"/>
      <c r="AF26" s="562"/>
      <c r="AG26" s="562"/>
      <c r="AH26" s="562"/>
      <c r="AI26" s="562"/>
      <c r="AJ26" s="580"/>
      <c r="AK26" s="574"/>
      <c r="AL26" s="574"/>
    </row>
    <row r="27" spans="1:74" ht="15.25" x14ac:dyDescent="0.65">
      <c r="A27" s="323"/>
      <c r="B27" s="323"/>
      <c r="C27" s="323"/>
      <c r="D27" s="323"/>
      <c r="E27" s="323"/>
      <c r="F27" s="323"/>
      <c r="G27" s="323"/>
      <c r="H27" s="323"/>
      <c r="I27" s="324"/>
      <c r="J27" s="588">
        <f>A3</f>
        <v>6</v>
      </c>
      <c r="K27" s="588">
        <f>A4</f>
        <v>7</v>
      </c>
      <c r="L27" s="588">
        <f>A5</f>
        <v>8</v>
      </c>
      <c r="M27" s="324"/>
      <c r="N27" s="324"/>
      <c r="O27" s="324"/>
      <c r="P27" s="324"/>
      <c r="Q27" s="324"/>
      <c r="R27" s="324"/>
      <c r="S27" s="324"/>
      <c r="T27" s="588">
        <f>A3</f>
        <v>6</v>
      </c>
      <c r="U27" s="588">
        <f>A4</f>
        <v>7</v>
      </c>
      <c r="V27" s="588">
        <f>A5</f>
        <v>8</v>
      </c>
      <c r="W27" s="324"/>
      <c r="X27" s="42"/>
      <c r="Y27" s="580"/>
      <c r="Z27" s="562"/>
      <c r="AA27" s="562"/>
      <c r="AB27" s="562"/>
      <c r="AC27" s="562"/>
      <c r="AD27" s="569">
        <f>A3</f>
        <v>6</v>
      </c>
      <c r="AE27" s="569">
        <f>A4</f>
        <v>7</v>
      </c>
      <c r="AF27" s="569">
        <f>A5</f>
        <v>8</v>
      </c>
      <c r="AG27" s="562"/>
      <c r="AH27" s="562"/>
      <c r="AI27" s="562"/>
      <c r="AJ27" s="580"/>
      <c r="AK27" s="574"/>
      <c r="AL27" s="574"/>
      <c r="AN27" s="588">
        <f>A3</f>
        <v>6</v>
      </c>
      <c r="AO27" s="588">
        <f>A4</f>
        <v>7</v>
      </c>
      <c r="AP27" s="588">
        <f>A5</f>
        <v>8</v>
      </c>
    </row>
    <row r="28" spans="1:74" ht="15.25" x14ac:dyDescent="0.65">
      <c r="A28" s="323"/>
      <c r="B28" s="323"/>
      <c r="C28" s="323"/>
      <c r="D28" s="323"/>
      <c r="E28" s="323"/>
      <c r="F28" s="323"/>
      <c r="G28" s="323"/>
      <c r="H28" s="323"/>
      <c r="I28" s="324"/>
      <c r="J28" s="570">
        <f>H3</f>
        <v>30.325818669945232</v>
      </c>
      <c r="K28" s="570">
        <f>H4</f>
        <v>32.61270497762996</v>
      </c>
      <c r="L28" s="570">
        <f>H5</f>
        <v>33.165596022411073</v>
      </c>
      <c r="M28" s="324"/>
      <c r="N28" s="324"/>
      <c r="O28" s="324"/>
      <c r="P28" s="324"/>
      <c r="Q28" s="324"/>
      <c r="R28" s="324"/>
      <c r="S28" s="324"/>
      <c r="T28" s="570">
        <f>R3</f>
        <v>36.032084179519657</v>
      </c>
      <c r="U28" s="570">
        <f>R4</f>
        <v>36.424236786712243</v>
      </c>
      <c r="V28" s="570">
        <f>R5</f>
        <v>36.385680359718272</v>
      </c>
      <c r="W28" s="324"/>
      <c r="X28" s="42"/>
      <c r="Y28" s="580"/>
      <c r="Z28" s="562"/>
      <c r="AA28" s="562"/>
      <c r="AB28" s="562"/>
      <c r="AC28" s="562"/>
      <c r="AD28" s="570">
        <f>AB3</f>
        <v>2.0106969401825472</v>
      </c>
      <c r="AE28" s="570">
        <f>AB4</f>
        <v>3.3152476201835377</v>
      </c>
      <c r="AF28" s="570">
        <f>AB5</f>
        <v>4.4463676113951003</v>
      </c>
      <c r="AG28" s="562"/>
      <c r="AH28" s="562"/>
      <c r="AI28" s="562"/>
      <c r="AJ28" s="580"/>
      <c r="AK28" s="574"/>
      <c r="AL28" s="574"/>
      <c r="AN28" s="570">
        <f>AL3</f>
        <v>0.15782996820197831</v>
      </c>
      <c r="AO28" s="570">
        <f>AL4</f>
        <v>0.26800494850259537</v>
      </c>
      <c r="AP28" s="570">
        <f>AL5</f>
        <v>0.36111306131804349</v>
      </c>
    </row>
    <row r="29" spans="1:74" ht="15.25" x14ac:dyDescent="0.65">
      <c r="A29" s="323"/>
      <c r="B29" s="323"/>
      <c r="C29" s="323"/>
      <c r="D29" s="323"/>
      <c r="E29" s="323"/>
      <c r="F29" s="323"/>
      <c r="G29" s="323"/>
      <c r="H29" s="323"/>
      <c r="I29" s="324"/>
      <c r="J29" s="570">
        <f>I3</f>
        <v>30.761419385377401</v>
      </c>
      <c r="K29" s="570">
        <f>I4</f>
        <v>33.050025514038282</v>
      </c>
      <c r="L29" s="570">
        <f>I5</f>
        <v>33.362307013997167</v>
      </c>
      <c r="M29" s="324"/>
      <c r="N29" s="324"/>
      <c r="O29" s="324"/>
      <c r="P29" s="324"/>
      <c r="Q29" s="324"/>
      <c r="R29" s="324"/>
      <c r="S29" s="324"/>
      <c r="T29" s="570">
        <f>S3</f>
        <v>35.817539872481248</v>
      </c>
      <c r="U29" s="570">
        <f>S4</f>
        <v>37.019776838552332</v>
      </c>
      <c r="V29" s="570">
        <f>S5</f>
        <v>36.279159894422151</v>
      </c>
      <c r="W29" s="324"/>
      <c r="X29" s="42"/>
      <c r="Y29" s="580"/>
      <c r="Z29" s="562"/>
      <c r="AA29" s="562"/>
      <c r="AB29" s="562"/>
      <c r="AC29" s="562"/>
      <c r="AD29" s="570">
        <f>AC3</f>
        <v>3.3625205098926783</v>
      </c>
      <c r="AE29" s="570">
        <f>AC4</f>
        <v>5.5521220115795291</v>
      </c>
      <c r="AF29" s="570">
        <f>AC5</f>
        <v>7.5051486838039079</v>
      </c>
      <c r="AG29" s="562"/>
      <c r="AH29" s="562"/>
      <c r="AI29" s="562"/>
      <c r="AJ29" s="580"/>
      <c r="AK29" s="574"/>
      <c r="AL29" s="574"/>
      <c r="AN29" s="570">
        <f>AM3</f>
        <v>0.23231190388968209</v>
      </c>
      <c r="AO29" s="570">
        <f>AM4</f>
        <v>0.39060445355217371</v>
      </c>
      <c r="AP29" s="570">
        <f>AM5</f>
        <v>0.54031573554169243</v>
      </c>
    </row>
    <row r="30" spans="1:74" ht="15.25" x14ac:dyDescent="0.65">
      <c r="A30" s="323"/>
      <c r="B30" s="323"/>
      <c r="C30" s="323"/>
      <c r="D30" s="323"/>
      <c r="E30" s="323"/>
      <c r="F30" s="323"/>
      <c r="G30" s="323"/>
      <c r="H30" s="323"/>
      <c r="I30" s="325"/>
      <c r="J30" s="581">
        <f>J3</f>
        <v>30.53985018836266</v>
      </c>
      <c r="K30" s="582">
        <f>J4</f>
        <v>33.193942657233379</v>
      </c>
      <c r="L30" s="583">
        <f>J5</f>
        <v>33.067293018916253</v>
      </c>
      <c r="M30" s="325"/>
      <c r="N30" s="325"/>
      <c r="O30" s="325"/>
      <c r="P30" s="325"/>
      <c r="Q30" s="325"/>
      <c r="R30" s="325"/>
      <c r="S30" s="325"/>
      <c r="T30" s="581">
        <f>T3</f>
        <v>36.246833341573172</v>
      </c>
      <c r="U30" s="582">
        <f>T4</f>
        <v>36.733346349197816</v>
      </c>
      <c r="V30" s="583">
        <f>T5</f>
        <v>36.181333441268968</v>
      </c>
      <c r="W30" s="325"/>
      <c r="X30" s="42"/>
      <c r="Y30" s="580"/>
      <c r="Z30" s="580"/>
      <c r="AA30" s="580"/>
      <c r="AB30" s="580"/>
      <c r="AC30" s="580"/>
      <c r="AD30" s="581">
        <f>AD3</f>
        <v>4.8836534497906232</v>
      </c>
      <c r="AE30" s="582">
        <f>AD4</f>
        <v>8.2232796836757629</v>
      </c>
      <c r="AF30" s="583">
        <f>AD5</f>
        <v>10.96639686083418</v>
      </c>
      <c r="AG30" s="580"/>
      <c r="AH30" s="580"/>
      <c r="AI30" s="580"/>
      <c r="AJ30" s="580"/>
      <c r="AK30" s="574"/>
      <c r="AL30" s="574"/>
      <c r="AN30" s="581">
        <f>AN3</f>
        <v>0.28966817965585773</v>
      </c>
      <c r="AO30" s="582">
        <f>AN4</f>
        <v>0.50423272157667343</v>
      </c>
      <c r="AP30" s="583">
        <f>AN5</f>
        <v>0.69735661932150639</v>
      </c>
    </row>
    <row r="31" spans="1:74" ht="15.25" x14ac:dyDescent="0.65">
      <c r="A31" s="323"/>
      <c r="B31" s="323"/>
      <c r="C31" s="323"/>
      <c r="D31" s="323"/>
      <c r="E31" s="323"/>
      <c r="F31" s="323"/>
      <c r="G31" s="323"/>
      <c r="H31" s="323"/>
      <c r="I31" s="326"/>
      <c r="J31" s="581">
        <f>K3</f>
        <v>32.788508879004112</v>
      </c>
      <c r="K31" s="582">
        <f>K4</f>
        <v>32.176037104215048</v>
      </c>
      <c r="L31" s="583">
        <f>K5</f>
        <v>33.707288190201403</v>
      </c>
      <c r="M31" s="326"/>
      <c r="N31" s="326"/>
      <c r="O31" s="326"/>
      <c r="P31" s="326"/>
      <c r="Q31" s="326"/>
      <c r="R31" s="326"/>
      <c r="S31" s="326"/>
      <c r="T31" s="581">
        <f>U3</f>
        <v>36.541005338341662</v>
      </c>
      <c r="U31" s="582">
        <f>U4</f>
        <v>36.446375715679679</v>
      </c>
      <c r="V31" s="583">
        <f>U5</f>
        <v>36.373642572839472</v>
      </c>
      <c r="W31" s="326"/>
      <c r="X31" s="327"/>
      <c r="Y31" s="580"/>
      <c r="Z31" s="580"/>
      <c r="AA31" s="580"/>
      <c r="AB31" s="580"/>
      <c r="AC31" s="580"/>
      <c r="AD31" s="581">
        <f>AE3</f>
        <v>10.57247077115923</v>
      </c>
      <c r="AE31" s="582">
        <f>AE4</f>
        <v>11.85145056118313</v>
      </c>
      <c r="AF31" s="583">
        <f>AE5</f>
        <v>16.393634129227802</v>
      </c>
      <c r="AG31" s="580"/>
      <c r="AH31" s="580"/>
      <c r="AI31" s="580"/>
      <c r="AJ31" s="580"/>
      <c r="AK31" s="574"/>
      <c r="AL31" s="574"/>
      <c r="AN31" s="581">
        <f>AO3</f>
        <v>0.54537985439518744</v>
      </c>
      <c r="AO31" s="582">
        <f>AO4</f>
        <v>0.61864894702468287</v>
      </c>
      <c r="AP31" s="583">
        <f>AO5</f>
        <v>0.84238739640577953</v>
      </c>
    </row>
    <row r="32" spans="1:74" x14ac:dyDescent="0.65">
      <c r="A32" s="322"/>
      <c r="B32" s="322"/>
      <c r="C32" s="322"/>
      <c r="D32" s="322"/>
      <c r="E32" s="322"/>
      <c r="F32" s="322"/>
      <c r="G32" s="322"/>
      <c r="H32" s="322"/>
      <c r="I32" s="322"/>
      <c r="J32" s="584"/>
      <c r="K32" s="584"/>
      <c r="L32" s="584"/>
      <c r="M32" s="322"/>
      <c r="N32" s="322"/>
      <c r="O32" s="322"/>
      <c r="P32" s="322"/>
      <c r="Q32" s="322"/>
      <c r="R32" s="322"/>
      <c r="S32" s="322"/>
      <c r="T32" s="584"/>
      <c r="U32" s="584"/>
      <c r="V32" s="584"/>
      <c r="W32" s="322"/>
      <c r="X32" s="322"/>
      <c r="Y32" s="580"/>
      <c r="Z32" s="580"/>
      <c r="AA32" s="580"/>
      <c r="AB32" s="580"/>
      <c r="AC32" s="580"/>
      <c r="AD32" s="584"/>
      <c r="AE32" s="584"/>
      <c r="AF32" s="584"/>
      <c r="AG32" s="580"/>
      <c r="AH32" s="580"/>
      <c r="AI32" s="580"/>
      <c r="AJ32" s="580"/>
      <c r="AK32" s="574"/>
      <c r="AL32" s="574"/>
      <c r="AN32" s="584"/>
      <c r="AO32" s="584"/>
      <c r="AP32" s="584"/>
    </row>
    <row r="33" spans="1:42" x14ac:dyDescent="0.65">
      <c r="A33" s="322"/>
      <c r="B33" s="322"/>
      <c r="C33" s="322"/>
      <c r="D33" s="322"/>
      <c r="E33" s="322"/>
      <c r="F33" s="322"/>
      <c r="G33" s="322"/>
      <c r="H33" s="322"/>
      <c r="I33" s="322"/>
      <c r="J33" s="580"/>
      <c r="K33" s="580"/>
      <c r="L33" s="580"/>
      <c r="M33" s="322"/>
      <c r="N33" s="322"/>
      <c r="O33" s="322"/>
      <c r="P33" s="322"/>
      <c r="Q33" s="322"/>
      <c r="R33" s="322"/>
      <c r="S33" s="322"/>
      <c r="T33" s="580"/>
      <c r="U33" s="580"/>
      <c r="V33" s="580"/>
      <c r="W33" s="322"/>
      <c r="X33" s="322"/>
      <c r="Y33" s="580"/>
      <c r="Z33" s="580"/>
      <c r="AA33" s="580"/>
      <c r="AB33" s="580"/>
      <c r="AC33" s="580"/>
      <c r="AD33" s="580"/>
      <c r="AE33" s="580"/>
      <c r="AF33" s="580"/>
      <c r="AG33" s="580"/>
      <c r="AH33" s="580"/>
      <c r="AI33" s="580"/>
      <c r="AJ33" s="580"/>
      <c r="AK33" s="574"/>
      <c r="AL33" s="574"/>
      <c r="AN33" s="580"/>
      <c r="AO33" s="580"/>
      <c r="AP33" s="580"/>
    </row>
    <row r="34" spans="1:42" x14ac:dyDescent="0.65">
      <c r="A34" s="322"/>
      <c r="B34" s="322"/>
      <c r="C34" s="322"/>
      <c r="D34" s="322"/>
      <c r="E34" s="322"/>
      <c r="F34" s="322"/>
      <c r="G34" s="322"/>
      <c r="H34" s="322"/>
      <c r="I34" s="322"/>
      <c r="J34" s="579">
        <f t="array" ref="J34:L34">LINEST(J28:L28, J27:L27^{1;2},1,0)</f>
        <v>-0.86699763145180664</v>
      </c>
      <c r="K34" s="579">
        <v>13.557855516558213</v>
      </c>
      <c r="L34" s="579">
        <v>-19.809399697139</v>
      </c>
      <c r="M34" s="322"/>
      <c r="N34" s="322"/>
      <c r="O34" s="322"/>
      <c r="P34" s="322"/>
      <c r="Q34" s="322"/>
      <c r="R34" s="322"/>
      <c r="S34" s="322"/>
      <c r="T34" s="579">
        <f t="array" ref="T34:V34">LINEST(T28:V28, T27:V27^{1;2},1,0)</f>
        <v>-0.21535451709327763</v>
      </c>
      <c r="U34" s="579">
        <v>3.1917613294051939</v>
      </c>
      <c r="V34" s="579">
        <v>24.634278818446489</v>
      </c>
      <c r="W34" s="322"/>
      <c r="X34" s="322"/>
      <c r="Y34" s="580"/>
      <c r="Z34" s="580"/>
      <c r="AA34" s="580"/>
      <c r="AB34" s="580"/>
      <c r="AC34" s="580"/>
      <c r="AD34" s="579">
        <f t="array" ref="AD34:AF34">LINEST(AD28:AF28, AD27:AF27^{1;2},1,0)</f>
        <v>-8.6715344394713789E-2</v>
      </c>
      <c r="AE34" s="579">
        <v>2.4318501571322693</v>
      </c>
      <c r="AF34" s="579">
        <v>-9.4586516044013695</v>
      </c>
      <c r="AG34" s="580"/>
      <c r="AH34" s="580"/>
      <c r="AI34" s="580"/>
      <c r="AJ34" s="580"/>
      <c r="AK34" s="574"/>
      <c r="AL34" s="574"/>
      <c r="AN34" s="579">
        <f t="array" ref="AN34:AP34">LINEST(AN28:AP28, AN27:AP27^{1;2},1,0)</f>
        <v>-8.5334337425844366E-3</v>
      </c>
      <c r="AO34" s="579">
        <v>0.22110961895421469</v>
      </c>
      <c r="AP34" s="579">
        <v>-0.86162413079026989</v>
      </c>
    </row>
    <row r="35" spans="1:42" x14ac:dyDescent="0.65">
      <c r="A35" s="322"/>
      <c r="B35" s="322"/>
      <c r="C35" s="322"/>
      <c r="D35" s="322"/>
      <c r="E35" s="322"/>
      <c r="F35" s="322"/>
      <c r="G35" s="322"/>
      <c r="H35" s="322"/>
      <c r="I35" s="322"/>
      <c r="J35" s="579">
        <f t="array" ref="J35:L35">LINEST(J29:L29, J27:L27^{1;2},1,0)</f>
        <v>-0.98816231435099633</v>
      </c>
      <c r="K35" s="579">
        <v>15.134716215223831</v>
      </c>
      <c r="L35" s="579">
        <v>-24.473034589329707</v>
      </c>
      <c r="M35" s="322"/>
      <c r="N35" s="322"/>
      <c r="O35" s="322"/>
      <c r="P35" s="322"/>
      <c r="Q35" s="322"/>
      <c r="R35" s="322"/>
      <c r="S35" s="322"/>
      <c r="T35" s="579">
        <f t="array" ref="T35:V35">LINEST(T29:V29, T27:V27^{1;2},1,0)</f>
        <v>-0.97142695510063115</v>
      </c>
      <c r="U35" s="579">
        <v>13.830787382379286</v>
      </c>
      <c r="V35" s="579">
        <v>-12.195814038171754</v>
      </c>
      <c r="W35" s="322"/>
      <c r="X35" s="322"/>
      <c r="Y35" s="580"/>
      <c r="Z35" s="580"/>
      <c r="AA35" s="580"/>
      <c r="AB35" s="580"/>
      <c r="AC35" s="580"/>
      <c r="AD35" s="579">
        <f t="array" ref="AD35:AF35">LINEST(AD29:AF29, AD27:AF27^{1;2},1,0)</f>
        <v>-0.1182874147312357</v>
      </c>
      <c r="AE35" s="579">
        <v>3.7273378931929142</v>
      </c>
      <c r="AF35" s="579">
        <v>-14.743159918940325</v>
      </c>
      <c r="AG35" s="580"/>
      <c r="AH35" s="580"/>
      <c r="AI35" s="580"/>
      <c r="AJ35" s="580"/>
      <c r="AK35" s="574"/>
      <c r="AL35" s="574"/>
      <c r="AN35" s="579">
        <f t="array" ref="AN35:AP35">LINEST(AN29:AP29, AN27:AP27^{1;2},1,0)</f>
        <v>-4.2906338364864472E-3</v>
      </c>
      <c r="AO35" s="579">
        <v>0.21407078953681541</v>
      </c>
      <c r="AP35" s="579">
        <v>-0.89765001521769805</v>
      </c>
    </row>
    <row r="36" spans="1:42" x14ac:dyDescent="0.65">
      <c r="A36" s="322"/>
      <c r="B36" s="322"/>
      <c r="C36" s="322"/>
      <c r="D36" s="322"/>
      <c r="E36" s="322"/>
      <c r="F36" s="322"/>
      <c r="G36" s="322"/>
      <c r="H36" s="322"/>
      <c r="I36" s="322"/>
      <c r="J36" s="579">
        <f t="array" ref="J36:L36">LINEST(J30:L30, J27:L27^{1;2},1,0)</f>
        <v>-1.3903710535939211</v>
      </c>
      <c r="K36" s="579">
        <v>20.728916165591691</v>
      </c>
      <c r="L36" s="579">
        <v>-43.78028887580632</v>
      </c>
      <c r="M36" s="322"/>
      <c r="N36" s="322"/>
      <c r="O36" s="322"/>
      <c r="P36" s="322"/>
      <c r="Q36" s="322"/>
      <c r="R36" s="322"/>
      <c r="S36" s="322"/>
      <c r="T36" s="579">
        <f t="array" ref="T36:V36">LINEST(T30:V30, T27:V27^{1;2},1,0)</f>
        <v>-0.5192629577767458</v>
      </c>
      <c r="U36" s="579">
        <v>7.2369314587223394</v>
      </c>
      <c r="V36" s="579">
        <v>11.518711069201984</v>
      </c>
      <c r="W36" s="322"/>
      <c r="X36" s="322"/>
      <c r="Y36" s="580"/>
      <c r="Z36" s="580"/>
      <c r="AA36" s="580"/>
      <c r="AB36" s="580"/>
      <c r="AC36" s="580"/>
      <c r="AD36" s="579">
        <f t="array" ref="AD36:AF36">LINEST(AD30:AF30, AD27:AF27^{1;2},1,0)</f>
        <v>-0.29825452836335997</v>
      </c>
      <c r="AE36" s="579">
        <v>7.2169351026088169</v>
      </c>
      <c r="AF36" s="579">
        <v>-27.680794144781316</v>
      </c>
      <c r="AG36" s="580"/>
      <c r="AH36" s="580"/>
      <c r="AI36" s="580"/>
      <c r="AJ36" s="580"/>
      <c r="AK36" s="574"/>
      <c r="AL36" s="574"/>
      <c r="AN36" s="579">
        <f t="array" ref="AN36:AP36">LINEST(AN30:AP30, AN27:AP27^{1;2},1,0)</f>
        <v>-1.0720322087991353E-2</v>
      </c>
      <c r="AO36" s="579">
        <v>0.35392872906470318</v>
      </c>
      <c r="AP36" s="579">
        <v>-1.4479725995646726</v>
      </c>
    </row>
    <row r="37" spans="1:42" x14ac:dyDescent="0.65">
      <c r="A37" s="322"/>
      <c r="B37" s="322"/>
      <c r="C37" s="322"/>
      <c r="D37" s="322"/>
      <c r="E37" s="322"/>
      <c r="F37" s="322"/>
      <c r="G37" s="322"/>
      <c r="H37" s="322"/>
      <c r="I37" s="322"/>
      <c r="J37" s="579">
        <f t="array" ref="J37:L37">LINEST(J31:L31, J27:L27^{1;2},1,0)</f>
        <v>1.071861430387709</v>
      </c>
      <c r="K37" s="579">
        <v>-14.546670369829279</v>
      </c>
      <c r="L37" s="579">
        <v>81.481519604022267</v>
      </c>
      <c r="M37" s="322"/>
      <c r="N37" s="322"/>
      <c r="O37" s="322"/>
      <c r="P37" s="322"/>
      <c r="Q37" s="322"/>
      <c r="R37" s="322"/>
      <c r="S37" s="322"/>
      <c r="T37" s="579">
        <f t="array" ref="T37:V37">LINEST(T31:V31, T27:V27^{1;2},1,0)</f>
        <v>1.094823991088844E-2</v>
      </c>
      <c r="U37" s="579">
        <v>-0.2369567415035333</v>
      </c>
      <c r="V37" s="579">
        <v>37.568609150570879</v>
      </c>
      <c r="W37" s="322"/>
      <c r="X37" s="322"/>
      <c r="Y37" s="580"/>
      <c r="Z37" s="580"/>
      <c r="AA37" s="580"/>
      <c r="AB37" s="580"/>
      <c r="AC37" s="580"/>
      <c r="AD37" s="579">
        <f t="array" ref="AD37:AF37">LINEST(AD31:AF31, AD27:AF27^{1;2},1,0)</f>
        <v>1.6316018890103847</v>
      </c>
      <c r="AE37" s="579">
        <v>-19.931844767111098</v>
      </c>
      <c r="AF37" s="579">
        <v>71.425871369451968</v>
      </c>
      <c r="AG37" s="580"/>
      <c r="AH37" s="580"/>
      <c r="AI37" s="580"/>
      <c r="AJ37" s="580"/>
      <c r="AK37" s="574"/>
      <c r="AL37" s="574"/>
      <c r="AN37" s="579">
        <f t="array" ref="AN37:AP37">LINEST(AN31:AP31, AN27:AP27^{1;2},1,0)</f>
        <v>7.5234678375800529E-2</v>
      </c>
      <c r="AO37" s="579">
        <v>-0.90478172625591113</v>
      </c>
      <c r="AP37" s="579">
        <v>3.2656217904018345</v>
      </c>
    </row>
    <row r="38" spans="1:42" ht="15.25" x14ac:dyDescent="0.65">
      <c r="A38" s="322"/>
      <c r="B38" s="322"/>
      <c r="C38" s="322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580"/>
      <c r="Z38" s="580"/>
      <c r="AA38" s="580"/>
      <c r="AB38" s="580"/>
      <c r="AC38" s="580"/>
      <c r="AD38" s="571"/>
      <c r="AE38" s="571"/>
      <c r="AF38" s="571"/>
      <c r="AG38" s="580"/>
      <c r="AH38" s="580"/>
      <c r="AI38" s="580"/>
      <c r="AJ38" s="580"/>
      <c r="AK38" s="574"/>
      <c r="AL38" s="574"/>
    </row>
    <row r="39" spans="1:42" x14ac:dyDescent="0.65">
      <c r="A39" s="322"/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22"/>
      <c r="AH39" s="322"/>
      <c r="AI39" s="322"/>
      <c r="AJ39" s="322"/>
    </row>
    <row r="40" spans="1:42" x14ac:dyDescent="0.65">
      <c r="A40" s="322"/>
      <c r="B40" s="322"/>
      <c r="C40" s="322"/>
      <c r="D40" s="322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22"/>
      <c r="AH40" s="322"/>
      <c r="AI40" s="322"/>
      <c r="AJ40" s="322"/>
    </row>
    <row r="41" spans="1:42" ht="15.25" x14ac:dyDescent="0.65">
      <c r="A41" s="322"/>
      <c r="B41" s="322"/>
      <c r="C41" s="322"/>
      <c r="D41" s="322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169" t="s">
        <v>477</v>
      </c>
      <c r="U41" s="169" t="s">
        <v>476</v>
      </c>
      <c r="V41" s="169" t="s">
        <v>475</v>
      </c>
      <c r="W41" s="592">
        <f>$T$43</f>
        <v>1</v>
      </c>
      <c r="X41" s="564">
        <f t="shared" ref="W41:Z43" si="7">$T$43</f>
        <v>1</v>
      </c>
      <c r="Y41" s="564">
        <f t="shared" si="7"/>
        <v>1</v>
      </c>
      <c r="Z41" s="564">
        <f t="shared" si="7"/>
        <v>1</v>
      </c>
      <c r="AA41" s="585"/>
      <c r="AB41" s="565">
        <f t="shared" ref="AB41:AE43" si="8">$U$43</f>
        <v>10</v>
      </c>
      <c r="AC41" s="565">
        <f t="shared" si="8"/>
        <v>10</v>
      </c>
      <c r="AD41" s="565">
        <f t="shared" si="8"/>
        <v>10</v>
      </c>
      <c r="AE41" s="565">
        <f t="shared" si="8"/>
        <v>10</v>
      </c>
      <c r="AF41" s="585"/>
      <c r="AG41" s="566">
        <f t="shared" ref="AG41:AJ43" si="9">$V$43</f>
        <v>1</v>
      </c>
      <c r="AH41" s="566">
        <f t="shared" si="9"/>
        <v>1</v>
      </c>
      <c r="AI41" s="566">
        <f t="shared" si="9"/>
        <v>1</v>
      </c>
      <c r="AJ41" s="566">
        <f t="shared" si="9"/>
        <v>1</v>
      </c>
      <c r="AK41" s="585"/>
    </row>
    <row r="42" spans="1:42" x14ac:dyDescent="0.65">
      <c r="A42" s="322"/>
      <c r="B42" s="322"/>
      <c r="C42" s="322"/>
      <c r="D42" s="322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568">
        <f>'параметры для расчета'!AU29</f>
        <v>0</v>
      </c>
      <c r="U42" s="568">
        <f>'параметры для расчета'!AV29</f>
        <v>9</v>
      </c>
      <c r="V42" s="568">
        <f>'параметры для расчета'!AW29</f>
        <v>0</v>
      </c>
      <c r="W42" s="564">
        <f t="shared" si="7"/>
        <v>1</v>
      </c>
      <c r="X42" s="564">
        <f t="shared" si="7"/>
        <v>1</v>
      </c>
      <c r="Y42" s="564">
        <f t="shared" si="7"/>
        <v>1</v>
      </c>
      <c r="Z42" s="564">
        <f t="shared" si="7"/>
        <v>1</v>
      </c>
      <c r="AA42" s="585"/>
      <c r="AB42" s="565">
        <f t="shared" si="8"/>
        <v>10</v>
      </c>
      <c r="AC42" s="565">
        <f t="shared" si="8"/>
        <v>10</v>
      </c>
      <c r="AD42" s="565">
        <f t="shared" si="8"/>
        <v>10</v>
      </c>
      <c r="AE42" s="565">
        <f t="shared" si="8"/>
        <v>10</v>
      </c>
      <c r="AF42" s="585"/>
      <c r="AG42" s="566">
        <f t="shared" si="9"/>
        <v>1</v>
      </c>
      <c r="AH42" s="566">
        <f t="shared" si="9"/>
        <v>1</v>
      </c>
      <c r="AI42" s="566">
        <f t="shared" si="9"/>
        <v>1</v>
      </c>
      <c r="AJ42" s="566">
        <f t="shared" si="9"/>
        <v>1</v>
      </c>
      <c r="AK42" s="585"/>
    </row>
    <row r="43" spans="1:42" x14ac:dyDescent="0.65">
      <c r="A43" s="322"/>
      <c r="B43" s="322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567">
        <f>1+T42</f>
        <v>1</v>
      </c>
      <c r="U43" s="567">
        <f>1+U42</f>
        <v>10</v>
      </c>
      <c r="V43" s="567">
        <f>1+V42</f>
        <v>1</v>
      </c>
      <c r="W43" s="564">
        <f t="shared" si="7"/>
        <v>1</v>
      </c>
      <c r="X43" s="564">
        <f t="shared" si="7"/>
        <v>1</v>
      </c>
      <c r="Y43" s="564">
        <f t="shared" si="7"/>
        <v>1</v>
      </c>
      <c r="Z43" s="564">
        <f t="shared" si="7"/>
        <v>1</v>
      </c>
      <c r="AA43" s="585"/>
      <c r="AB43" s="565">
        <f t="shared" si="8"/>
        <v>10</v>
      </c>
      <c r="AC43" s="565">
        <f t="shared" si="8"/>
        <v>10</v>
      </c>
      <c r="AD43" s="565">
        <f t="shared" si="8"/>
        <v>10</v>
      </c>
      <c r="AE43" s="565">
        <f t="shared" si="8"/>
        <v>10</v>
      </c>
      <c r="AF43" s="585"/>
      <c r="AG43" s="566">
        <f t="shared" si="9"/>
        <v>1</v>
      </c>
      <c r="AH43" s="566">
        <f t="shared" si="9"/>
        <v>1</v>
      </c>
      <c r="AI43" s="566">
        <f t="shared" si="9"/>
        <v>1</v>
      </c>
      <c r="AJ43" s="566">
        <f t="shared" si="9"/>
        <v>1</v>
      </c>
      <c r="AK43" s="585"/>
    </row>
    <row r="44" spans="1:42" ht="15.25" x14ac:dyDescent="0.65">
      <c r="A44" s="322"/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W44" s="322"/>
      <c r="Y44" s="169" t="s">
        <v>477</v>
      </c>
      <c r="AD44" s="169" t="s">
        <v>476</v>
      </c>
      <c r="AI44" s="169" t="s">
        <v>475</v>
      </c>
      <c r="AJ44" s="322"/>
    </row>
    <row r="45" spans="1:42" ht="15.25" x14ac:dyDescent="0.65">
      <c r="A45" s="322"/>
      <c r="B45" s="322"/>
      <c r="C45" s="322"/>
      <c r="D45" s="322"/>
      <c r="E45" s="322"/>
      <c r="F45" s="322"/>
      <c r="G45" s="322"/>
      <c r="H45" s="359">
        <v>-0.86699999999999999</v>
      </c>
      <c r="I45" s="359">
        <v>-0.98819999999999997</v>
      </c>
      <c r="J45" s="359">
        <v>-1.3904000000000001</v>
      </c>
      <c r="K45" s="359">
        <v>1.0719000000000001</v>
      </c>
      <c r="L45" s="322"/>
      <c r="M45" s="359">
        <v>-3.0800000000000001E-2</v>
      </c>
      <c r="N45" s="359">
        <v>-3.5099999999999999E-2</v>
      </c>
      <c r="O45" s="359">
        <v>-4.9399999999999999E-2</v>
      </c>
      <c r="P45" s="359">
        <v>3.8100000000000002E-2</v>
      </c>
      <c r="Q45" s="322"/>
      <c r="R45" s="359">
        <v>-0.21540000000000001</v>
      </c>
      <c r="S45" s="359">
        <v>-0.97140000000000004</v>
      </c>
      <c r="T45" s="359">
        <v>-0.51929999999999998</v>
      </c>
      <c r="U45" s="359">
        <v>1.09E-2</v>
      </c>
      <c r="V45" s="322"/>
      <c r="W45" s="322"/>
      <c r="X45" s="322"/>
      <c r="Y45" s="322"/>
      <c r="Z45" s="322"/>
      <c r="AA45" s="322"/>
      <c r="AB45" s="322"/>
      <c r="AC45" s="322"/>
      <c r="AD45" s="322"/>
      <c r="AE45" s="322"/>
      <c r="AF45" s="322"/>
      <c r="AG45" s="322"/>
      <c r="AH45" s="322"/>
      <c r="AI45" s="322"/>
      <c r="AJ45" s="322"/>
      <c r="AL45" s="359">
        <v>-8.5000000000000006E-3</v>
      </c>
      <c r="AM45" s="359">
        <v>-4.3E-3</v>
      </c>
      <c r="AN45" s="359">
        <v>-1.0699999999999999E-2</v>
      </c>
      <c r="AO45" s="359">
        <v>7.5200000000000003E-2</v>
      </c>
    </row>
    <row r="46" spans="1:42" ht="15.25" x14ac:dyDescent="0.65">
      <c r="A46" s="322"/>
      <c r="B46" s="322"/>
      <c r="C46" s="322"/>
      <c r="D46" s="322"/>
      <c r="E46" s="322"/>
      <c r="F46" s="322"/>
      <c r="G46" s="322"/>
      <c r="H46" s="359">
        <v>13.558</v>
      </c>
      <c r="I46" s="359">
        <v>15.135</v>
      </c>
      <c r="J46" s="359">
        <v>20.728999999999999</v>
      </c>
      <c r="K46" s="359">
        <v>-14.547000000000001</v>
      </c>
      <c r="L46" s="322"/>
      <c r="M46" s="359">
        <v>0.48149999999999998</v>
      </c>
      <c r="N46" s="359">
        <v>0.53749999999999998</v>
      </c>
      <c r="O46" s="359">
        <v>0.73609999999999998</v>
      </c>
      <c r="P46" s="359">
        <v>-0.51659999999999995</v>
      </c>
      <c r="Q46" s="322"/>
      <c r="R46" s="359">
        <v>3.1918000000000002</v>
      </c>
      <c r="S46" s="359">
        <v>13.831</v>
      </c>
      <c r="T46" s="359">
        <v>7.2369000000000003</v>
      </c>
      <c r="U46" s="359">
        <v>-0.23699999999999999</v>
      </c>
      <c r="V46" s="322"/>
      <c r="W46" s="23"/>
      <c r="X46" s="23"/>
      <c r="Y46" s="23"/>
      <c r="Z46" s="23"/>
      <c r="AA46" s="23"/>
      <c r="AB46" s="322"/>
      <c r="AC46" s="322"/>
      <c r="AD46" s="322"/>
      <c r="AE46" s="322"/>
      <c r="AF46" s="322"/>
      <c r="AG46" s="322"/>
      <c r="AH46" s="322"/>
      <c r="AI46" s="322"/>
      <c r="AJ46" s="322"/>
      <c r="AK46" s="322"/>
      <c r="AL46" s="359">
        <v>0.22109999999999999</v>
      </c>
      <c r="AM46" s="359">
        <v>0.21410000000000001</v>
      </c>
      <c r="AN46" s="359">
        <v>0.35389999999999999</v>
      </c>
      <c r="AO46" s="359">
        <v>-0.90480000000000005</v>
      </c>
    </row>
    <row r="47" spans="1:42" ht="15.25" x14ac:dyDescent="0.65">
      <c r="A47" s="322"/>
      <c r="B47" s="322"/>
      <c r="C47" s="322"/>
      <c r="D47" s="322"/>
      <c r="E47" s="322"/>
      <c r="F47" s="322"/>
      <c r="G47" s="322"/>
      <c r="H47" s="359">
        <v>-19.809000000000001</v>
      </c>
      <c r="I47" s="359">
        <v>-24.472999999999999</v>
      </c>
      <c r="J47" s="359">
        <v>-43.78</v>
      </c>
      <c r="K47" s="359">
        <v>81.481999999999999</v>
      </c>
      <c r="L47" s="322"/>
      <c r="M47" s="359">
        <v>-0.70350000000000001</v>
      </c>
      <c r="N47" s="359">
        <v>-0.86909999999999998</v>
      </c>
      <c r="O47" s="359">
        <v>-1.5547</v>
      </c>
      <c r="P47" s="359">
        <v>2.8935</v>
      </c>
      <c r="Q47" s="322"/>
      <c r="R47" s="359">
        <v>24.634</v>
      </c>
      <c r="S47" s="359">
        <v>-12.196</v>
      </c>
      <c r="T47" s="359">
        <v>11.519</v>
      </c>
      <c r="U47" s="359">
        <v>37.569000000000003</v>
      </c>
      <c r="W47" s="23"/>
      <c r="X47" s="23"/>
      <c r="Y47" s="23"/>
      <c r="Z47" s="23"/>
      <c r="AA47" s="23"/>
      <c r="AB47" s="322"/>
      <c r="AC47" s="322"/>
      <c r="AD47" s="322"/>
      <c r="AE47" s="322"/>
      <c r="AF47" s="322"/>
      <c r="AG47" s="322"/>
      <c r="AH47" s="322"/>
      <c r="AI47" s="322"/>
      <c r="AJ47" s="322"/>
      <c r="AK47" s="322"/>
      <c r="AL47" s="359">
        <v>-0.86160000000000003</v>
      </c>
      <c r="AM47" s="359">
        <v>-0.89770000000000005</v>
      </c>
      <c r="AN47" s="359">
        <v>-1.448</v>
      </c>
      <c r="AO47" s="359">
        <v>3.2656000000000001</v>
      </c>
    </row>
    <row r="48" spans="1:42" x14ac:dyDescent="0.65">
      <c r="A48" s="322"/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  <c r="AA48" s="322"/>
      <c r="AB48" s="322"/>
      <c r="AC48" s="322"/>
      <c r="AD48" s="322"/>
      <c r="AE48" s="322"/>
      <c r="AF48" s="322"/>
      <c r="AG48" s="322"/>
      <c r="AH48" s="322"/>
      <c r="AI48" s="322"/>
      <c r="AJ48" s="322"/>
    </row>
    <row r="49" spans="1:41" x14ac:dyDescent="0.65">
      <c r="A49" s="322"/>
      <c r="B49" s="322"/>
      <c r="C49" s="322"/>
      <c r="D49" s="322"/>
      <c r="E49" s="322"/>
      <c r="F49" s="322"/>
      <c r="G49" s="322"/>
      <c r="H49" s="589">
        <f>H8-H45</f>
        <v>2.3685481933544139E-6</v>
      </c>
      <c r="I49" s="589">
        <f t="shared" ref="I49:K49" si="10">I8-I45</f>
        <v>3.7685649003638133E-5</v>
      </c>
      <c r="J49" s="589">
        <f t="shared" si="10"/>
        <v>2.8946406078977915E-5</v>
      </c>
      <c r="K49" s="589">
        <f t="shared" si="10"/>
        <v>-3.8569612291095012E-5</v>
      </c>
      <c r="L49" s="589"/>
      <c r="M49" s="589">
        <f>M8-M45</f>
        <v>1.173183764856256E-5</v>
      </c>
      <c r="N49" s="589">
        <f t="shared" ref="N49:P49" si="11">N8-N45</f>
        <v>9.0087233315522264E-6</v>
      </c>
      <c r="O49" s="589">
        <f t="shared" si="11"/>
        <v>2.602792635145873E-5</v>
      </c>
      <c r="P49" s="589">
        <f t="shared" si="11"/>
        <v>-3.6738977708970777E-5</v>
      </c>
      <c r="Q49" s="589"/>
      <c r="R49" s="589">
        <f>R8-R45</f>
        <v>4.5482906722377203E-5</v>
      </c>
      <c r="S49" s="589">
        <f t="shared" ref="S49:U49" si="12">S8-S45</f>
        <v>-2.695510063110973E-5</v>
      </c>
      <c r="T49" s="589">
        <f t="shared" si="12"/>
        <v>3.7042223254180051E-5</v>
      </c>
      <c r="U49" s="589">
        <f t="shared" si="12"/>
        <v>4.8239910888439597E-5</v>
      </c>
      <c r="V49" s="322"/>
      <c r="W49" s="322"/>
      <c r="X49" s="322"/>
      <c r="Y49" s="322"/>
      <c r="Z49" s="322"/>
      <c r="AA49" s="322"/>
      <c r="AB49" s="322"/>
      <c r="AC49" s="322"/>
      <c r="AD49" s="322"/>
      <c r="AE49" s="322"/>
      <c r="AF49" s="322"/>
      <c r="AG49" s="322"/>
      <c r="AH49" s="322"/>
      <c r="AI49" s="322"/>
      <c r="AJ49" s="322"/>
      <c r="AL49" s="589">
        <f>AL8-AL45</f>
        <v>-3.343374258443603E-5</v>
      </c>
      <c r="AM49" s="589">
        <f t="shared" ref="AM49:AO49" si="13">AM8-AM45</f>
        <v>9.3661635135527596E-6</v>
      </c>
      <c r="AN49" s="589">
        <f t="shared" si="13"/>
        <v>-2.0322087991353488E-5</v>
      </c>
      <c r="AO49" s="589">
        <f t="shared" si="13"/>
        <v>3.4678375800525907E-5</v>
      </c>
    </row>
    <row r="50" spans="1:41" x14ac:dyDescent="0.65">
      <c r="A50" s="322"/>
      <c r="B50" s="322"/>
      <c r="C50" s="322"/>
      <c r="D50" s="322"/>
      <c r="E50" s="322"/>
      <c r="F50" s="322"/>
      <c r="G50" s="322"/>
      <c r="H50" s="589">
        <f t="shared" ref="H50:K50" si="14">H9-H46</f>
        <v>-1.4448344178674688E-4</v>
      </c>
      <c r="I50" s="589">
        <f t="shared" si="14"/>
        <v>-2.8378477616897158E-4</v>
      </c>
      <c r="J50" s="589">
        <f t="shared" si="14"/>
        <v>-8.3834408307836839E-5</v>
      </c>
      <c r="K50" s="589">
        <f t="shared" si="14"/>
        <v>3.296301707216287E-4</v>
      </c>
      <c r="L50" s="589"/>
      <c r="M50" s="589">
        <f t="shared" ref="M50:P50" si="15">M9-M46</f>
        <v>-4.2062622217342582E-5</v>
      </c>
      <c r="N50" s="589">
        <f t="shared" si="15"/>
        <v>-4.5588948023200793E-5</v>
      </c>
      <c r="O50" s="589">
        <f t="shared" si="15"/>
        <v>1.207974403394374E-5</v>
      </c>
      <c r="P50" s="589">
        <f t="shared" si="15"/>
        <v>2.7898798672487679E-5</v>
      </c>
      <c r="Q50" s="589"/>
      <c r="R50" s="589">
        <f t="shared" ref="R50:U50" si="16">R9-R46</f>
        <v>-3.8670594806333725E-5</v>
      </c>
      <c r="S50" s="589">
        <f t="shared" si="16"/>
        <v>-2.1261762071311807E-4</v>
      </c>
      <c r="T50" s="589">
        <f t="shared" si="16"/>
        <v>3.1458722339117173E-5</v>
      </c>
      <c r="U50" s="589">
        <f t="shared" si="16"/>
        <v>4.3258496466691554E-5</v>
      </c>
      <c r="V50" s="322"/>
      <c r="W50" s="322"/>
      <c r="X50" s="322"/>
      <c r="Y50" s="322"/>
      <c r="Z50" s="322"/>
      <c r="AA50" s="322"/>
      <c r="AB50" s="322"/>
      <c r="AC50" s="322"/>
      <c r="AD50" s="322"/>
      <c r="AE50" s="322"/>
      <c r="AF50" s="322"/>
      <c r="AG50" s="322"/>
      <c r="AH50" s="322"/>
      <c r="AI50" s="322"/>
      <c r="AJ50" s="322"/>
      <c r="AL50" s="589">
        <f t="shared" ref="AL50:AO50" si="17">AL9-AL46</f>
        <v>9.6189542146962737E-6</v>
      </c>
      <c r="AM50" s="589">
        <f t="shared" si="17"/>
        <v>-2.9210463184603519E-5</v>
      </c>
      <c r="AN50" s="589">
        <f t="shared" si="17"/>
        <v>2.8729064703192364E-5</v>
      </c>
      <c r="AO50" s="589">
        <f t="shared" si="17"/>
        <v>1.827374408891469E-5</v>
      </c>
    </row>
    <row r="51" spans="1:41" x14ac:dyDescent="0.65">
      <c r="A51" s="322"/>
      <c r="B51" s="322"/>
      <c r="C51" s="322"/>
      <c r="D51" s="322"/>
      <c r="E51" s="322"/>
      <c r="F51" s="322"/>
      <c r="G51" s="322"/>
      <c r="H51" s="589">
        <f t="shared" ref="H51:K51" si="18">H10-H47</f>
        <v>-3.9969713899878911E-4</v>
      </c>
      <c r="I51" s="589">
        <f t="shared" si="18"/>
        <v>-3.4589329708012428E-5</v>
      </c>
      <c r="J51" s="589">
        <f t="shared" si="18"/>
        <v>-2.8887580631931087E-4</v>
      </c>
      <c r="K51" s="589">
        <f t="shared" si="18"/>
        <v>-4.8039597773197329E-4</v>
      </c>
      <c r="L51" s="589"/>
      <c r="M51" s="589">
        <f t="shared" ref="M51:P51" si="19">M10-M47</f>
        <v>4.1203936806066821E-5</v>
      </c>
      <c r="N51" s="589">
        <f t="shared" si="19"/>
        <v>2.9169413025442736E-5</v>
      </c>
      <c r="O51" s="589">
        <f t="shared" si="19"/>
        <v>2.2416261584723429E-6</v>
      </c>
      <c r="P51" s="589">
        <f t="shared" si="19"/>
        <v>1.9872301940893067E-5</v>
      </c>
      <c r="Q51" s="589"/>
      <c r="R51" s="589">
        <f t="shared" ref="R51:U51" si="20">R10-R47</f>
        <v>2.7881844648902643E-4</v>
      </c>
      <c r="S51" s="589">
        <f t="shared" si="20"/>
        <v>1.8596182824559548E-4</v>
      </c>
      <c r="T51" s="589">
        <f t="shared" si="20"/>
        <v>-2.8893079801584065E-4</v>
      </c>
      <c r="U51" s="589">
        <f t="shared" si="20"/>
        <v>-3.9084942912381848E-4</v>
      </c>
      <c r="V51" s="322"/>
      <c r="W51" s="322"/>
      <c r="X51" s="322"/>
      <c r="Y51" s="322"/>
      <c r="Z51" s="322"/>
      <c r="AA51" s="322"/>
      <c r="AB51" s="322"/>
      <c r="AC51" s="322"/>
      <c r="AD51" s="322"/>
      <c r="AE51" s="322"/>
      <c r="AF51" s="322"/>
      <c r="AG51" s="322"/>
      <c r="AH51" s="322"/>
      <c r="AI51" s="322"/>
      <c r="AJ51" s="322"/>
      <c r="AL51" s="589">
        <f t="shared" ref="AL51:AO51" si="21">AL10-AL47</f>
        <v>-2.4130790269860647E-5</v>
      </c>
      <c r="AM51" s="589">
        <f t="shared" si="21"/>
        <v>4.9984782302003872E-5</v>
      </c>
      <c r="AN51" s="589">
        <f t="shared" si="21"/>
        <v>2.7400435327340489E-5</v>
      </c>
      <c r="AO51" s="589">
        <f t="shared" si="21"/>
        <v>2.1790401834476114E-5</v>
      </c>
    </row>
    <row r="52" spans="1:41" x14ac:dyDescent="0.65">
      <c r="A52" s="322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  <c r="AA52" s="322"/>
      <c r="AB52" s="322"/>
      <c r="AC52" s="322"/>
      <c r="AD52" s="322"/>
      <c r="AE52" s="322"/>
      <c r="AF52" s="322"/>
      <c r="AG52" s="322"/>
      <c r="AH52" s="322"/>
      <c r="AI52" s="322"/>
      <c r="AJ52" s="322"/>
    </row>
    <row r="53" spans="1:41" x14ac:dyDescent="0.65">
      <c r="A53" s="322"/>
      <c r="B53" s="322"/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  <c r="AA53" s="322"/>
      <c r="AB53" s="322"/>
      <c r="AC53" s="322"/>
      <c r="AD53" s="322"/>
      <c r="AE53" s="322"/>
      <c r="AF53" s="322"/>
      <c r="AG53" s="322"/>
      <c r="AH53" s="322"/>
      <c r="AI53" s="322"/>
      <c r="AJ53" s="322"/>
    </row>
    <row r="54" spans="1:41" x14ac:dyDescent="0.65">
      <c r="A54" s="322"/>
      <c r="B54" s="322"/>
      <c r="C54" s="322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  <c r="AA54" s="322"/>
      <c r="AB54" s="322"/>
      <c r="AC54" s="322"/>
      <c r="AD54" s="322"/>
      <c r="AE54" s="322"/>
      <c r="AF54" s="322"/>
      <c r="AG54" s="322"/>
      <c r="AH54" s="322"/>
      <c r="AI54" s="322"/>
      <c r="AJ54" s="322"/>
    </row>
    <row r="55" spans="1:41" x14ac:dyDescent="0.65">
      <c r="A55" s="322"/>
      <c r="B55" s="322"/>
      <c r="C55" s="322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  <c r="AA55" s="322"/>
      <c r="AB55" s="322"/>
      <c r="AC55" s="322"/>
      <c r="AD55" s="322"/>
      <c r="AE55" s="322"/>
      <c r="AF55" s="322"/>
      <c r="AG55" s="322"/>
      <c r="AH55" s="322"/>
      <c r="AI55" s="322"/>
      <c r="AJ55" s="322"/>
    </row>
    <row r="56" spans="1:41" x14ac:dyDescent="0.65">
      <c r="A56" s="322"/>
      <c r="B56" s="322"/>
      <c r="C56" s="322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  <c r="AA56" s="322"/>
      <c r="AB56" s="322"/>
      <c r="AC56" s="322"/>
      <c r="AD56" s="322"/>
      <c r="AE56" s="322"/>
      <c r="AF56" s="322"/>
      <c r="AG56" s="322"/>
      <c r="AH56" s="322"/>
      <c r="AI56" s="322"/>
      <c r="AJ56" s="322"/>
    </row>
    <row r="57" spans="1:41" x14ac:dyDescent="0.65">
      <c r="A57" s="322"/>
      <c r="B57" s="322"/>
      <c r="C57" s="322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  <c r="AA57" s="322"/>
      <c r="AB57" s="322"/>
      <c r="AC57" s="322"/>
      <c r="AD57" s="322"/>
      <c r="AE57" s="322"/>
      <c r="AF57" s="322"/>
      <c r="AG57" s="322"/>
      <c r="AH57" s="322"/>
      <c r="AI57" s="322"/>
      <c r="AJ57" s="322"/>
    </row>
    <row r="58" spans="1:41" x14ac:dyDescent="0.65">
      <c r="A58" s="322"/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  <c r="AA58" s="322"/>
      <c r="AB58" s="322"/>
      <c r="AC58" s="322"/>
      <c r="AD58" s="322"/>
      <c r="AE58" s="322"/>
      <c r="AF58" s="322"/>
      <c r="AG58" s="322"/>
      <c r="AH58" s="322"/>
      <c r="AI58" s="322"/>
      <c r="AJ58" s="322"/>
    </row>
    <row r="59" spans="1:41" x14ac:dyDescent="0.65">
      <c r="A59" s="322"/>
      <c r="B59" s="322"/>
      <c r="C59" s="322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  <c r="AA59" s="322"/>
      <c r="AB59" s="322"/>
      <c r="AC59" s="322"/>
      <c r="AD59" s="322"/>
      <c r="AE59" s="322"/>
      <c r="AF59" s="322"/>
      <c r="AG59" s="322"/>
      <c r="AH59" s="322"/>
      <c r="AI59" s="322"/>
      <c r="AJ59" s="322"/>
    </row>
    <row r="60" spans="1:41" x14ac:dyDescent="0.65">
      <c r="A60" s="322"/>
      <c r="B60" s="322"/>
      <c r="C60" s="322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  <c r="AA60" s="322"/>
      <c r="AB60" s="322"/>
      <c r="AC60" s="322"/>
      <c r="AD60" s="322"/>
      <c r="AE60" s="322"/>
      <c r="AF60" s="322"/>
      <c r="AG60" s="322"/>
      <c r="AH60" s="322"/>
      <c r="AI60" s="322"/>
      <c r="AJ60" s="322"/>
    </row>
    <row r="61" spans="1:41" x14ac:dyDescent="0.65">
      <c r="A61" s="322"/>
      <c r="B61" s="322"/>
      <c r="C61" s="322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  <c r="AA61" s="322"/>
      <c r="AB61" s="322"/>
      <c r="AC61" s="322"/>
      <c r="AD61" s="322"/>
      <c r="AE61" s="322"/>
      <c r="AF61" s="322"/>
      <c r="AG61" s="322"/>
      <c r="AH61" s="322"/>
      <c r="AI61" s="322"/>
      <c r="AJ61" s="322"/>
    </row>
    <row r="62" spans="1:41" x14ac:dyDescent="0.65">
      <c r="A62" s="322"/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  <c r="AA62" s="322"/>
      <c r="AB62" s="322"/>
      <c r="AC62" s="322"/>
      <c r="AD62" s="322"/>
      <c r="AE62" s="322"/>
      <c r="AF62" s="322"/>
      <c r="AG62" s="322"/>
      <c r="AH62" s="322"/>
      <c r="AI62" s="322"/>
      <c r="AJ62" s="322"/>
    </row>
    <row r="63" spans="1:41" x14ac:dyDescent="0.65">
      <c r="A63" s="322"/>
      <c r="B63" s="322"/>
      <c r="C63" s="322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  <c r="AA63" s="322"/>
      <c r="AB63" s="322"/>
      <c r="AC63" s="322"/>
      <c r="AD63" s="322"/>
      <c r="AE63" s="322"/>
      <c r="AF63" s="322"/>
      <c r="AG63" s="322"/>
      <c r="AH63" s="322"/>
      <c r="AI63" s="322"/>
      <c r="AJ63" s="322"/>
    </row>
    <row r="64" spans="1:41" x14ac:dyDescent="0.65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  <c r="AA64" s="322"/>
      <c r="AB64" s="322"/>
      <c r="AC64" s="322"/>
      <c r="AD64" s="322"/>
      <c r="AE64" s="322"/>
      <c r="AF64" s="322"/>
      <c r="AG64" s="322"/>
      <c r="AH64" s="322"/>
      <c r="AI64" s="322"/>
      <c r="AJ64" s="322"/>
    </row>
    <row r="65" spans="1:36" x14ac:dyDescent="0.65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  <c r="AA65" s="322"/>
      <c r="AB65" s="322"/>
      <c r="AC65" s="322"/>
      <c r="AD65" s="322"/>
      <c r="AE65" s="322"/>
      <c r="AF65" s="322"/>
      <c r="AG65" s="322"/>
      <c r="AH65" s="322"/>
      <c r="AI65" s="322"/>
      <c r="AJ65" s="322"/>
    </row>
    <row r="66" spans="1:36" x14ac:dyDescent="0.65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  <c r="AA66" s="322"/>
      <c r="AB66" s="322"/>
      <c r="AC66" s="322"/>
      <c r="AD66" s="322"/>
      <c r="AE66" s="322"/>
      <c r="AF66" s="322"/>
      <c r="AG66" s="322"/>
      <c r="AH66" s="322"/>
      <c r="AI66" s="322"/>
      <c r="AJ66" s="322"/>
    </row>
    <row r="67" spans="1:36" x14ac:dyDescent="0.65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  <c r="AA67" s="322"/>
      <c r="AB67" s="322"/>
      <c r="AC67" s="322"/>
      <c r="AD67" s="322"/>
      <c r="AE67" s="322"/>
      <c r="AF67" s="322"/>
      <c r="AG67" s="322"/>
      <c r="AH67" s="322"/>
      <c r="AI67" s="322"/>
      <c r="AJ67" s="322"/>
    </row>
    <row r="68" spans="1:36" x14ac:dyDescent="0.65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  <c r="AA68" s="322"/>
      <c r="AB68" s="322"/>
      <c r="AC68" s="322"/>
      <c r="AD68" s="322"/>
      <c r="AE68" s="322"/>
      <c r="AF68" s="322"/>
      <c r="AG68" s="322"/>
      <c r="AH68" s="322"/>
      <c r="AI68" s="322"/>
      <c r="AJ68" s="322"/>
    </row>
    <row r="69" spans="1:36" x14ac:dyDescent="0.65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2"/>
      <c r="AC69" s="322"/>
      <c r="AD69" s="322"/>
      <c r="AE69" s="322"/>
      <c r="AF69" s="322"/>
      <c r="AG69" s="322"/>
      <c r="AH69" s="322"/>
      <c r="AI69" s="322"/>
      <c r="AJ69" s="322"/>
    </row>
    <row r="70" spans="1:36" x14ac:dyDescent="0.65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  <c r="AA70" s="322"/>
      <c r="AB70" s="322"/>
      <c r="AC70" s="322"/>
      <c r="AD70" s="322"/>
      <c r="AE70" s="322"/>
      <c r="AF70" s="322"/>
      <c r="AG70" s="322"/>
      <c r="AH70" s="322"/>
      <c r="AI70" s="322"/>
      <c r="AJ70" s="322"/>
    </row>
    <row r="71" spans="1:36" x14ac:dyDescent="0.65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  <c r="AA71" s="322"/>
      <c r="AB71" s="322"/>
      <c r="AC71" s="322"/>
      <c r="AD71" s="322"/>
      <c r="AE71" s="322"/>
      <c r="AF71" s="322"/>
      <c r="AG71" s="322"/>
      <c r="AH71" s="322"/>
      <c r="AI71" s="322"/>
      <c r="AJ71" s="322"/>
    </row>
    <row r="72" spans="1:36" x14ac:dyDescent="0.65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  <c r="AA72" s="322"/>
      <c r="AB72" s="322"/>
      <c r="AC72" s="322"/>
      <c r="AD72" s="322"/>
      <c r="AE72" s="322"/>
      <c r="AF72" s="322"/>
      <c r="AG72" s="322"/>
      <c r="AH72" s="322"/>
      <c r="AI72" s="322"/>
      <c r="AJ72" s="322"/>
    </row>
    <row r="73" spans="1:36" x14ac:dyDescent="0.65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  <c r="AA73" s="322"/>
      <c r="AB73" s="322"/>
      <c r="AC73" s="322"/>
      <c r="AD73" s="322"/>
      <c r="AE73" s="322"/>
      <c r="AF73" s="322"/>
      <c r="AG73" s="322"/>
      <c r="AH73" s="322"/>
      <c r="AI73" s="322"/>
      <c r="AJ73" s="322"/>
    </row>
    <row r="74" spans="1:36" x14ac:dyDescent="0.65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  <c r="AA74" s="322"/>
      <c r="AB74" s="322"/>
      <c r="AC74" s="322"/>
      <c r="AD74" s="322"/>
      <c r="AE74" s="322"/>
      <c r="AF74" s="322"/>
      <c r="AG74" s="322"/>
      <c r="AH74" s="322"/>
      <c r="AI74" s="322"/>
      <c r="AJ74" s="322"/>
    </row>
    <row r="75" spans="1:36" x14ac:dyDescent="0.65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  <c r="AA75" s="322"/>
      <c r="AB75" s="322"/>
      <c r="AC75" s="322"/>
      <c r="AD75" s="322"/>
      <c r="AE75" s="322"/>
      <c r="AF75" s="322"/>
      <c r="AG75" s="322"/>
      <c r="AH75" s="322"/>
      <c r="AI75" s="322"/>
      <c r="AJ75" s="322"/>
    </row>
    <row r="76" spans="1:36" x14ac:dyDescent="0.65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  <c r="AA76" s="322"/>
      <c r="AB76" s="322"/>
      <c r="AC76" s="322"/>
      <c r="AD76" s="322"/>
      <c r="AE76" s="322"/>
      <c r="AF76" s="322"/>
      <c r="AG76" s="322"/>
      <c r="AH76" s="322"/>
      <c r="AI76" s="322"/>
      <c r="AJ76" s="322"/>
    </row>
    <row r="77" spans="1:36" x14ac:dyDescent="0.65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  <c r="AA77" s="322"/>
      <c r="AB77" s="322"/>
      <c r="AC77" s="322"/>
      <c r="AD77" s="322"/>
      <c r="AE77" s="322"/>
      <c r="AF77" s="322"/>
      <c r="AG77" s="322"/>
      <c r="AH77" s="322"/>
      <c r="AI77" s="322"/>
      <c r="AJ77" s="322"/>
    </row>
    <row r="78" spans="1:36" x14ac:dyDescent="0.65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  <c r="AA78" s="322"/>
      <c r="AB78" s="322"/>
      <c r="AC78" s="322"/>
      <c r="AD78" s="322"/>
      <c r="AE78" s="322"/>
      <c r="AF78" s="322"/>
      <c r="AG78" s="322"/>
      <c r="AH78" s="322"/>
      <c r="AI78" s="322"/>
      <c r="AJ78" s="322"/>
    </row>
    <row r="79" spans="1:36" x14ac:dyDescent="0.65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  <c r="AA79" s="322"/>
      <c r="AB79" s="322"/>
      <c r="AC79" s="322"/>
      <c r="AD79" s="322"/>
      <c r="AE79" s="322"/>
      <c r="AF79" s="322"/>
      <c r="AG79" s="322"/>
      <c r="AH79" s="322"/>
      <c r="AI79" s="322"/>
      <c r="AJ79" s="322"/>
    </row>
    <row r="80" spans="1:36" x14ac:dyDescent="0.65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  <c r="AA80" s="322"/>
      <c r="AB80" s="322"/>
      <c r="AC80" s="322"/>
      <c r="AD80" s="322"/>
      <c r="AE80" s="322"/>
      <c r="AF80" s="322"/>
      <c r="AG80" s="322"/>
      <c r="AH80" s="322"/>
      <c r="AI80" s="322"/>
      <c r="AJ80" s="322"/>
    </row>
    <row r="81" spans="1:36" x14ac:dyDescent="0.65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  <c r="AA81" s="322"/>
      <c r="AB81" s="322"/>
      <c r="AC81" s="322"/>
      <c r="AD81" s="322"/>
      <c r="AE81" s="322"/>
      <c r="AF81" s="322"/>
      <c r="AG81" s="322"/>
      <c r="AH81" s="322"/>
      <c r="AI81" s="322"/>
      <c r="AJ81" s="322"/>
    </row>
    <row r="82" spans="1:36" x14ac:dyDescent="0.65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  <c r="AA82" s="322"/>
      <c r="AB82" s="322"/>
      <c r="AC82" s="322"/>
      <c r="AD82" s="322"/>
      <c r="AE82" s="322"/>
      <c r="AF82" s="322"/>
      <c r="AG82" s="322"/>
      <c r="AH82" s="322"/>
      <c r="AI82" s="322"/>
      <c r="AJ82" s="322"/>
    </row>
    <row r="83" spans="1:36" x14ac:dyDescent="0.65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  <c r="AA83" s="322"/>
      <c r="AB83" s="322"/>
      <c r="AC83" s="322"/>
      <c r="AD83" s="322"/>
      <c r="AE83" s="322"/>
      <c r="AF83" s="322"/>
      <c r="AG83" s="322"/>
      <c r="AH83" s="322"/>
      <c r="AI83" s="322"/>
      <c r="AJ83" s="322"/>
    </row>
    <row r="84" spans="1:36" x14ac:dyDescent="0.65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  <c r="AA84" s="322"/>
      <c r="AB84" s="322"/>
      <c r="AC84" s="322"/>
      <c r="AD84" s="322"/>
      <c r="AE84" s="322"/>
      <c r="AF84" s="322"/>
      <c r="AG84" s="322"/>
      <c r="AH84" s="322"/>
      <c r="AI84" s="322"/>
      <c r="AJ84" s="322"/>
    </row>
    <row r="85" spans="1:36" x14ac:dyDescent="0.65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  <c r="AA85" s="322"/>
      <c r="AB85" s="322"/>
      <c r="AC85" s="322"/>
      <c r="AD85" s="322"/>
      <c r="AE85" s="322"/>
      <c r="AF85" s="322"/>
      <c r="AG85" s="322"/>
      <c r="AH85" s="322"/>
      <c r="AI85" s="322"/>
      <c r="AJ85" s="322"/>
    </row>
    <row r="86" spans="1:36" x14ac:dyDescent="0.65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  <c r="AA86" s="322"/>
      <c r="AB86" s="322"/>
      <c r="AC86" s="322"/>
      <c r="AD86" s="322"/>
      <c r="AE86" s="322"/>
      <c r="AF86" s="322"/>
      <c r="AG86" s="322"/>
      <c r="AH86" s="322"/>
      <c r="AI86" s="322"/>
      <c r="AJ86" s="322"/>
    </row>
    <row r="87" spans="1:36" x14ac:dyDescent="0.65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  <c r="AA87" s="322"/>
      <c r="AB87" s="322"/>
      <c r="AC87" s="322"/>
      <c r="AD87" s="322"/>
      <c r="AE87" s="322"/>
      <c r="AF87" s="322"/>
      <c r="AG87" s="322"/>
      <c r="AH87" s="322"/>
      <c r="AI87" s="322"/>
      <c r="AJ87" s="322"/>
    </row>
    <row r="88" spans="1:36" x14ac:dyDescent="0.65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  <c r="AA88" s="322"/>
      <c r="AB88" s="322"/>
      <c r="AC88" s="322"/>
      <c r="AD88" s="322"/>
      <c r="AE88" s="322"/>
      <c r="AF88" s="322"/>
      <c r="AG88" s="322"/>
      <c r="AH88" s="322"/>
      <c r="AI88" s="322"/>
      <c r="AJ88" s="322"/>
    </row>
    <row r="89" spans="1:36" x14ac:dyDescent="0.65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  <c r="AA89" s="322"/>
      <c r="AB89" s="322"/>
      <c r="AC89" s="322"/>
      <c r="AD89" s="322"/>
      <c r="AE89" s="322"/>
      <c r="AF89" s="322"/>
      <c r="AG89" s="322"/>
      <c r="AH89" s="322"/>
      <c r="AI89" s="322"/>
      <c r="AJ89" s="322"/>
    </row>
    <row r="90" spans="1:36" x14ac:dyDescent="0.65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  <c r="AA90" s="322"/>
      <c r="AB90" s="322"/>
      <c r="AC90" s="322"/>
      <c r="AD90" s="322"/>
      <c r="AE90" s="322"/>
      <c r="AF90" s="322"/>
      <c r="AG90" s="322"/>
      <c r="AH90" s="322"/>
      <c r="AI90" s="322"/>
      <c r="AJ90" s="322"/>
    </row>
    <row r="91" spans="1:36" x14ac:dyDescent="0.65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  <c r="AA91" s="322"/>
      <c r="AB91" s="322"/>
      <c r="AC91" s="322"/>
      <c r="AD91" s="322"/>
      <c r="AE91" s="322"/>
      <c r="AF91" s="322"/>
      <c r="AG91" s="322"/>
      <c r="AH91" s="322"/>
      <c r="AI91" s="322"/>
      <c r="AJ91" s="322"/>
    </row>
    <row r="92" spans="1:36" x14ac:dyDescent="0.65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  <c r="AA92" s="322"/>
      <c r="AB92" s="322"/>
      <c r="AC92" s="322"/>
      <c r="AD92" s="322"/>
      <c r="AE92" s="322"/>
      <c r="AF92" s="322"/>
      <c r="AG92" s="322"/>
      <c r="AH92" s="322"/>
      <c r="AI92" s="322"/>
      <c r="AJ92" s="322"/>
    </row>
    <row r="93" spans="1:36" x14ac:dyDescent="0.65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  <c r="AA93" s="322"/>
      <c r="AB93" s="322"/>
      <c r="AC93" s="322"/>
      <c r="AD93" s="322"/>
      <c r="AE93" s="322"/>
      <c r="AF93" s="322"/>
      <c r="AG93" s="322"/>
      <c r="AH93" s="322"/>
      <c r="AI93" s="322"/>
      <c r="AJ93" s="322"/>
    </row>
    <row r="94" spans="1:36" x14ac:dyDescent="0.65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  <c r="AA94" s="322"/>
      <c r="AB94" s="322"/>
      <c r="AC94" s="322"/>
      <c r="AD94" s="322"/>
      <c r="AE94" s="322"/>
      <c r="AF94" s="322"/>
      <c r="AG94" s="322"/>
      <c r="AH94" s="322"/>
      <c r="AI94" s="322"/>
      <c r="AJ94" s="322"/>
    </row>
    <row r="95" spans="1:36" x14ac:dyDescent="0.65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  <c r="AA95" s="322"/>
      <c r="AB95" s="322"/>
      <c r="AC95" s="322"/>
      <c r="AD95" s="322"/>
      <c r="AE95" s="322"/>
      <c r="AF95" s="322"/>
      <c r="AG95" s="322"/>
      <c r="AH95" s="322"/>
      <c r="AI95" s="322"/>
      <c r="AJ95" s="322"/>
    </row>
    <row r="96" spans="1:36" x14ac:dyDescent="0.65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  <c r="AA96" s="322"/>
      <c r="AB96" s="322"/>
      <c r="AC96" s="322"/>
      <c r="AD96" s="322"/>
      <c r="AE96" s="322"/>
      <c r="AF96" s="322"/>
      <c r="AG96" s="322"/>
      <c r="AH96" s="322"/>
      <c r="AI96" s="322"/>
      <c r="AJ96" s="322"/>
    </row>
    <row r="97" spans="1:36" x14ac:dyDescent="0.65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  <c r="AA97" s="322"/>
      <c r="AB97" s="322"/>
      <c r="AC97" s="322"/>
      <c r="AD97" s="322"/>
      <c r="AE97" s="322"/>
      <c r="AF97" s="322"/>
      <c r="AG97" s="322"/>
      <c r="AH97" s="322"/>
      <c r="AI97" s="322"/>
      <c r="AJ97" s="322"/>
    </row>
    <row r="98" spans="1:36" x14ac:dyDescent="0.65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  <c r="AA98" s="322"/>
      <c r="AB98" s="322"/>
      <c r="AC98" s="322"/>
      <c r="AD98" s="322"/>
      <c r="AE98" s="322"/>
      <c r="AF98" s="322"/>
      <c r="AG98" s="322"/>
      <c r="AH98" s="322"/>
      <c r="AI98" s="322"/>
      <c r="AJ98" s="322"/>
    </row>
    <row r="99" spans="1:36" x14ac:dyDescent="0.65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  <c r="AA99" s="322"/>
      <c r="AB99" s="322"/>
      <c r="AC99" s="322"/>
      <c r="AD99" s="322"/>
      <c r="AE99" s="322"/>
      <c r="AF99" s="322"/>
      <c r="AG99" s="322"/>
      <c r="AH99" s="322"/>
      <c r="AI99" s="322"/>
      <c r="AJ99" s="322"/>
    </row>
    <row r="100" spans="1:36" x14ac:dyDescent="0.65">
      <c r="A100" s="322"/>
      <c r="B100" s="322"/>
      <c r="C100" s="322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  <c r="AA100" s="322"/>
      <c r="AB100" s="322"/>
      <c r="AC100" s="322"/>
      <c r="AD100" s="322"/>
      <c r="AE100" s="322"/>
      <c r="AF100" s="322"/>
      <c r="AG100" s="322"/>
      <c r="AH100" s="322"/>
      <c r="AI100" s="322"/>
      <c r="AJ100" s="322"/>
    </row>
    <row r="101" spans="1:36" x14ac:dyDescent="0.65">
      <c r="A101" s="322"/>
      <c r="B101" s="322"/>
      <c r="C101" s="322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  <c r="AA101" s="322"/>
      <c r="AB101" s="322"/>
      <c r="AC101" s="322"/>
      <c r="AD101" s="322"/>
      <c r="AE101" s="322"/>
      <c r="AF101" s="322"/>
      <c r="AG101" s="322"/>
      <c r="AH101" s="322"/>
      <c r="AI101" s="322"/>
      <c r="AJ101" s="322"/>
    </row>
    <row r="102" spans="1:36" x14ac:dyDescent="0.65">
      <c r="A102" s="322"/>
      <c r="B102" s="322"/>
      <c r="C102" s="322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  <c r="AA102" s="322"/>
      <c r="AB102" s="322"/>
      <c r="AC102" s="322"/>
      <c r="AD102" s="322"/>
      <c r="AE102" s="322"/>
      <c r="AF102" s="322"/>
      <c r="AG102" s="322"/>
      <c r="AH102" s="322"/>
      <c r="AI102" s="322"/>
      <c r="AJ102" s="322"/>
    </row>
    <row r="103" spans="1:36" x14ac:dyDescent="0.65">
      <c r="A103" s="322"/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  <c r="AA103" s="322"/>
      <c r="AB103" s="322"/>
      <c r="AC103" s="322"/>
      <c r="AD103" s="322"/>
      <c r="AE103" s="322"/>
      <c r="AF103" s="322"/>
      <c r="AG103" s="322"/>
      <c r="AH103" s="322"/>
      <c r="AI103" s="322"/>
      <c r="AJ103" s="322"/>
    </row>
    <row r="104" spans="1:36" x14ac:dyDescent="0.65">
      <c r="A104" s="322"/>
      <c r="B104" s="322"/>
      <c r="C104" s="322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  <c r="AA104" s="322"/>
      <c r="AB104" s="322"/>
      <c r="AC104" s="322"/>
      <c r="AD104" s="322"/>
      <c r="AE104" s="322"/>
      <c r="AF104" s="322"/>
      <c r="AG104" s="322"/>
      <c r="AH104" s="322"/>
      <c r="AI104" s="322"/>
      <c r="AJ104" s="322"/>
    </row>
    <row r="105" spans="1:36" x14ac:dyDescent="0.65">
      <c r="A105" s="322"/>
      <c r="B105" s="322"/>
      <c r="C105" s="322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  <c r="AA105" s="322"/>
      <c r="AB105" s="322"/>
      <c r="AC105" s="322"/>
      <c r="AD105" s="322"/>
      <c r="AE105" s="322"/>
      <c r="AF105" s="322"/>
      <c r="AG105" s="322"/>
      <c r="AH105" s="322"/>
      <c r="AI105" s="322"/>
      <c r="AJ105" s="322"/>
    </row>
    <row r="106" spans="1:36" x14ac:dyDescent="0.65">
      <c r="A106" s="322"/>
      <c r="B106" s="322"/>
      <c r="C106" s="322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  <c r="AA106" s="322"/>
      <c r="AB106" s="322"/>
      <c r="AC106" s="322"/>
      <c r="AD106" s="322"/>
      <c r="AE106" s="322"/>
      <c r="AF106" s="322"/>
      <c r="AG106" s="322"/>
      <c r="AH106" s="322"/>
      <c r="AI106" s="322"/>
      <c r="AJ106" s="322"/>
    </row>
    <row r="107" spans="1:36" x14ac:dyDescent="0.65">
      <c r="A107" s="322"/>
      <c r="B107" s="322"/>
      <c r="C107" s="322"/>
      <c r="D107" s="322"/>
      <c r="E107" s="322"/>
      <c r="F107" s="322"/>
      <c r="G107" s="322"/>
      <c r="H107" s="322"/>
      <c r="I107" s="322"/>
      <c r="J107" s="322"/>
      <c r="K107" s="322"/>
      <c r="L107" s="322"/>
      <c r="M107" s="322"/>
      <c r="N107" s="322"/>
      <c r="O107" s="322"/>
      <c r="P107" s="322"/>
      <c r="Q107" s="322"/>
      <c r="R107" s="322"/>
      <c r="S107" s="322"/>
      <c r="T107" s="322"/>
      <c r="U107" s="322"/>
      <c r="V107" s="322"/>
      <c r="W107" s="322"/>
      <c r="X107" s="322"/>
      <c r="Y107" s="322"/>
      <c r="Z107" s="322"/>
      <c r="AA107" s="322"/>
      <c r="AB107" s="322"/>
      <c r="AC107" s="322"/>
      <c r="AD107" s="322"/>
      <c r="AE107" s="322"/>
      <c r="AF107" s="322"/>
      <c r="AG107" s="322"/>
      <c r="AH107" s="322"/>
      <c r="AI107" s="322"/>
      <c r="AJ107" s="322"/>
    </row>
    <row r="108" spans="1:36" x14ac:dyDescent="0.65">
      <c r="A108" s="322"/>
      <c r="B108" s="322"/>
      <c r="C108" s="322"/>
      <c r="D108" s="322"/>
      <c r="E108" s="322"/>
      <c r="F108" s="322"/>
      <c r="G108" s="322"/>
      <c r="H108" s="322"/>
      <c r="I108" s="322"/>
      <c r="J108" s="322"/>
      <c r="K108" s="322"/>
      <c r="L108" s="322"/>
      <c r="M108" s="322"/>
      <c r="N108" s="322"/>
      <c r="O108" s="322"/>
      <c r="P108" s="322"/>
      <c r="Q108" s="322"/>
      <c r="R108" s="322"/>
      <c r="S108" s="322"/>
      <c r="T108" s="322"/>
      <c r="U108" s="322"/>
      <c r="V108" s="322"/>
      <c r="W108" s="322"/>
      <c r="X108" s="322"/>
      <c r="Y108" s="322"/>
      <c r="Z108" s="322"/>
      <c r="AA108" s="322"/>
      <c r="AB108" s="322"/>
      <c r="AC108" s="322"/>
      <c r="AD108" s="322"/>
      <c r="AE108" s="322"/>
      <c r="AF108" s="322"/>
      <c r="AG108" s="322"/>
      <c r="AH108" s="322"/>
      <c r="AI108" s="322"/>
      <c r="AJ108" s="322"/>
    </row>
    <row r="109" spans="1:36" x14ac:dyDescent="0.65">
      <c r="A109" s="322"/>
      <c r="B109" s="322"/>
      <c r="C109" s="322"/>
      <c r="D109" s="322"/>
      <c r="E109" s="322"/>
      <c r="F109" s="322"/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22"/>
      <c r="Y109" s="322"/>
      <c r="Z109" s="322"/>
      <c r="AA109" s="322"/>
      <c r="AB109" s="322"/>
      <c r="AC109" s="322"/>
      <c r="AD109" s="322"/>
      <c r="AE109" s="322"/>
      <c r="AF109" s="322"/>
      <c r="AG109" s="322"/>
      <c r="AH109" s="322"/>
      <c r="AI109" s="322"/>
      <c r="AJ109" s="322"/>
    </row>
    <row r="110" spans="1:36" x14ac:dyDescent="0.65">
      <c r="A110" s="322"/>
      <c r="B110" s="322"/>
      <c r="C110" s="322"/>
      <c r="D110" s="322"/>
      <c r="E110" s="322"/>
      <c r="F110" s="322"/>
      <c r="G110" s="322"/>
      <c r="H110" s="322"/>
      <c r="I110" s="322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  <c r="AA110" s="322"/>
      <c r="AB110" s="322"/>
      <c r="AC110" s="322"/>
      <c r="AD110" s="322"/>
      <c r="AE110" s="322"/>
      <c r="AF110" s="322"/>
      <c r="AG110" s="322"/>
      <c r="AH110" s="322"/>
      <c r="AI110" s="322"/>
      <c r="AJ110" s="322"/>
    </row>
    <row r="111" spans="1:36" x14ac:dyDescent="0.65">
      <c r="A111" s="322"/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22"/>
      <c r="W111" s="322"/>
      <c r="X111" s="322"/>
      <c r="Y111" s="322"/>
      <c r="Z111" s="322"/>
      <c r="AA111" s="322"/>
      <c r="AB111" s="322"/>
      <c r="AC111" s="322"/>
      <c r="AD111" s="322"/>
      <c r="AE111" s="322"/>
      <c r="AF111" s="322"/>
      <c r="AG111" s="322"/>
      <c r="AH111" s="322"/>
      <c r="AI111" s="322"/>
      <c r="AJ111" s="322"/>
    </row>
    <row r="112" spans="1:36" x14ac:dyDescent="0.65">
      <c r="A112" s="322"/>
      <c r="B112" s="322"/>
      <c r="C112" s="322"/>
      <c r="D112" s="322"/>
      <c r="E112" s="322"/>
      <c r="F112" s="322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22"/>
      <c r="W112" s="322"/>
      <c r="X112" s="322"/>
      <c r="Y112" s="322"/>
      <c r="Z112" s="322"/>
      <c r="AA112" s="322"/>
      <c r="AB112" s="322"/>
      <c r="AC112" s="322"/>
      <c r="AD112" s="322"/>
      <c r="AE112" s="322"/>
      <c r="AF112" s="322"/>
      <c r="AG112" s="322"/>
      <c r="AH112" s="322"/>
      <c r="AI112" s="322"/>
      <c r="AJ112" s="322"/>
    </row>
    <row r="113" spans="1:36" x14ac:dyDescent="0.65">
      <c r="A113" s="322"/>
      <c r="B113" s="322"/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322"/>
      <c r="Y113" s="322"/>
      <c r="Z113" s="322"/>
      <c r="AA113" s="322"/>
      <c r="AB113" s="322"/>
      <c r="AC113" s="322"/>
      <c r="AD113" s="322"/>
      <c r="AE113" s="322"/>
      <c r="AF113" s="322"/>
      <c r="AG113" s="322"/>
      <c r="AH113" s="322"/>
      <c r="AI113" s="322"/>
      <c r="AJ113" s="322"/>
    </row>
    <row r="114" spans="1:36" x14ac:dyDescent="0.65">
      <c r="A114" s="322"/>
      <c r="B114" s="322"/>
      <c r="C114" s="322"/>
      <c r="D114" s="322"/>
      <c r="E114" s="322"/>
      <c r="F114" s="322"/>
      <c r="G114" s="322"/>
      <c r="H114" s="322"/>
      <c r="I114" s="322"/>
      <c r="J114" s="322"/>
      <c r="K114" s="322"/>
      <c r="L114" s="322"/>
      <c r="M114" s="322"/>
      <c r="N114" s="322"/>
      <c r="O114" s="322"/>
      <c r="P114" s="322"/>
      <c r="Q114" s="322"/>
      <c r="R114" s="322"/>
      <c r="S114" s="322"/>
      <c r="T114" s="322"/>
      <c r="U114" s="322"/>
      <c r="V114" s="322"/>
      <c r="W114" s="322"/>
      <c r="X114" s="322"/>
      <c r="Y114" s="322"/>
      <c r="Z114" s="322"/>
      <c r="AA114" s="322"/>
      <c r="AB114" s="322"/>
      <c r="AC114" s="322"/>
      <c r="AD114" s="322"/>
      <c r="AE114" s="322"/>
      <c r="AF114" s="322"/>
      <c r="AG114" s="322"/>
      <c r="AH114" s="322"/>
      <c r="AI114" s="322"/>
      <c r="AJ114" s="322"/>
    </row>
    <row r="115" spans="1:36" x14ac:dyDescent="0.65">
      <c r="A115" s="322"/>
      <c r="B115" s="322"/>
      <c r="C115" s="322"/>
      <c r="D115" s="322"/>
      <c r="E115" s="322"/>
      <c r="F115" s="322"/>
      <c r="G115" s="322"/>
      <c r="H115" s="322"/>
      <c r="I115" s="322"/>
      <c r="J115" s="322"/>
      <c r="K115" s="322"/>
      <c r="L115" s="322"/>
      <c r="M115" s="322"/>
      <c r="N115" s="322"/>
      <c r="O115" s="322"/>
      <c r="P115" s="322"/>
      <c r="Q115" s="322"/>
      <c r="R115" s="322"/>
      <c r="S115" s="322"/>
      <c r="T115" s="322"/>
      <c r="U115" s="322"/>
      <c r="V115" s="322"/>
      <c r="W115" s="322"/>
      <c r="X115" s="322"/>
      <c r="Y115" s="322"/>
      <c r="Z115" s="322"/>
      <c r="AA115" s="322"/>
      <c r="AB115" s="322"/>
      <c r="AC115" s="322"/>
      <c r="AD115" s="322"/>
      <c r="AE115" s="322"/>
      <c r="AF115" s="322"/>
      <c r="AG115" s="322"/>
      <c r="AH115" s="322"/>
      <c r="AI115" s="322"/>
      <c r="AJ115" s="322"/>
    </row>
    <row r="116" spans="1:36" x14ac:dyDescent="0.65">
      <c r="A116" s="322"/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2"/>
      <c r="M116" s="322"/>
      <c r="N116" s="322"/>
      <c r="O116" s="322"/>
      <c r="P116" s="322"/>
      <c r="Q116" s="322"/>
      <c r="R116" s="322"/>
      <c r="S116" s="322"/>
      <c r="T116" s="322"/>
      <c r="U116" s="322"/>
      <c r="V116" s="322"/>
      <c r="W116" s="322"/>
      <c r="X116" s="322"/>
      <c r="Y116" s="322"/>
      <c r="Z116" s="322"/>
      <c r="AA116" s="322"/>
      <c r="AB116" s="322"/>
      <c r="AC116" s="322"/>
      <c r="AD116" s="322"/>
      <c r="AE116" s="322"/>
      <c r="AF116" s="322"/>
      <c r="AG116" s="322"/>
      <c r="AH116" s="322"/>
      <c r="AI116" s="322"/>
      <c r="AJ116" s="322"/>
    </row>
    <row r="117" spans="1:36" x14ac:dyDescent="0.65">
      <c r="A117" s="322"/>
      <c r="B117" s="322"/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  <c r="AA117" s="322"/>
      <c r="AB117" s="322"/>
      <c r="AC117" s="322"/>
      <c r="AD117" s="322"/>
      <c r="AE117" s="322"/>
      <c r="AF117" s="322"/>
      <c r="AG117" s="322"/>
      <c r="AH117" s="322"/>
      <c r="AI117" s="322"/>
      <c r="AJ117" s="322"/>
    </row>
    <row r="118" spans="1:36" x14ac:dyDescent="0.65">
      <c r="A118" s="322"/>
      <c r="B118" s="322"/>
      <c r="C118" s="322"/>
      <c r="D118" s="322"/>
      <c r="E118" s="322"/>
      <c r="F118" s="322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22"/>
      <c r="Y118" s="322"/>
      <c r="Z118" s="322"/>
      <c r="AA118" s="322"/>
      <c r="AB118" s="322"/>
      <c r="AC118" s="322"/>
      <c r="AD118" s="322"/>
      <c r="AE118" s="322"/>
      <c r="AF118" s="322"/>
      <c r="AG118" s="322"/>
      <c r="AH118" s="322"/>
      <c r="AI118" s="322"/>
      <c r="AJ118" s="322"/>
    </row>
    <row r="119" spans="1:36" x14ac:dyDescent="0.65">
      <c r="A119" s="322"/>
      <c r="B119" s="322"/>
      <c r="C119" s="322"/>
      <c r="D119" s="322"/>
      <c r="E119" s="322"/>
      <c r="F119" s="322"/>
      <c r="G119" s="322"/>
      <c r="H119" s="322"/>
      <c r="I119" s="322"/>
      <c r="J119" s="322"/>
      <c r="K119" s="322"/>
      <c r="L119" s="322"/>
      <c r="M119" s="322"/>
      <c r="N119" s="322"/>
      <c r="O119" s="322"/>
      <c r="P119" s="322"/>
      <c r="Q119" s="322"/>
      <c r="R119" s="322"/>
      <c r="S119" s="322"/>
      <c r="T119" s="322"/>
      <c r="U119" s="322"/>
      <c r="V119" s="322"/>
      <c r="W119" s="322"/>
      <c r="X119" s="322"/>
      <c r="Y119" s="322"/>
      <c r="Z119" s="322"/>
      <c r="AA119" s="322"/>
      <c r="AB119" s="322"/>
      <c r="AC119" s="322"/>
      <c r="AD119" s="322"/>
      <c r="AE119" s="322"/>
      <c r="AF119" s="322"/>
      <c r="AG119" s="322"/>
      <c r="AH119" s="322"/>
      <c r="AI119" s="322"/>
      <c r="AJ119" s="322"/>
    </row>
    <row r="120" spans="1:36" x14ac:dyDescent="0.65">
      <c r="A120" s="322"/>
      <c r="B120" s="322"/>
      <c r="C120" s="322"/>
      <c r="D120" s="322"/>
      <c r="E120" s="322"/>
      <c r="F120" s="322"/>
      <c r="G120" s="322"/>
      <c r="H120" s="322"/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  <c r="AA120" s="322"/>
      <c r="AB120" s="322"/>
      <c r="AC120" s="322"/>
      <c r="AD120" s="322"/>
      <c r="AE120" s="322"/>
      <c r="AF120" s="322"/>
      <c r="AG120" s="322"/>
      <c r="AH120" s="322"/>
      <c r="AI120" s="322"/>
      <c r="AJ120" s="322"/>
    </row>
    <row r="121" spans="1:36" x14ac:dyDescent="0.65">
      <c r="A121" s="322"/>
      <c r="B121" s="322"/>
      <c r="C121" s="322"/>
      <c r="D121" s="322"/>
      <c r="E121" s="322"/>
      <c r="F121" s="322"/>
      <c r="G121" s="322"/>
      <c r="H121" s="322"/>
      <c r="I121" s="322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322"/>
      <c r="Y121" s="322"/>
      <c r="Z121" s="322"/>
      <c r="AA121" s="322"/>
      <c r="AB121" s="322"/>
      <c r="AC121" s="322"/>
      <c r="AD121" s="322"/>
      <c r="AE121" s="322"/>
      <c r="AF121" s="322"/>
      <c r="AG121" s="322"/>
      <c r="AH121" s="322"/>
      <c r="AI121" s="322"/>
      <c r="AJ121" s="322"/>
    </row>
    <row r="122" spans="1:36" x14ac:dyDescent="0.65">
      <c r="A122" s="322"/>
      <c r="B122" s="322"/>
      <c r="C122" s="322"/>
      <c r="D122" s="322"/>
      <c r="E122" s="322"/>
      <c r="F122" s="322"/>
      <c r="G122" s="322"/>
      <c r="H122" s="322"/>
      <c r="I122" s="322"/>
      <c r="J122" s="322"/>
      <c r="K122" s="322"/>
      <c r="L122" s="322"/>
      <c r="M122" s="322"/>
      <c r="N122" s="322"/>
      <c r="O122" s="322"/>
      <c r="P122" s="322"/>
      <c r="Q122" s="322"/>
      <c r="R122" s="322"/>
      <c r="S122" s="322"/>
      <c r="T122" s="322"/>
      <c r="U122" s="322"/>
      <c r="V122" s="322"/>
      <c r="W122" s="322"/>
      <c r="X122" s="322"/>
      <c r="Y122" s="322"/>
      <c r="Z122" s="322"/>
      <c r="AA122" s="322"/>
      <c r="AB122" s="322"/>
      <c r="AC122" s="322"/>
      <c r="AD122" s="322"/>
      <c r="AE122" s="322"/>
      <c r="AF122" s="322"/>
      <c r="AG122" s="322"/>
      <c r="AH122" s="322"/>
      <c r="AI122" s="322"/>
      <c r="AJ122" s="322"/>
    </row>
    <row r="123" spans="1:36" x14ac:dyDescent="0.65">
      <c r="A123" s="322"/>
      <c r="B123" s="322"/>
      <c r="C123" s="322"/>
      <c r="D123" s="322"/>
      <c r="E123" s="322"/>
      <c r="F123" s="322"/>
      <c r="G123" s="322"/>
      <c r="H123" s="322"/>
      <c r="I123" s="322"/>
      <c r="J123" s="322"/>
      <c r="K123" s="322"/>
      <c r="L123" s="322"/>
      <c r="M123" s="322"/>
      <c r="N123" s="322"/>
      <c r="O123" s="322"/>
      <c r="P123" s="322"/>
      <c r="Q123" s="322"/>
      <c r="R123" s="322"/>
      <c r="S123" s="322"/>
      <c r="T123" s="322"/>
      <c r="U123" s="322"/>
      <c r="V123" s="322"/>
      <c r="W123" s="322"/>
      <c r="X123" s="322"/>
      <c r="Y123" s="322"/>
      <c r="Z123" s="322"/>
      <c r="AA123" s="322"/>
      <c r="AB123" s="322"/>
      <c r="AC123" s="322"/>
      <c r="AD123" s="322"/>
      <c r="AE123" s="322"/>
      <c r="AF123" s="322"/>
      <c r="AG123" s="322"/>
      <c r="AH123" s="322"/>
      <c r="AI123" s="322"/>
      <c r="AJ123" s="322"/>
    </row>
    <row r="124" spans="1:36" x14ac:dyDescent="0.65">
      <c r="A124" s="322"/>
      <c r="B124" s="322"/>
      <c r="C124" s="322"/>
      <c r="D124" s="322"/>
      <c r="E124" s="322"/>
      <c r="F124" s="322"/>
      <c r="G124" s="322"/>
      <c r="H124" s="322"/>
      <c r="I124" s="322"/>
      <c r="J124" s="322"/>
      <c r="K124" s="322"/>
      <c r="L124" s="322"/>
      <c r="M124" s="322"/>
      <c r="N124" s="322"/>
      <c r="O124" s="322"/>
      <c r="P124" s="322"/>
      <c r="Q124" s="322"/>
      <c r="R124" s="322"/>
      <c r="S124" s="322"/>
      <c r="T124" s="322"/>
      <c r="U124" s="322"/>
      <c r="V124" s="322"/>
      <c r="W124" s="322"/>
      <c r="X124" s="322"/>
      <c r="Y124" s="322"/>
      <c r="Z124" s="322"/>
      <c r="AA124" s="322"/>
      <c r="AB124" s="322"/>
      <c r="AC124" s="322"/>
      <c r="AD124" s="322"/>
      <c r="AE124" s="322"/>
      <c r="AF124" s="322"/>
      <c r="AG124" s="322"/>
      <c r="AH124" s="322"/>
      <c r="AI124" s="322"/>
      <c r="AJ124" s="322"/>
    </row>
    <row r="125" spans="1:36" x14ac:dyDescent="0.65">
      <c r="A125" s="322"/>
      <c r="B125" s="322"/>
      <c r="C125" s="322"/>
      <c r="D125" s="322"/>
      <c r="E125" s="322"/>
      <c r="F125" s="322"/>
      <c r="G125" s="322"/>
      <c r="H125" s="322"/>
      <c r="I125" s="322"/>
      <c r="J125" s="322"/>
      <c r="K125" s="322"/>
      <c r="L125" s="322"/>
      <c r="M125" s="322"/>
      <c r="N125" s="322"/>
      <c r="O125" s="322"/>
      <c r="P125" s="322"/>
      <c r="Q125" s="322"/>
      <c r="R125" s="322"/>
      <c r="S125" s="322"/>
      <c r="T125" s="322"/>
      <c r="U125" s="322"/>
      <c r="V125" s="322"/>
      <c r="W125" s="322"/>
      <c r="X125" s="322"/>
      <c r="Y125" s="322"/>
      <c r="Z125" s="322"/>
      <c r="AA125" s="322"/>
      <c r="AB125" s="322"/>
      <c r="AC125" s="322"/>
      <c r="AD125" s="322"/>
      <c r="AE125" s="322"/>
      <c r="AF125" s="322"/>
      <c r="AG125" s="322"/>
      <c r="AH125" s="322"/>
      <c r="AI125" s="322"/>
      <c r="AJ125" s="322"/>
    </row>
    <row r="126" spans="1:36" x14ac:dyDescent="0.65">
      <c r="A126" s="322"/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322"/>
      <c r="Y126" s="322"/>
      <c r="Z126" s="322"/>
      <c r="AA126" s="322"/>
      <c r="AB126" s="322"/>
      <c r="AC126" s="322"/>
      <c r="AD126" s="322"/>
      <c r="AE126" s="322"/>
      <c r="AF126" s="322"/>
      <c r="AG126" s="322"/>
      <c r="AH126" s="322"/>
      <c r="AI126" s="322"/>
      <c r="AJ126" s="322"/>
    </row>
    <row r="127" spans="1:36" x14ac:dyDescent="0.65">
      <c r="A127" s="322"/>
      <c r="B127" s="322"/>
      <c r="C127" s="322"/>
      <c r="D127" s="322"/>
      <c r="E127" s="322"/>
      <c r="F127" s="322"/>
      <c r="G127" s="322"/>
      <c r="H127" s="322"/>
      <c r="I127" s="322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22"/>
      <c r="Y127" s="322"/>
      <c r="Z127" s="322"/>
      <c r="AA127" s="322"/>
      <c r="AB127" s="322"/>
      <c r="AC127" s="322"/>
      <c r="AD127" s="322"/>
      <c r="AE127" s="322"/>
      <c r="AF127" s="322"/>
      <c r="AG127" s="322"/>
      <c r="AH127" s="322"/>
      <c r="AI127" s="322"/>
      <c r="AJ127" s="322"/>
    </row>
    <row r="128" spans="1:36" x14ac:dyDescent="0.65">
      <c r="A128" s="322"/>
      <c r="B128" s="322"/>
      <c r="C128" s="322"/>
      <c r="D128" s="322"/>
      <c r="E128" s="322"/>
      <c r="F128" s="322"/>
      <c r="G128" s="322"/>
      <c r="H128" s="322"/>
      <c r="I128" s="322"/>
      <c r="J128" s="322"/>
      <c r="K128" s="322"/>
      <c r="L128" s="322"/>
      <c r="M128" s="322"/>
      <c r="N128" s="322"/>
      <c r="O128" s="322"/>
      <c r="P128" s="322"/>
      <c r="Q128" s="322"/>
      <c r="R128" s="322"/>
      <c r="S128" s="322"/>
      <c r="T128" s="322"/>
      <c r="U128" s="322"/>
      <c r="V128" s="322"/>
      <c r="W128" s="322"/>
      <c r="X128" s="322"/>
      <c r="Y128" s="322"/>
      <c r="Z128" s="322"/>
      <c r="AA128" s="322"/>
      <c r="AB128" s="322"/>
      <c r="AC128" s="322"/>
      <c r="AD128" s="322"/>
      <c r="AE128" s="322"/>
      <c r="AF128" s="322"/>
      <c r="AG128" s="322"/>
      <c r="AH128" s="322"/>
      <c r="AI128" s="322"/>
      <c r="AJ128" s="322"/>
    </row>
    <row r="129" spans="1:36" x14ac:dyDescent="0.65">
      <c r="A129" s="322"/>
      <c r="B129" s="322"/>
      <c r="C129" s="322"/>
      <c r="D129" s="322"/>
      <c r="E129" s="322"/>
      <c r="F129" s="322"/>
      <c r="G129" s="322"/>
      <c r="H129" s="322"/>
      <c r="I129" s="322"/>
      <c r="J129" s="322"/>
      <c r="K129" s="322"/>
      <c r="L129" s="322"/>
      <c r="M129" s="322"/>
      <c r="N129" s="322"/>
      <c r="O129" s="322"/>
      <c r="P129" s="322"/>
      <c r="Q129" s="322"/>
      <c r="R129" s="322"/>
      <c r="S129" s="322"/>
      <c r="T129" s="322"/>
      <c r="U129" s="322"/>
      <c r="V129" s="322"/>
      <c r="W129" s="322"/>
      <c r="X129" s="322"/>
      <c r="Y129" s="322"/>
      <c r="Z129" s="322"/>
      <c r="AA129" s="322"/>
      <c r="AB129" s="322"/>
      <c r="AC129" s="322"/>
      <c r="AD129" s="322"/>
      <c r="AE129" s="322"/>
      <c r="AF129" s="322"/>
      <c r="AG129" s="322"/>
      <c r="AH129" s="322"/>
      <c r="AI129" s="322"/>
      <c r="AJ129" s="322"/>
    </row>
    <row r="130" spans="1:36" x14ac:dyDescent="0.65">
      <c r="A130" s="322"/>
      <c r="B130" s="322"/>
      <c r="C130" s="322"/>
      <c r="D130" s="322"/>
      <c r="E130" s="322"/>
      <c r="F130" s="322"/>
      <c r="G130" s="322"/>
      <c r="H130" s="322"/>
      <c r="I130" s="322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322"/>
      <c r="Y130" s="322"/>
      <c r="Z130" s="322"/>
      <c r="AA130" s="322"/>
      <c r="AB130" s="322"/>
      <c r="AC130" s="322"/>
      <c r="AD130" s="322"/>
      <c r="AE130" s="322"/>
      <c r="AF130" s="322"/>
      <c r="AG130" s="322"/>
      <c r="AH130" s="322"/>
      <c r="AI130" s="322"/>
      <c r="AJ130" s="322"/>
    </row>
    <row r="131" spans="1:36" x14ac:dyDescent="0.65">
      <c r="A131" s="322"/>
      <c r="B131" s="322"/>
      <c r="C131" s="322"/>
      <c r="D131" s="322"/>
      <c r="E131" s="322"/>
      <c r="F131" s="322"/>
      <c r="G131" s="322"/>
      <c r="H131" s="322"/>
      <c r="I131" s="322"/>
      <c r="J131" s="322"/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  <c r="AA131" s="322"/>
      <c r="AB131" s="322"/>
      <c r="AC131" s="322"/>
      <c r="AD131" s="322"/>
      <c r="AE131" s="322"/>
      <c r="AF131" s="322"/>
      <c r="AG131" s="322"/>
      <c r="AH131" s="322"/>
      <c r="AI131" s="322"/>
      <c r="AJ131" s="322"/>
    </row>
    <row r="132" spans="1:36" x14ac:dyDescent="0.65">
      <c r="A132" s="322"/>
      <c r="B132" s="322"/>
      <c r="C132" s="322"/>
      <c r="D132" s="322"/>
      <c r="E132" s="322"/>
      <c r="F132" s="322"/>
      <c r="G132" s="322"/>
      <c r="H132" s="322"/>
      <c r="I132" s="322"/>
      <c r="J132" s="322"/>
      <c r="K132" s="322"/>
      <c r="L132" s="322"/>
      <c r="M132" s="322"/>
      <c r="N132" s="322"/>
      <c r="O132" s="322"/>
      <c r="P132" s="322"/>
      <c r="Q132" s="322"/>
      <c r="R132" s="322"/>
      <c r="S132" s="322"/>
      <c r="T132" s="322"/>
      <c r="U132" s="322"/>
      <c r="V132" s="322"/>
      <c r="W132" s="322"/>
      <c r="X132" s="322"/>
      <c r="Y132" s="322"/>
      <c r="Z132" s="322"/>
      <c r="AA132" s="322"/>
      <c r="AB132" s="322"/>
      <c r="AC132" s="322"/>
      <c r="AD132" s="322"/>
      <c r="AE132" s="322"/>
      <c r="AF132" s="322"/>
      <c r="AG132" s="322"/>
      <c r="AH132" s="322"/>
      <c r="AI132" s="322"/>
      <c r="AJ132" s="322"/>
    </row>
    <row r="133" spans="1:36" x14ac:dyDescent="0.65">
      <c r="A133" s="322"/>
      <c r="B133" s="322"/>
      <c r="C133" s="322"/>
      <c r="D133" s="322"/>
      <c r="E133" s="322"/>
      <c r="F133" s="322"/>
      <c r="G133" s="322"/>
      <c r="H133" s="322"/>
      <c r="I133" s="322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322"/>
      <c r="Y133" s="322"/>
      <c r="Z133" s="322"/>
      <c r="AA133" s="322"/>
      <c r="AB133" s="322"/>
      <c r="AC133" s="322"/>
      <c r="AD133" s="322"/>
      <c r="AE133" s="322"/>
      <c r="AF133" s="322"/>
      <c r="AG133" s="322"/>
      <c r="AH133" s="322"/>
      <c r="AI133" s="322"/>
      <c r="AJ133" s="322"/>
    </row>
    <row r="134" spans="1:36" x14ac:dyDescent="0.65">
      <c r="A134" s="322"/>
      <c r="B134" s="322"/>
      <c r="C134" s="322"/>
      <c r="D134" s="322"/>
      <c r="E134" s="322"/>
      <c r="F134" s="322"/>
      <c r="G134" s="322"/>
      <c r="H134" s="322"/>
      <c r="I134" s="322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22"/>
      <c r="Y134" s="322"/>
      <c r="Z134" s="322"/>
      <c r="AA134" s="322"/>
      <c r="AB134" s="322"/>
      <c r="AC134" s="322"/>
      <c r="AD134" s="322"/>
      <c r="AE134" s="322"/>
      <c r="AF134" s="322"/>
      <c r="AG134" s="322"/>
      <c r="AH134" s="322"/>
      <c r="AI134" s="322"/>
      <c r="AJ134" s="322"/>
    </row>
    <row r="135" spans="1:36" x14ac:dyDescent="0.65">
      <c r="A135" s="322"/>
      <c r="B135" s="322"/>
      <c r="C135" s="322"/>
      <c r="D135" s="322"/>
      <c r="E135" s="3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  <c r="AA135" s="322"/>
      <c r="AB135" s="322"/>
      <c r="AC135" s="322"/>
      <c r="AD135" s="322"/>
      <c r="AE135" s="322"/>
      <c r="AF135" s="322"/>
      <c r="AG135" s="322"/>
      <c r="AH135" s="322"/>
      <c r="AI135" s="322"/>
      <c r="AJ135" s="322"/>
    </row>
    <row r="136" spans="1:36" x14ac:dyDescent="0.65">
      <c r="A136" s="322"/>
      <c r="B136" s="322"/>
      <c r="C136" s="322"/>
      <c r="D136" s="322"/>
      <c r="E136" s="322"/>
      <c r="F136" s="322"/>
      <c r="G136" s="322"/>
      <c r="H136" s="322"/>
      <c r="I136" s="322"/>
      <c r="J136" s="322"/>
      <c r="K136" s="322"/>
      <c r="L136" s="322"/>
      <c r="M136" s="322"/>
      <c r="N136" s="322"/>
      <c r="O136" s="322"/>
      <c r="P136" s="322"/>
      <c r="Q136" s="322"/>
      <c r="R136" s="322"/>
      <c r="S136" s="322"/>
      <c r="T136" s="322"/>
      <c r="U136" s="322"/>
      <c r="V136" s="322"/>
      <c r="W136" s="322"/>
      <c r="X136" s="322"/>
      <c r="Y136" s="322"/>
      <c r="Z136" s="322"/>
      <c r="AA136" s="322"/>
      <c r="AB136" s="322"/>
      <c r="AC136" s="322"/>
      <c r="AD136" s="322"/>
      <c r="AE136" s="322"/>
      <c r="AF136" s="322"/>
      <c r="AG136" s="322"/>
      <c r="AH136" s="322"/>
      <c r="AI136" s="322"/>
      <c r="AJ136" s="322"/>
    </row>
    <row r="137" spans="1:36" x14ac:dyDescent="0.65">
      <c r="A137" s="322"/>
      <c r="B137" s="322"/>
      <c r="C137" s="322"/>
      <c r="D137" s="322"/>
      <c r="E137" s="322"/>
      <c r="F137" s="322"/>
      <c r="G137" s="322"/>
      <c r="H137" s="322"/>
      <c r="I137" s="322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322"/>
      <c r="Y137" s="322"/>
      <c r="Z137" s="322"/>
      <c r="AA137" s="322"/>
      <c r="AB137" s="322"/>
      <c r="AC137" s="322"/>
      <c r="AD137" s="322"/>
      <c r="AE137" s="322"/>
      <c r="AF137" s="322"/>
      <c r="AG137" s="322"/>
      <c r="AH137" s="322"/>
      <c r="AI137" s="322"/>
      <c r="AJ137" s="322"/>
    </row>
    <row r="138" spans="1:36" x14ac:dyDescent="0.65">
      <c r="A138" s="322"/>
      <c r="B138" s="322"/>
      <c r="C138" s="322"/>
      <c r="D138" s="322"/>
      <c r="E138" s="322"/>
      <c r="F138" s="322"/>
      <c r="G138" s="322"/>
      <c r="H138" s="322"/>
      <c r="I138" s="322"/>
      <c r="J138" s="322"/>
      <c r="K138" s="322"/>
      <c r="L138" s="322"/>
      <c r="M138" s="322"/>
      <c r="N138" s="322"/>
      <c r="O138" s="322"/>
      <c r="P138" s="322"/>
      <c r="Q138" s="322"/>
      <c r="R138" s="322"/>
      <c r="S138" s="322"/>
      <c r="T138" s="322"/>
      <c r="U138" s="322"/>
      <c r="V138" s="322"/>
      <c r="W138" s="322"/>
      <c r="X138" s="322"/>
      <c r="Y138" s="322"/>
      <c r="Z138" s="322"/>
      <c r="AA138" s="322"/>
      <c r="AB138" s="322"/>
      <c r="AC138" s="322"/>
      <c r="AD138" s="322"/>
      <c r="AE138" s="322"/>
      <c r="AF138" s="322"/>
      <c r="AG138" s="322"/>
      <c r="AH138" s="322"/>
      <c r="AI138" s="322"/>
      <c r="AJ138" s="322"/>
    </row>
    <row r="139" spans="1:36" x14ac:dyDescent="0.65">
      <c r="A139" s="322"/>
      <c r="B139" s="322"/>
      <c r="C139" s="322"/>
      <c r="D139" s="322"/>
      <c r="E139" s="322"/>
      <c r="F139" s="322"/>
      <c r="G139" s="322"/>
      <c r="H139" s="322"/>
      <c r="I139" s="322"/>
      <c r="J139" s="322"/>
      <c r="K139" s="322"/>
      <c r="L139" s="322"/>
      <c r="M139" s="322"/>
      <c r="N139" s="322"/>
      <c r="O139" s="322"/>
      <c r="P139" s="322"/>
      <c r="Q139" s="322"/>
      <c r="R139" s="322"/>
      <c r="S139" s="322"/>
      <c r="T139" s="322"/>
      <c r="U139" s="322"/>
      <c r="V139" s="322"/>
      <c r="W139" s="322"/>
      <c r="X139" s="322"/>
      <c r="Y139" s="322"/>
      <c r="Z139" s="322"/>
      <c r="AA139" s="322"/>
      <c r="AB139" s="322"/>
      <c r="AC139" s="322"/>
      <c r="AD139" s="322"/>
      <c r="AE139" s="322"/>
      <c r="AF139" s="322"/>
      <c r="AG139" s="322"/>
      <c r="AH139" s="322"/>
      <c r="AI139" s="322"/>
      <c r="AJ139" s="322"/>
    </row>
    <row r="140" spans="1:36" x14ac:dyDescent="0.65">
      <c r="A140" s="322"/>
      <c r="B140" s="322"/>
      <c r="C140" s="322"/>
      <c r="D140" s="322"/>
      <c r="E140" s="322"/>
      <c r="F140" s="322"/>
      <c r="G140" s="322"/>
      <c r="H140" s="322"/>
      <c r="I140" s="322"/>
      <c r="J140" s="322"/>
      <c r="K140" s="322"/>
      <c r="L140" s="322"/>
      <c r="M140" s="322"/>
      <c r="N140" s="322"/>
      <c r="O140" s="322"/>
      <c r="P140" s="322"/>
      <c r="Q140" s="322"/>
      <c r="R140" s="322"/>
      <c r="S140" s="322"/>
      <c r="T140" s="322"/>
      <c r="U140" s="322"/>
      <c r="V140" s="322"/>
      <c r="W140" s="322"/>
      <c r="X140" s="322"/>
      <c r="Y140" s="322"/>
      <c r="Z140" s="322"/>
      <c r="AA140" s="322"/>
      <c r="AB140" s="322"/>
      <c r="AC140" s="322"/>
      <c r="AD140" s="322"/>
      <c r="AE140" s="322"/>
      <c r="AF140" s="322"/>
      <c r="AG140" s="322"/>
      <c r="AH140" s="322"/>
      <c r="AI140" s="322"/>
      <c r="AJ140" s="322"/>
    </row>
    <row r="141" spans="1:36" x14ac:dyDescent="0.65">
      <c r="A141" s="322"/>
      <c r="B141" s="322"/>
      <c r="C141" s="322"/>
      <c r="D141" s="322"/>
      <c r="E141" s="322"/>
      <c r="F141" s="322"/>
      <c r="G141" s="322"/>
      <c r="H141" s="322"/>
      <c r="I141" s="322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  <c r="AA141" s="322"/>
      <c r="AB141" s="322"/>
      <c r="AC141" s="322"/>
      <c r="AD141" s="322"/>
      <c r="AE141" s="322"/>
      <c r="AF141" s="322"/>
      <c r="AG141" s="322"/>
      <c r="AH141" s="322"/>
      <c r="AI141" s="322"/>
      <c r="AJ141" s="322"/>
    </row>
    <row r="142" spans="1:36" x14ac:dyDescent="0.65">
      <c r="A142" s="322"/>
      <c r="B142" s="322"/>
      <c r="C142" s="322"/>
      <c r="D142" s="322"/>
      <c r="E142" s="322"/>
      <c r="F142" s="322"/>
      <c r="G142" s="322"/>
      <c r="H142" s="322"/>
      <c r="I142" s="322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322"/>
      <c r="Y142" s="322"/>
      <c r="Z142" s="322"/>
      <c r="AA142" s="322"/>
      <c r="AB142" s="322"/>
      <c r="AC142" s="322"/>
      <c r="AD142" s="322"/>
      <c r="AE142" s="322"/>
      <c r="AF142" s="322"/>
      <c r="AG142" s="322"/>
      <c r="AH142" s="322"/>
      <c r="AI142" s="322"/>
      <c r="AJ142" s="322"/>
    </row>
    <row r="143" spans="1:36" x14ac:dyDescent="0.65">
      <c r="A143" s="322"/>
      <c r="B143" s="322"/>
      <c r="C143" s="322"/>
      <c r="D143" s="322"/>
      <c r="E143" s="322"/>
      <c r="F143" s="322"/>
      <c r="G143" s="322"/>
      <c r="H143" s="322"/>
      <c r="I143" s="322"/>
      <c r="J143" s="322"/>
      <c r="K143" s="322"/>
      <c r="L143" s="322"/>
      <c r="M143" s="322"/>
      <c r="N143" s="322"/>
      <c r="O143" s="322"/>
      <c r="P143" s="322"/>
      <c r="Q143" s="322"/>
      <c r="R143" s="322"/>
      <c r="S143" s="322"/>
      <c r="T143" s="322"/>
      <c r="U143" s="322"/>
      <c r="V143" s="322"/>
      <c r="W143" s="322"/>
      <c r="X143" s="322"/>
      <c r="Y143" s="322"/>
      <c r="Z143" s="322"/>
      <c r="AA143" s="322"/>
      <c r="AB143" s="322"/>
      <c r="AC143" s="322"/>
      <c r="AD143" s="322"/>
      <c r="AE143" s="322"/>
      <c r="AF143" s="322"/>
      <c r="AG143" s="322"/>
      <c r="AH143" s="322"/>
      <c r="AI143" s="322"/>
      <c r="AJ143" s="322"/>
    </row>
    <row r="144" spans="1:36" x14ac:dyDescent="0.65">
      <c r="A144" s="322"/>
      <c r="B144" s="322"/>
      <c r="C144" s="322"/>
      <c r="D144" s="322"/>
      <c r="E144" s="322"/>
      <c r="F144" s="322"/>
      <c r="G144" s="322"/>
      <c r="H144" s="322"/>
      <c r="I144" s="322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  <c r="AA144" s="322"/>
      <c r="AB144" s="322"/>
      <c r="AC144" s="322"/>
      <c r="AD144" s="322"/>
      <c r="AE144" s="322"/>
      <c r="AF144" s="322"/>
      <c r="AG144" s="322"/>
      <c r="AH144" s="322"/>
      <c r="AI144" s="322"/>
      <c r="AJ144" s="322"/>
    </row>
    <row r="145" spans="1:36" x14ac:dyDescent="0.65">
      <c r="A145" s="322"/>
      <c r="B145" s="322"/>
      <c r="C145" s="322"/>
      <c r="D145" s="322"/>
      <c r="E145" s="322"/>
      <c r="F145" s="322"/>
      <c r="G145" s="322"/>
      <c r="H145" s="322"/>
      <c r="I145" s="322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322"/>
      <c r="Y145" s="322"/>
      <c r="Z145" s="322"/>
      <c r="AA145" s="322"/>
      <c r="AB145" s="322"/>
      <c r="AC145" s="322"/>
      <c r="AD145" s="322"/>
      <c r="AE145" s="322"/>
      <c r="AF145" s="322"/>
      <c r="AG145" s="322"/>
      <c r="AH145" s="322"/>
      <c r="AI145" s="322"/>
      <c r="AJ145" s="322"/>
    </row>
    <row r="146" spans="1:36" x14ac:dyDescent="0.65">
      <c r="A146" s="322"/>
      <c r="B146" s="322"/>
      <c r="C146" s="322"/>
      <c r="D146" s="322"/>
      <c r="E146" s="322"/>
      <c r="F146" s="322"/>
      <c r="G146" s="322"/>
      <c r="H146" s="322"/>
      <c r="I146" s="322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22"/>
      <c r="Y146" s="322"/>
      <c r="Z146" s="322"/>
      <c r="AA146" s="322"/>
      <c r="AB146" s="322"/>
      <c r="AC146" s="322"/>
      <c r="AD146" s="322"/>
      <c r="AE146" s="322"/>
      <c r="AF146" s="322"/>
      <c r="AG146" s="322"/>
      <c r="AH146" s="322"/>
      <c r="AI146" s="322"/>
      <c r="AJ146" s="322"/>
    </row>
    <row r="147" spans="1:36" x14ac:dyDescent="0.65">
      <c r="A147" s="322"/>
      <c r="B147" s="322"/>
      <c r="C147" s="322"/>
      <c r="D147" s="322"/>
      <c r="E147" s="322"/>
      <c r="F147" s="322"/>
      <c r="G147" s="322"/>
      <c r="H147" s="322"/>
      <c r="I147" s="322"/>
      <c r="J147" s="322"/>
      <c r="K147" s="322"/>
      <c r="L147" s="322"/>
      <c r="M147" s="322"/>
      <c r="N147" s="322"/>
      <c r="O147" s="322"/>
      <c r="P147" s="322"/>
      <c r="Q147" s="322"/>
      <c r="R147" s="322"/>
      <c r="S147" s="322"/>
      <c r="T147" s="322"/>
      <c r="U147" s="322"/>
      <c r="V147" s="322"/>
      <c r="W147" s="322"/>
      <c r="X147" s="322"/>
      <c r="Y147" s="322"/>
      <c r="Z147" s="322"/>
      <c r="AA147" s="322"/>
      <c r="AB147" s="322"/>
      <c r="AC147" s="322"/>
      <c r="AD147" s="322"/>
      <c r="AE147" s="322"/>
      <c r="AF147" s="322"/>
      <c r="AG147" s="322"/>
      <c r="AH147" s="322"/>
      <c r="AI147" s="322"/>
      <c r="AJ147" s="322"/>
    </row>
    <row r="148" spans="1:36" x14ac:dyDescent="0.65">
      <c r="A148" s="322"/>
      <c r="B148" s="322"/>
      <c r="C148" s="322"/>
      <c r="D148" s="322"/>
      <c r="E148" s="322"/>
      <c r="F148" s="322"/>
      <c r="G148" s="322"/>
      <c r="H148" s="322"/>
      <c r="I148" s="322"/>
      <c r="J148" s="322"/>
      <c r="K148" s="322"/>
      <c r="L148" s="322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  <c r="AA148" s="322"/>
      <c r="AB148" s="322"/>
      <c r="AC148" s="322"/>
      <c r="AD148" s="322"/>
      <c r="AE148" s="322"/>
      <c r="AF148" s="322"/>
      <c r="AG148" s="322"/>
      <c r="AH148" s="322"/>
      <c r="AI148" s="322"/>
      <c r="AJ148" s="322"/>
    </row>
    <row r="149" spans="1:36" x14ac:dyDescent="0.65">
      <c r="A149" s="322"/>
      <c r="B149" s="322"/>
      <c r="C149" s="322"/>
      <c r="D149" s="322"/>
      <c r="E149" s="322"/>
      <c r="F149" s="322"/>
      <c r="G149" s="322"/>
      <c r="H149" s="322"/>
      <c r="I149" s="322"/>
      <c r="J149" s="322"/>
      <c r="K149" s="322"/>
      <c r="L149" s="322"/>
      <c r="M149" s="322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  <c r="AA149" s="322"/>
      <c r="AB149" s="322"/>
      <c r="AC149" s="322"/>
      <c r="AD149" s="322"/>
      <c r="AE149" s="322"/>
      <c r="AF149" s="322"/>
      <c r="AG149" s="322"/>
      <c r="AH149" s="322"/>
      <c r="AI149" s="322"/>
      <c r="AJ149" s="322"/>
    </row>
    <row r="150" spans="1:36" x14ac:dyDescent="0.65">
      <c r="A150" s="322"/>
      <c r="B150" s="322"/>
      <c r="C150" s="322"/>
      <c r="D150" s="322"/>
      <c r="E150" s="322"/>
      <c r="F150" s="322"/>
      <c r="G150" s="322"/>
      <c r="H150" s="322"/>
      <c r="I150" s="322"/>
      <c r="J150" s="322"/>
      <c r="K150" s="322"/>
      <c r="L150" s="322"/>
      <c r="M150" s="322"/>
      <c r="N150" s="322"/>
      <c r="O150" s="322"/>
      <c r="P150" s="322"/>
      <c r="Q150" s="322"/>
      <c r="R150" s="322"/>
      <c r="S150" s="322"/>
      <c r="T150" s="322"/>
      <c r="U150" s="322"/>
      <c r="V150" s="322"/>
      <c r="W150" s="322"/>
      <c r="X150" s="322"/>
      <c r="Y150" s="322"/>
      <c r="Z150" s="322"/>
      <c r="AA150" s="322"/>
      <c r="AB150" s="322"/>
      <c r="AC150" s="322"/>
      <c r="AD150" s="322"/>
      <c r="AE150" s="322"/>
      <c r="AF150" s="322"/>
      <c r="AG150" s="322"/>
      <c r="AH150" s="322"/>
      <c r="AI150" s="322"/>
      <c r="AJ150" s="322"/>
    </row>
    <row r="151" spans="1:36" x14ac:dyDescent="0.65">
      <c r="A151" s="322"/>
      <c r="B151" s="322"/>
      <c r="C151" s="322"/>
      <c r="D151" s="322"/>
      <c r="E151" s="322"/>
      <c r="F151" s="322"/>
      <c r="G151" s="322"/>
      <c r="H151" s="322"/>
      <c r="I151" s="322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  <c r="AA151" s="322"/>
      <c r="AB151" s="322"/>
      <c r="AC151" s="322"/>
      <c r="AD151" s="322"/>
      <c r="AE151" s="322"/>
      <c r="AF151" s="322"/>
      <c r="AG151" s="322"/>
      <c r="AH151" s="322"/>
      <c r="AI151" s="322"/>
      <c r="AJ151" s="322"/>
    </row>
    <row r="152" spans="1:36" x14ac:dyDescent="0.65">
      <c r="A152" s="322"/>
      <c r="B152" s="322"/>
      <c r="C152" s="322"/>
      <c r="D152" s="322"/>
      <c r="E152" s="322"/>
      <c r="F152" s="322"/>
      <c r="G152" s="322"/>
      <c r="H152" s="322"/>
      <c r="I152" s="322"/>
      <c r="J152" s="322"/>
      <c r="K152" s="322"/>
      <c r="L152" s="322"/>
      <c r="M152" s="322"/>
      <c r="N152" s="322"/>
      <c r="O152" s="322"/>
      <c r="P152" s="322"/>
      <c r="Q152" s="322"/>
      <c r="R152" s="322"/>
      <c r="S152" s="322"/>
      <c r="T152" s="322"/>
      <c r="U152" s="322"/>
      <c r="V152" s="322"/>
      <c r="W152" s="322"/>
      <c r="X152" s="322"/>
      <c r="Y152" s="322"/>
      <c r="Z152" s="322"/>
      <c r="AA152" s="322"/>
      <c r="AB152" s="322"/>
      <c r="AC152" s="322"/>
      <c r="AD152" s="322"/>
      <c r="AE152" s="322"/>
      <c r="AF152" s="322"/>
      <c r="AG152" s="322"/>
      <c r="AH152" s="322"/>
      <c r="AI152" s="322"/>
      <c r="AJ152" s="322"/>
    </row>
  </sheetData>
  <mergeCells count="3">
    <mergeCell ref="Z25:Z26"/>
    <mergeCell ref="AF25:AI25"/>
    <mergeCell ref="AA25:AA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opLeftCell="A100" zoomScale="70" zoomScaleNormal="70" workbookViewId="0">
      <selection activeCell="B128" sqref="B128:E128"/>
    </sheetView>
  </sheetViews>
  <sheetFormatPr defaultColWidth="9.1796875" defaultRowHeight="14.25" x14ac:dyDescent="0.65"/>
  <cols>
    <col min="1" max="1" width="14.1796875" style="388" customWidth="1"/>
    <col min="2" max="2" width="14" style="172" customWidth="1"/>
    <col min="3" max="13" width="14" style="172" bestFit="1" customWidth="1"/>
    <col min="14" max="14" width="13.54296875" style="388" customWidth="1"/>
    <col min="15" max="16" width="14" style="388" bestFit="1" customWidth="1"/>
    <col min="17" max="16384" width="9.1796875" style="388"/>
  </cols>
  <sheetData>
    <row r="1" spans="1:17" x14ac:dyDescent="0.65">
      <c r="B1" s="503" t="s">
        <v>673</v>
      </c>
      <c r="C1" s="504" t="s">
        <v>511</v>
      </c>
      <c r="D1" s="504" t="s">
        <v>512</v>
      </c>
      <c r="E1" s="504" t="s">
        <v>513</v>
      </c>
      <c r="F1" s="504" t="s">
        <v>514</v>
      </c>
      <c r="G1" s="503" t="s">
        <v>674</v>
      </c>
      <c r="H1" s="505" t="s">
        <v>515</v>
      </c>
      <c r="I1" s="506" t="s">
        <v>516</v>
      </c>
      <c r="J1" s="506" t="s">
        <v>517</v>
      </c>
      <c r="K1" s="506" t="s">
        <v>518</v>
      </c>
      <c r="L1" s="503" t="s">
        <v>675</v>
      </c>
      <c r="M1" s="507" t="s">
        <v>519</v>
      </c>
      <c r="N1" s="508" t="s">
        <v>520</v>
      </c>
      <c r="O1" s="508" t="s">
        <v>521</v>
      </c>
      <c r="P1" s="508" t="s">
        <v>522</v>
      </c>
      <c r="Q1" s="509" t="s">
        <v>523</v>
      </c>
    </row>
    <row r="2" spans="1:17" x14ac:dyDescent="0.65">
      <c r="A2" s="510" t="s">
        <v>447</v>
      </c>
      <c r="B2" s="515">
        <v>5.9910886909183034</v>
      </c>
      <c r="C2" s="515">
        <v>6.0015944787685189</v>
      </c>
      <c r="D2" s="515">
        <v>5.9909046221307296</v>
      </c>
      <c r="E2" s="515">
        <v>6.7158779460883604</v>
      </c>
      <c r="F2" s="538"/>
      <c r="G2" s="515">
        <v>7.0087606291059688</v>
      </c>
      <c r="H2" s="515">
        <v>6.9982727163983158</v>
      </c>
      <c r="I2" s="515">
        <v>7.0073135843958303</v>
      </c>
      <c r="J2" s="515">
        <v>6.9974237475218724</v>
      </c>
      <c r="K2" s="539"/>
      <c r="L2" s="515">
        <v>8.0111755091743326</v>
      </c>
      <c r="M2" s="515">
        <v>8.0012284513397418</v>
      </c>
      <c r="N2" s="515">
        <v>8.0078858170574883</v>
      </c>
      <c r="O2" s="515">
        <v>7.9982023380651128</v>
      </c>
      <c r="P2" s="353"/>
      <c r="Q2" s="314" t="s">
        <v>644</v>
      </c>
    </row>
    <row r="3" spans="1:17" x14ac:dyDescent="0.65">
      <c r="A3" s="510" t="s">
        <v>524</v>
      </c>
      <c r="B3" s="515">
        <v>0.50188401051239706</v>
      </c>
      <c r="C3" s="515">
        <v>0.5025106192058969</v>
      </c>
      <c r="D3" s="515">
        <v>0.50839445889928281</v>
      </c>
      <c r="E3" s="515">
        <v>0.50391768163675454</v>
      </c>
      <c r="F3" s="538"/>
      <c r="G3" s="515">
        <v>0.49853152429817682</v>
      </c>
      <c r="H3" s="515">
        <v>0.5006438637420414</v>
      </c>
      <c r="I3" s="515">
        <v>0.49979335881795461</v>
      </c>
      <c r="J3" s="515">
        <v>0.50668059239886964</v>
      </c>
      <c r="K3" s="539"/>
      <c r="L3" s="515">
        <v>0.49852994018368202</v>
      </c>
      <c r="M3" s="515">
        <v>0.5043039584799448</v>
      </c>
      <c r="N3" s="515">
        <v>0.50599625251756242</v>
      </c>
      <c r="O3" s="515">
        <v>0.49792913852384307</v>
      </c>
      <c r="P3" s="353"/>
      <c r="Q3" s="314" t="s">
        <v>525</v>
      </c>
    </row>
    <row r="4" spans="1:17" x14ac:dyDescent="0.65">
      <c r="A4" s="511" t="s">
        <v>526</v>
      </c>
      <c r="B4" s="515">
        <v>2.4987287724221919E-2</v>
      </c>
      <c r="C4" s="515">
        <v>2.5090617407398319E-2</v>
      </c>
      <c r="D4" s="515">
        <v>2.5067143665724441E-2</v>
      </c>
      <c r="E4" s="515">
        <v>2.5054334915427901E-2</v>
      </c>
      <c r="F4" s="538"/>
      <c r="G4" s="515">
        <v>2.4938066830155151E-2</v>
      </c>
      <c r="H4" s="515">
        <v>2.4852266334968232E-2</v>
      </c>
      <c r="I4" s="515">
        <v>2.4886506458668009E-2</v>
      </c>
      <c r="J4" s="515">
        <v>2.500009306434375E-2</v>
      </c>
      <c r="K4" s="541"/>
      <c r="L4" s="515">
        <v>2.4827292609580359E-2</v>
      </c>
      <c r="M4" s="515">
        <v>2.4992487438025981E-2</v>
      </c>
      <c r="N4" s="515">
        <v>2.5081794805115389E-2</v>
      </c>
      <c r="O4" s="515">
        <v>2.4913503459966822E-2</v>
      </c>
      <c r="P4" s="357"/>
      <c r="Q4" s="314" t="s">
        <v>527</v>
      </c>
    </row>
    <row r="5" spans="1:17" x14ac:dyDescent="0.65">
      <c r="A5" s="510" t="s">
        <v>471</v>
      </c>
      <c r="B5" s="515">
        <v>223.63838075916709</v>
      </c>
      <c r="C5" s="515">
        <v>224.10505736820241</v>
      </c>
      <c r="D5" s="515">
        <v>223.4531869862</v>
      </c>
      <c r="E5" s="515">
        <v>222.94696508974161</v>
      </c>
      <c r="F5" s="538"/>
      <c r="G5" s="515">
        <v>223.17329512962689</v>
      </c>
      <c r="H5" s="515">
        <v>222.53409237668461</v>
      </c>
      <c r="I5" s="515">
        <v>222.96651121033409</v>
      </c>
      <c r="J5" s="515">
        <v>223.24765378177679</v>
      </c>
      <c r="K5" s="539"/>
      <c r="L5" s="515">
        <v>223.39213508229881</v>
      </c>
      <c r="M5" s="515">
        <v>223.4290862920214</v>
      </c>
      <c r="N5" s="515">
        <v>223.49566734379849</v>
      </c>
      <c r="O5" s="515">
        <v>223.18757710029021</v>
      </c>
      <c r="P5" s="353"/>
      <c r="Q5" s="314" t="s">
        <v>528</v>
      </c>
    </row>
    <row r="6" spans="1:17" ht="14.5" x14ac:dyDescent="0.35">
      <c r="A6" s="510" t="s">
        <v>529</v>
      </c>
      <c r="B6" s="515">
        <v>0.96824163037099653</v>
      </c>
      <c r="C6" s="515">
        <v>1.4177260476582609</v>
      </c>
      <c r="D6" s="515">
        <v>1.909422044951534</v>
      </c>
      <c r="E6" s="515">
        <v>2.4006917097150451</v>
      </c>
      <c r="F6" s="538"/>
      <c r="G6" s="515">
        <v>0.97323129919021745</v>
      </c>
      <c r="H6" s="515">
        <v>1.483634243912568</v>
      </c>
      <c r="I6" s="515">
        <v>1.9250151604332899</v>
      </c>
      <c r="J6" s="515">
        <v>2.39851345014561</v>
      </c>
      <c r="K6" s="539"/>
      <c r="L6" s="515">
        <v>0.97762912403715296</v>
      </c>
      <c r="M6" s="515">
        <v>1.485176285629124</v>
      </c>
      <c r="N6" s="515">
        <v>1.9370175869567099</v>
      </c>
      <c r="O6" s="515">
        <v>2.3902265891325198</v>
      </c>
      <c r="P6" s="353"/>
      <c r="Q6" s="314" t="s">
        <v>530</v>
      </c>
    </row>
    <row r="7" spans="1:17" ht="14.5" x14ac:dyDescent="0.35">
      <c r="A7" s="510" t="s">
        <v>531</v>
      </c>
      <c r="B7" s="515">
        <v>1.29701258480808</v>
      </c>
      <c r="C7" s="515">
        <v>1.3072096323393489</v>
      </c>
      <c r="D7" s="515">
        <v>1.292446163880312</v>
      </c>
      <c r="E7" s="515">
        <v>1.3054606428192099</v>
      </c>
      <c r="F7" s="538"/>
      <c r="G7" s="515">
        <v>1.300792357724549</v>
      </c>
      <c r="H7" s="515">
        <v>1.305328981020039</v>
      </c>
      <c r="I7" s="515">
        <v>1.300596965448944</v>
      </c>
      <c r="J7" s="515">
        <v>1.301973806546993</v>
      </c>
      <c r="K7" s="539"/>
      <c r="L7" s="515">
        <v>1.304366931363574</v>
      </c>
      <c r="M7" s="515">
        <v>1.2989646769449681</v>
      </c>
      <c r="N7" s="515">
        <v>1.2961447197199529</v>
      </c>
      <c r="O7" s="515">
        <v>1.303466354510556</v>
      </c>
      <c r="P7" s="353"/>
      <c r="Q7" s="314" t="s">
        <v>532</v>
      </c>
    </row>
    <row r="8" spans="1:17" x14ac:dyDescent="0.65">
      <c r="A8" s="511" t="s">
        <v>533</v>
      </c>
      <c r="B8" s="515">
        <v>0.70588171784061704</v>
      </c>
      <c r="C8" s="515">
        <v>0.41331188315759437</v>
      </c>
      <c r="D8" s="515">
        <v>0.28094423242828442</v>
      </c>
      <c r="E8" s="515">
        <v>0.1405667384711049</v>
      </c>
      <c r="F8" s="538"/>
      <c r="G8" s="515">
        <v>0.46638044010589502</v>
      </c>
      <c r="H8" s="515">
        <v>0.28120448450546298</v>
      </c>
      <c r="I8" s="515">
        <v>0.18416120226577551</v>
      </c>
      <c r="J8" s="515">
        <v>0.1304345490753393</v>
      </c>
      <c r="K8" s="541"/>
      <c r="L8" s="515">
        <v>0.38597169052844521</v>
      </c>
      <c r="M8" s="515">
        <v>0.23925323058769801</v>
      </c>
      <c r="N8" s="515">
        <v>0.15937304406324029</v>
      </c>
      <c r="O8" s="515">
        <v>0.11909961584830391</v>
      </c>
      <c r="P8" s="357"/>
      <c r="Q8" s="314" t="s">
        <v>534</v>
      </c>
    </row>
    <row r="9" spans="1:17" x14ac:dyDescent="0.65">
      <c r="A9" s="511" t="s">
        <v>535</v>
      </c>
      <c r="B9" s="515">
        <v>2</v>
      </c>
      <c r="C9" s="515">
        <v>2</v>
      </c>
      <c r="D9" s="515">
        <v>2</v>
      </c>
      <c r="E9" s="515">
        <v>2</v>
      </c>
      <c r="F9" s="538"/>
      <c r="G9" s="515">
        <v>2</v>
      </c>
      <c r="H9" s="515">
        <v>2</v>
      </c>
      <c r="I9" s="515">
        <v>2</v>
      </c>
      <c r="J9" s="515">
        <v>2</v>
      </c>
      <c r="K9" s="539"/>
      <c r="L9" s="515">
        <v>2</v>
      </c>
      <c r="M9" s="515">
        <v>2</v>
      </c>
      <c r="N9" s="515">
        <v>2</v>
      </c>
      <c r="O9" s="515">
        <v>2</v>
      </c>
      <c r="P9" s="354"/>
      <c r="Q9" s="376" t="s">
        <v>536</v>
      </c>
    </row>
    <row r="10" spans="1:17" x14ac:dyDescent="0.65">
      <c r="A10" s="510" t="s">
        <v>537</v>
      </c>
      <c r="B10" s="515">
        <v>0.56248003578909156</v>
      </c>
      <c r="C10" s="515">
        <v>0.64074909802910518</v>
      </c>
      <c r="D10" s="515">
        <v>0.81249486310183727</v>
      </c>
      <c r="E10" s="515">
        <v>0.99074639136157461</v>
      </c>
      <c r="F10" s="538"/>
      <c r="G10" s="515">
        <v>0.55061965470447827</v>
      </c>
      <c r="H10" s="515">
        <v>0.60361108168495259</v>
      </c>
      <c r="I10" s="515">
        <v>0.67509304712054596</v>
      </c>
      <c r="J10" s="515">
        <v>0.9318476054653051</v>
      </c>
      <c r="K10" s="539"/>
      <c r="L10" s="515">
        <v>0.53686221658000677</v>
      </c>
      <c r="M10" s="515">
        <v>0.5840263915163183</v>
      </c>
      <c r="N10" s="515">
        <v>0.64843540763224694</v>
      </c>
      <c r="O10" s="515">
        <v>0.69741105370625112</v>
      </c>
      <c r="P10" s="353"/>
      <c r="Q10" s="314" t="s">
        <v>538</v>
      </c>
    </row>
    <row r="11" spans="1:17" x14ac:dyDescent="0.65">
      <c r="A11" s="512" t="s">
        <v>478</v>
      </c>
      <c r="B11" s="515">
        <v>107.691117435885</v>
      </c>
      <c r="C11" s="515">
        <v>109.2379949764822</v>
      </c>
      <c r="D11" s="515">
        <v>108.45117254390139</v>
      </c>
      <c r="E11" s="515">
        <v>116.4364661896453</v>
      </c>
      <c r="F11" s="538"/>
      <c r="G11" s="515">
        <v>115.8121625626064</v>
      </c>
      <c r="H11" s="515">
        <v>117.36514742201091</v>
      </c>
      <c r="I11" s="515">
        <v>117.8762168225617</v>
      </c>
      <c r="J11" s="515">
        <v>114.26149539849089</v>
      </c>
      <c r="K11" s="542"/>
      <c r="L11" s="515">
        <v>117.7755540568575</v>
      </c>
      <c r="M11" s="515">
        <v>118.4741016122059</v>
      </c>
      <c r="N11" s="515">
        <v>117.4264666864923</v>
      </c>
      <c r="O11" s="515">
        <v>119.6991768117947</v>
      </c>
      <c r="P11" s="355"/>
      <c r="Q11" s="314" t="s">
        <v>539</v>
      </c>
    </row>
    <row r="12" spans="1:17" x14ac:dyDescent="0.65">
      <c r="A12" s="511" t="s">
        <v>540</v>
      </c>
      <c r="B12" s="515">
        <v>793.60798040583393</v>
      </c>
      <c r="C12" s="515">
        <v>530.63570881290138</v>
      </c>
      <c r="D12" s="515">
        <v>396.58443530959153</v>
      </c>
      <c r="E12" s="515">
        <v>337.73673500475962</v>
      </c>
      <c r="F12" s="538"/>
      <c r="G12" s="515">
        <v>906.49734092860911</v>
      </c>
      <c r="H12" s="515">
        <v>590.33764641511175</v>
      </c>
      <c r="I12" s="515">
        <v>448.85021000672089</v>
      </c>
      <c r="J12" s="515">
        <v>349.89636081269907</v>
      </c>
      <c r="K12" s="539"/>
      <c r="L12" s="515">
        <v>1001.869398547815</v>
      </c>
      <c r="M12" s="515">
        <v>650.55845908100196</v>
      </c>
      <c r="N12" s="515">
        <v>492.09228707851992</v>
      </c>
      <c r="O12" s="515">
        <v>390.38188190777993</v>
      </c>
      <c r="P12" s="357"/>
      <c r="Q12" s="314" t="s">
        <v>541</v>
      </c>
    </row>
    <row r="13" spans="1:17" x14ac:dyDescent="0.65">
      <c r="A13" s="511" t="s">
        <v>443</v>
      </c>
      <c r="B13" s="515">
        <v>533.0290021070914</v>
      </c>
      <c r="C13" s="515">
        <v>269.57689949047023</v>
      </c>
      <c r="D13" s="515">
        <v>136.17985126249431</v>
      </c>
      <c r="E13" s="515">
        <v>77.679242935239216</v>
      </c>
      <c r="F13" s="538"/>
      <c r="G13" s="515">
        <v>646.2035210199474</v>
      </c>
      <c r="H13" s="515">
        <v>330.67132919381822</v>
      </c>
      <c r="I13" s="515">
        <v>188.75231963159561</v>
      </c>
      <c r="J13" s="515">
        <v>89.496154135898806</v>
      </c>
      <c r="K13" s="539"/>
      <c r="L13" s="515">
        <v>741.25167915965119</v>
      </c>
      <c r="M13" s="515">
        <v>389.89694775065112</v>
      </c>
      <c r="N13" s="515">
        <v>231.36486825666239</v>
      </c>
      <c r="O13" s="515">
        <v>129.95583669065161</v>
      </c>
      <c r="P13" s="357"/>
      <c r="Q13" s="314" t="s">
        <v>542</v>
      </c>
    </row>
    <row r="14" spans="1:17" x14ac:dyDescent="0.65">
      <c r="A14" s="511" t="s">
        <v>543</v>
      </c>
      <c r="B14" s="515">
        <v>36.940597539775922</v>
      </c>
      <c r="C14" s="515">
        <v>36.953751954429293</v>
      </c>
      <c r="D14" s="515">
        <v>36.951397061097687</v>
      </c>
      <c r="E14" s="515">
        <v>37.110526979979298</v>
      </c>
      <c r="F14" s="538"/>
      <c r="G14" s="515">
        <v>37.120524779235062</v>
      </c>
      <c r="H14" s="515">
        <v>37.132224844809322</v>
      </c>
      <c r="I14" s="515">
        <v>37.13137916499187</v>
      </c>
      <c r="J14" s="515">
        <v>37.152552895223948</v>
      </c>
      <c r="K14" s="539"/>
      <c r="L14" s="515">
        <v>37.225584306065187</v>
      </c>
      <c r="M14" s="515">
        <v>37.232425038529932</v>
      </c>
      <c r="N14" s="515">
        <v>37.231751478259604</v>
      </c>
      <c r="O14" s="515">
        <v>37.238468117038657</v>
      </c>
      <c r="P14" s="357"/>
      <c r="Q14" s="314" t="s">
        <v>544</v>
      </c>
    </row>
    <row r="15" spans="1:17" x14ac:dyDescent="0.65">
      <c r="A15" s="511" t="s">
        <v>545</v>
      </c>
      <c r="B15" s="515">
        <v>233.26267222942261</v>
      </c>
      <c r="C15" s="515">
        <v>96.905610949452921</v>
      </c>
      <c r="D15" s="515">
        <v>25.578353642227579</v>
      </c>
      <c r="E15" s="515">
        <v>0.71874163985315387</v>
      </c>
      <c r="F15" s="538"/>
      <c r="G15" s="515">
        <v>290.39862205464948</v>
      </c>
      <c r="H15" s="515">
        <v>131.10011245420941</v>
      </c>
      <c r="I15" s="515">
        <v>61.392528730577553</v>
      </c>
      <c r="J15" s="515">
        <v>6.1666596943108818</v>
      </c>
      <c r="K15" s="539"/>
      <c r="L15" s="515">
        <v>343.33025617410738</v>
      </c>
      <c r="M15" s="515">
        <v>162.20856347800461</v>
      </c>
      <c r="N15" s="515">
        <v>81.553185116163192</v>
      </c>
      <c r="O15" s="515">
        <v>39.604421113299097</v>
      </c>
      <c r="P15" s="357"/>
      <c r="Q15" s="314" t="s">
        <v>546</v>
      </c>
    </row>
    <row r="16" spans="1:17" x14ac:dyDescent="0.65">
      <c r="A16" s="511" t="s">
        <v>547</v>
      </c>
      <c r="B16" s="515">
        <v>111.3968485411887</v>
      </c>
      <c r="C16" s="515">
        <v>111.48865619604101</v>
      </c>
      <c r="D16" s="515">
        <v>109.85230836447469</v>
      </c>
      <c r="E16" s="515">
        <v>110.5987191633089</v>
      </c>
      <c r="F16" s="538"/>
      <c r="G16" s="515">
        <v>111.9145413488163</v>
      </c>
      <c r="H16" s="515">
        <v>111.12263487288919</v>
      </c>
      <c r="I16" s="515">
        <v>111.52886736734111</v>
      </c>
      <c r="J16" s="515">
        <v>110.1321336415688</v>
      </c>
      <c r="K16" s="539"/>
      <c r="L16" s="515">
        <v>112.0235218927498</v>
      </c>
      <c r="M16" s="515">
        <v>110.75350087087701</v>
      </c>
      <c r="N16" s="515">
        <v>110.408534325712</v>
      </c>
      <c r="O16" s="515">
        <v>112.05623102807171</v>
      </c>
      <c r="P16" s="357"/>
      <c r="Q16" s="314" t="s">
        <v>548</v>
      </c>
    </row>
    <row r="17" spans="1:17" x14ac:dyDescent="0.65">
      <c r="A17" s="511" t="s">
        <v>549</v>
      </c>
      <c r="B17" s="515">
        <v>0</v>
      </c>
      <c r="C17" s="515">
        <v>0</v>
      </c>
      <c r="D17" s="515">
        <v>0</v>
      </c>
      <c r="E17" s="515">
        <v>0</v>
      </c>
      <c r="F17" s="538"/>
      <c r="G17" s="515">
        <v>0</v>
      </c>
      <c r="H17" s="515">
        <v>0</v>
      </c>
      <c r="I17" s="515">
        <v>0</v>
      </c>
      <c r="J17" s="515">
        <v>0</v>
      </c>
      <c r="K17" s="539"/>
      <c r="L17" s="515">
        <v>0</v>
      </c>
      <c r="M17" s="515">
        <v>0</v>
      </c>
      <c r="N17" s="515">
        <v>0</v>
      </c>
      <c r="O17" s="515">
        <v>0</v>
      </c>
      <c r="P17" s="358"/>
      <c r="Q17" s="314" t="s">
        <v>550</v>
      </c>
    </row>
    <row r="18" spans="1:17" x14ac:dyDescent="0.65">
      <c r="A18" s="511" t="s">
        <v>551</v>
      </c>
      <c r="B18" s="515">
        <v>299.76632987746831</v>
      </c>
      <c r="C18" s="515">
        <v>172.67128854081679</v>
      </c>
      <c r="D18" s="515">
        <v>110.6014976200662</v>
      </c>
      <c r="E18" s="515">
        <v>76.960501295185537</v>
      </c>
      <c r="F18" s="538"/>
      <c r="G18" s="515">
        <v>355.80489896509749</v>
      </c>
      <c r="H18" s="515">
        <v>199.5712167394083</v>
      </c>
      <c r="I18" s="515">
        <v>127.3597909008175</v>
      </c>
      <c r="J18" s="515">
        <v>83.329494441387368</v>
      </c>
      <c r="K18" s="539"/>
      <c r="L18" s="515">
        <v>397.92142298534333</v>
      </c>
      <c r="M18" s="515">
        <v>227.688384272446</v>
      </c>
      <c r="N18" s="515">
        <v>149.81168314029861</v>
      </c>
      <c r="O18" s="515">
        <v>90.351415577151911</v>
      </c>
      <c r="P18" s="357"/>
      <c r="Q18" s="314" t="s">
        <v>552</v>
      </c>
    </row>
    <row r="19" spans="1:17" x14ac:dyDescent="0.65">
      <c r="A19" s="511" t="s">
        <v>553</v>
      </c>
      <c r="B19" s="515">
        <v>112.2415322179783</v>
      </c>
      <c r="C19" s="515">
        <v>112.6164011721614</v>
      </c>
      <c r="D19" s="515">
        <v>113.6008786217253</v>
      </c>
      <c r="E19" s="515">
        <v>112.3482459264327</v>
      </c>
      <c r="F19" s="538"/>
      <c r="G19" s="515">
        <v>111.25875378081059</v>
      </c>
      <c r="H19" s="515">
        <v>111.4114575037955</v>
      </c>
      <c r="I19" s="515">
        <v>111.437643842993</v>
      </c>
      <c r="J19" s="515">
        <v>113.11552014020801</v>
      </c>
      <c r="K19" s="539"/>
      <c r="L19" s="515">
        <v>111.368613189549</v>
      </c>
      <c r="M19" s="515">
        <v>112.6755854211444</v>
      </c>
      <c r="N19" s="515">
        <v>113.0871330180865</v>
      </c>
      <c r="O19" s="515">
        <v>111.13134607221851</v>
      </c>
      <c r="P19" s="357"/>
      <c r="Q19" s="314" t="s">
        <v>554</v>
      </c>
    </row>
    <row r="20" spans="1:17" x14ac:dyDescent="0.65">
      <c r="A20" s="510" t="s">
        <v>555</v>
      </c>
      <c r="B20" s="515">
        <v>2.950514285714287</v>
      </c>
      <c r="C20" s="515">
        <v>2.458242857142857</v>
      </c>
      <c r="D20" s="515">
        <v>2.3023285714285708</v>
      </c>
      <c r="E20" s="515">
        <v>2.0936999999999988</v>
      </c>
      <c r="F20" s="538"/>
      <c r="G20" s="515">
        <v>2.5824857142857138</v>
      </c>
      <c r="H20" s="515">
        <v>2.3097142857142838</v>
      </c>
      <c r="I20" s="515">
        <v>2.1675285714285719</v>
      </c>
      <c r="J20" s="515">
        <v>2.0586000000000002</v>
      </c>
      <c r="K20" s="539"/>
      <c r="L20" s="515">
        <v>2.380199999999999</v>
      </c>
      <c r="M20" s="515">
        <v>2.178842857142858</v>
      </c>
      <c r="N20" s="515">
        <v>2.106557142857143</v>
      </c>
      <c r="O20" s="515">
        <v>2.042728571428571</v>
      </c>
      <c r="P20" s="353"/>
      <c r="Q20" s="314" t="s">
        <v>556</v>
      </c>
    </row>
    <row r="21" spans="1:17" x14ac:dyDescent="0.65">
      <c r="A21" s="511" t="s">
        <v>557</v>
      </c>
      <c r="B21" s="515">
        <v>6.158719992557681</v>
      </c>
      <c r="C21" s="515">
        <v>6.2502535985883432</v>
      </c>
      <c r="D21" s="515">
        <v>6.1993757011467077</v>
      </c>
      <c r="E21" s="515">
        <v>6.6509722064503922</v>
      </c>
      <c r="F21" s="538"/>
      <c r="G21" s="515">
        <v>6.617127637158478</v>
      </c>
      <c r="H21" s="515">
        <v>6.6966421277357728</v>
      </c>
      <c r="I21" s="515">
        <v>6.7298150066306688</v>
      </c>
      <c r="J21" s="515">
        <v>6.5279809502517452</v>
      </c>
      <c r="K21" s="539"/>
      <c r="L21" s="515">
        <v>6.7297914657104716</v>
      </c>
      <c r="M21" s="515">
        <v>6.7712429462224781</v>
      </c>
      <c r="N21" s="515">
        <v>6.7129971146293128</v>
      </c>
      <c r="O21" s="515">
        <v>6.8400965831063916</v>
      </c>
      <c r="P21" s="357"/>
      <c r="Q21" s="314" t="s">
        <v>558</v>
      </c>
    </row>
    <row r="22" spans="1:17" x14ac:dyDescent="0.65">
      <c r="A22" s="511" t="s">
        <v>559</v>
      </c>
      <c r="B22" s="515">
        <v>1.0769135416740381</v>
      </c>
      <c r="C22" s="515">
        <v>1.0923804382643441</v>
      </c>
      <c r="D22" s="515">
        <v>1.084510927820691</v>
      </c>
      <c r="E22" s="515">
        <v>1.1643674028967641</v>
      </c>
      <c r="F22" s="538"/>
      <c r="G22" s="515">
        <v>1.1581214260993411</v>
      </c>
      <c r="H22" s="515">
        <v>1.1736552531683631</v>
      </c>
      <c r="I22" s="515">
        <v>1.1787623911108169</v>
      </c>
      <c r="J22" s="515">
        <v>1.1426166910475719</v>
      </c>
      <c r="K22" s="539"/>
      <c r="L22" s="515">
        <v>1.1777517339122581</v>
      </c>
      <c r="M22" s="515">
        <v>1.184740410719838</v>
      </c>
      <c r="N22" s="515">
        <v>1.1742632413787431</v>
      </c>
      <c r="O22" s="515">
        <v>1.1969901348962411</v>
      </c>
      <c r="P22" s="357"/>
      <c r="Q22" s="314" t="s">
        <v>560</v>
      </c>
    </row>
    <row r="23" spans="1:17" x14ac:dyDescent="0.65">
      <c r="A23" s="511" t="s">
        <v>472</v>
      </c>
      <c r="B23" s="515">
        <v>0.67152913655168456</v>
      </c>
      <c r="C23" s="515">
        <v>0.99813663122089058</v>
      </c>
      <c r="D23" s="515">
        <v>1.320909195306843</v>
      </c>
      <c r="E23" s="515">
        <v>1.76161935760239</v>
      </c>
      <c r="F23" s="538"/>
      <c r="G23" s="515">
        <v>0.7203415112797863</v>
      </c>
      <c r="H23" s="515">
        <v>1.0914154070678921</v>
      </c>
      <c r="I23" s="515">
        <v>1.4220605129095161</v>
      </c>
      <c r="J23" s="515">
        <v>1.791064419948597</v>
      </c>
      <c r="K23" s="539"/>
      <c r="L23" s="515">
        <v>0.77016532191918385</v>
      </c>
      <c r="M23" s="515">
        <v>1.169273660448515</v>
      </c>
      <c r="N23" s="515">
        <v>1.527854462722273</v>
      </c>
      <c r="O23" s="515">
        <v>1.892163442214591</v>
      </c>
      <c r="P23" s="357"/>
      <c r="Q23" s="314" t="s">
        <v>561</v>
      </c>
    </row>
    <row r="24" spans="1:17" x14ac:dyDescent="0.65">
      <c r="A24" s="512" t="s">
        <v>562</v>
      </c>
      <c r="B24" s="515">
        <v>0.15782996820197831</v>
      </c>
      <c r="C24" s="515">
        <v>0.23231190388968209</v>
      </c>
      <c r="D24" s="515">
        <v>0.28966817965585773</v>
      </c>
      <c r="E24" s="515">
        <v>0.54537985439518744</v>
      </c>
      <c r="F24" s="538"/>
      <c r="G24" s="515">
        <v>0.26800494850259537</v>
      </c>
      <c r="H24" s="515">
        <v>0.39060445355217371</v>
      </c>
      <c r="I24" s="515">
        <v>0.50423272157667343</v>
      </c>
      <c r="J24" s="515">
        <v>0.61864894702468287</v>
      </c>
      <c r="K24" s="539"/>
      <c r="L24" s="515">
        <v>0.36111306131804349</v>
      </c>
      <c r="M24" s="515">
        <v>0.54031573554169243</v>
      </c>
      <c r="N24" s="515">
        <v>0.69735661932150639</v>
      </c>
      <c r="O24" s="515">
        <v>0.84238739640577953</v>
      </c>
      <c r="P24" s="355"/>
      <c r="Q24" s="314" t="s">
        <v>563</v>
      </c>
    </row>
    <row r="25" spans="1:17" x14ac:dyDescent="0.65">
      <c r="A25" s="512" t="s">
        <v>564</v>
      </c>
      <c r="B25" s="515">
        <v>0.41862230972473069</v>
      </c>
      <c r="C25" s="515">
        <v>0.70095312070656457</v>
      </c>
      <c r="D25" s="515">
        <v>1.0160302689353471</v>
      </c>
      <c r="E25" s="515">
        <v>2.1199578261063641</v>
      </c>
      <c r="F25" s="538"/>
      <c r="G25" s="515">
        <v>0.63476934575504662</v>
      </c>
      <c r="H25" s="515">
        <v>1.064684734900829</v>
      </c>
      <c r="I25" s="515">
        <v>1.584500946963034</v>
      </c>
      <c r="J25" s="515">
        <v>2.2628265372665961</v>
      </c>
      <c r="K25" s="539"/>
      <c r="L25" s="515">
        <v>0.78118838449983641</v>
      </c>
      <c r="M25" s="515">
        <v>1.2920193701147249</v>
      </c>
      <c r="N25" s="515">
        <v>1.8987558906408379</v>
      </c>
      <c r="O25" s="515">
        <v>2.6840505428183752</v>
      </c>
      <c r="P25" s="355"/>
      <c r="Q25" s="314" t="s">
        <v>565</v>
      </c>
    </row>
    <row r="26" spans="1:17" x14ac:dyDescent="0.65">
      <c r="A26" s="512" t="s">
        <v>566</v>
      </c>
      <c r="B26" s="515">
        <v>0.19134849849634819</v>
      </c>
      <c r="C26" s="515">
        <v>0.32088385867532049</v>
      </c>
      <c r="D26" s="515">
        <v>0.44510736523572758</v>
      </c>
      <c r="E26" s="515">
        <v>1.009200169097402</v>
      </c>
      <c r="F26" s="538"/>
      <c r="G26" s="515">
        <v>0.32582668124976838</v>
      </c>
      <c r="H26" s="515">
        <v>0.53978801943141064</v>
      </c>
      <c r="I26" s="515">
        <v>0.76265808106171828</v>
      </c>
      <c r="J26" s="515">
        <v>1.8332910247706939</v>
      </c>
      <c r="K26" s="539"/>
      <c r="L26" s="515">
        <v>0.434852567446183</v>
      </c>
      <c r="M26" s="515">
        <v>0.73764856928505318</v>
      </c>
      <c r="N26" s="515">
        <v>1.0871159941605</v>
      </c>
      <c r="O26" s="515">
        <v>1.4261847405495349</v>
      </c>
      <c r="P26" s="355"/>
      <c r="Q26" s="314" t="s">
        <v>567</v>
      </c>
    </row>
    <row r="27" spans="1:17" x14ac:dyDescent="0.65">
      <c r="A27" s="512" t="s">
        <v>568</v>
      </c>
      <c r="B27" s="515">
        <v>2.0579207300877651E-2</v>
      </c>
      <c r="C27" s="515">
        <v>3.9420410179144813E-2</v>
      </c>
      <c r="D27" s="515">
        <v>7.0231065720481642E-2</v>
      </c>
      <c r="E27" s="515">
        <v>0.1078810150169575</v>
      </c>
      <c r="F27" s="538"/>
      <c r="G27" s="515">
        <v>3.2605450723411082E-2</v>
      </c>
      <c r="H27" s="515">
        <v>4.3968234036749917E-2</v>
      </c>
      <c r="I27" s="515">
        <v>7.0178646731538258E-2</v>
      </c>
      <c r="J27" s="515">
        <v>0.1233961314759483</v>
      </c>
      <c r="K27" s="539"/>
      <c r="L27" s="515">
        <v>2.7640264367971269E-2</v>
      </c>
      <c r="M27" s="515">
        <v>5.9338378725267087E-2</v>
      </c>
      <c r="N27" s="515">
        <v>0.1015783835701583</v>
      </c>
      <c r="O27" s="515">
        <v>9.5957041677058111E-2</v>
      </c>
      <c r="P27" s="355"/>
      <c r="Q27" s="314" t="s">
        <v>569</v>
      </c>
    </row>
    <row r="28" spans="1:17" x14ac:dyDescent="0.65">
      <c r="A28" s="512" t="s">
        <v>570</v>
      </c>
      <c r="B28" s="515">
        <v>0</v>
      </c>
      <c r="C28" s="515">
        <v>0</v>
      </c>
      <c r="D28" s="515">
        <v>0</v>
      </c>
      <c r="E28" s="515">
        <v>0</v>
      </c>
      <c r="F28" s="538"/>
      <c r="G28" s="515">
        <v>0</v>
      </c>
      <c r="H28" s="515">
        <v>0</v>
      </c>
      <c r="I28" s="515">
        <v>0</v>
      </c>
      <c r="J28" s="515">
        <v>0</v>
      </c>
      <c r="K28" s="539"/>
      <c r="L28" s="515">
        <v>0</v>
      </c>
      <c r="M28" s="515">
        <v>0</v>
      </c>
      <c r="N28" s="515">
        <v>0</v>
      </c>
      <c r="O28" s="515">
        <v>0</v>
      </c>
      <c r="P28" s="356"/>
      <c r="Q28" s="314" t="s">
        <v>571</v>
      </c>
    </row>
    <row r="29" spans="1:17" x14ac:dyDescent="0.65">
      <c r="A29" s="512" t="s">
        <v>572</v>
      </c>
      <c r="B29" s="515">
        <v>0.2010696940182547</v>
      </c>
      <c r="C29" s="515">
        <v>0.3362520509892678</v>
      </c>
      <c r="D29" s="515">
        <v>0.48836534497906231</v>
      </c>
      <c r="E29" s="515">
        <v>1.057247077115923</v>
      </c>
      <c r="F29" s="538"/>
      <c r="G29" s="515">
        <v>0.33152476201835379</v>
      </c>
      <c r="H29" s="515">
        <v>0.55521220115795289</v>
      </c>
      <c r="I29" s="515">
        <v>0.82232796836757627</v>
      </c>
      <c r="J29" s="515">
        <v>1.185145056118313</v>
      </c>
      <c r="K29" s="539"/>
      <c r="L29" s="515">
        <v>0.44463676113951001</v>
      </c>
      <c r="M29" s="515">
        <v>0.75051486838039083</v>
      </c>
      <c r="N29" s="515">
        <v>1.096639686083418</v>
      </c>
      <c r="O29" s="515">
        <v>1.6393634129227801</v>
      </c>
      <c r="P29" s="355"/>
      <c r="Q29" s="314" t="s">
        <v>573</v>
      </c>
    </row>
    <row r="30" spans="1:17" x14ac:dyDescent="0.65">
      <c r="A30" s="512" t="s">
        <v>574</v>
      </c>
      <c r="B30" s="515">
        <v>2.2764643685802711E-2</v>
      </c>
      <c r="C30" s="515">
        <v>3.4722498036228837E-2</v>
      </c>
      <c r="D30" s="515">
        <v>3.9057753365996283E-2</v>
      </c>
      <c r="E30" s="515">
        <v>0.101663990209114</v>
      </c>
      <c r="F30" s="538"/>
      <c r="G30" s="515">
        <v>2.852828437417005E-2</v>
      </c>
      <c r="H30" s="515">
        <v>4.1621891638244028E-2</v>
      </c>
      <c r="I30" s="515">
        <v>7.5139610047732258E-2</v>
      </c>
      <c r="J30" s="515">
        <v>9.6939763581797372E-2</v>
      </c>
      <c r="K30" s="539"/>
      <c r="L30" s="515">
        <v>3.1060425913463599E-2</v>
      </c>
      <c r="M30" s="515">
        <v>5.6847000970641257E-2</v>
      </c>
      <c r="N30" s="515">
        <v>8.2933686315911692E-2</v>
      </c>
      <c r="O30" s="515">
        <v>0.14073505060076499</v>
      </c>
      <c r="P30" s="355"/>
      <c r="Q30" s="314" t="s">
        <v>575</v>
      </c>
    </row>
    <row r="31" spans="1:17" x14ac:dyDescent="0.65">
      <c r="A31" s="511" t="s">
        <v>576</v>
      </c>
      <c r="B31" s="515">
        <v>0.88232409746766405</v>
      </c>
      <c r="C31" s="515">
        <v>1.2994346074542891</v>
      </c>
      <c r="D31" s="515">
        <v>1.7062359159960889</v>
      </c>
      <c r="E31" s="515">
        <v>2.221891470368123</v>
      </c>
      <c r="F31" s="538"/>
      <c r="G31" s="515">
        <v>0.90779402077261129</v>
      </c>
      <c r="H31" s="515">
        <v>1.3701469366681931</v>
      </c>
      <c r="I31" s="515">
        <v>1.778798200900654</v>
      </c>
      <c r="J31" s="515">
        <v>2.2404322115732058</v>
      </c>
      <c r="K31" s="541"/>
      <c r="L31" s="515">
        <v>0.94176546568597608</v>
      </c>
      <c r="M31" s="515">
        <v>1.427740795722773</v>
      </c>
      <c r="N31" s="515">
        <v>1.8644888433814319</v>
      </c>
      <c r="O31" s="515">
        <v>2.3149339128232009</v>
      </c>
      <c r="P31" s="357"/>
      <c r="Q31" s="314" t="s">
        <v>577</v>
      </c>
    </row>
    <row r="32" spans="1:17" x14ac:dyDescent="0.65">
      <c r="A32" s="511" t="s">
        <v>578</v>
      </c>
      <c r="B32" s="515">
        <v>0.6940563179930932</v>
      </c>
      <c r="C32" s="515">
        <v>0.7045453826597029</v>
      </c>
      <c r="D32" s="515">
        <v>0.69242340150749127</v>
      </c>
      <c r="E32" s="515">
        <v>0.73443818459725008</v>
      </c>
      <c r="F32" s="538"/>
      <c r="G32" s="515">
        <v>0.74064339174072369</v>
      </c>
      <c r="H32" s="515">
        <v>0.73590572122771503</v>
      </c>
      <c r="I32" s="515">
        <v>0.7387853660538346</v>
      </c>
      <c r="J32" s="515">
        <v>0.74688266789457802</v>
      </c>
      <c r="K32" s="541"/>
      <c r="L32" s="515">
        <v>0.78812959684333295</v>
      </c>
      <c r="M32" s="515">
        <v>0.78749420826813032</v>
      </c>
      <c r="N32" s="515">
        <v>0.78897175613577097</v>
      </c>
      <c r="O32" s="515">
        <v>0.79196567352181702</v>
      </c>
      <c r="P32" s="357"/>
      <c r="Q32" s="314" t="s">
        <v>579</v>
      </c>
    </row>
    <row r="33" spans="1:17" x14ac:dyDescent="0.65">
      <c r="A33" s="510" t="s">
        <v>580</v>
      </c>
      <c r="B33" s="515">
        <v>0.53506030495797208</v>
      </c>
      <c r="C33" s="515">
        <v>0.53894045771029753</v>
      </c>
      <c r="D33" s="515">
        <v>0.53569239090083087</v>
      </c>
      <c r="E33" s="515">
        <v>0.56251210193936585</v>
      </c>
      <c r="F33" s="538"/>
      <c r="G33" s="515">
        <v>0.56934972090262703</v>
      </c>
      <c r="H33" s="515">
        <v>0.56374961650749988</v>
      </c>
      <c r="I33" s="515">
        <v>0.56803877247879098</v>
      </c>
      <c r="J33" s="515">
        <v>0.57363976325768207</v>
      </c>
      <c r="K33" s="539"/>
      <c r="L33" s="515">
        <v>0.6041834519465189</v>
      </c>
      <c r="M33" s="515">
        <v>0.60622785221977793</v>
      </c>
      <c r="N33" s="515">
        <v>0.60869899752072676</v>
      </c>
      <c r="O33" s="515">
        <v>0.60754909310878102</v>
      </c>
      <c r="P33" s="353"/>
      <c r="Q33" s="352" t="s">
        <v>581</v>
      </c>
    </row>
    <row r="34" spans="1:17" ht="14.5" x14ac:dyDescent="0.35">
      <c r="A34" s="512" t="s">
        <v>479</v>
      </c>
      <c r="B34" s="515">
        <v>30.325818669945232</v>
      </c>
      <c r="C34" s="515">
        <v>30.761419385377401</v>
      </c>
      <c r="D34" s="515">
        <v>30.53985018836266</v>
      </c>
      <c r="E34" s="515">
        <v>32.788508879004112</v>
      </c>
      <c r="F34" s="538"/>
      <c r="G34" s="515">
        <v>32.61270497762996</v>
      </c>
      <c r="H34" s="515">
        <v>33.050025514038282</v>
      </c>
      <c r="I34" s="515">
        <v>33.193942657233379</v>
      </c>
      <c r="J34" s="515">
        <v>32.176037104215048</v>
      </c>
      <c r="K34" s="542"/>
      <c r="L34" s="515">
        <v>33.165596022411073</v>
      </c>
      <c r="M34" s="515">
        <v>33.362307013997167</v>
      </c>
      <c r="N34" s="515">
        <v>33.067293018916253</v>
      </c>
      <c r="O34" s="515">
        <v>33.707288190201403</v>
      </c>
      <c r="P34" s="355"/>
      <c r="Q34" s="388" t="s">
        <v>590</v>
      </c>
    </row>
    <row r="35" spans="1:17" ht="14.5" x14ac:dyDescent="0.35">
      <c r="A35" s="512" t="s">
        <v>591</v>
      </c>
      <c r="B35" s="515">
        <v>36.032084179519657</v>
      </c>
      <c r="C35" s="515">
        <v>35.817539872481248</v>
      </c>
      <c r="D35" s="515">
        <v>36.246833341573172</v>
      </c>
      <c r="E35" s="515">
        <v>36.541005338341662</v>
      </c>
      <c r="F35" s="538"/>
      <c r="G35" s="515">
        <v>36.424236786712243</v>
      </c>
      <c r="H35" s="515">
        <v>37.019776838552332</v>
      </c>
      <c r="I35" s="515">
        <v>36.733346349197816</v>
      </c>
      <c r="J35" s="515">
        <v>36.446375715679679</v>
      </c>
      <c r="K35" s="542"/>
      <c r="L35" s="515">
        <v>36.385680359718272</v>
      </c>
      <c r="M35" s="515">
        <v>36.279159894422151</v>
      </c>
      <c r="N35" s="515">
        <v>36.181333441268968</v>
      </c>
      <c r="O35" s="515">
        <v>36.373642572839472</v>
      </c>
      <c r="P35" s="355"/>
      <c r="Q35" s="388" t="s">
        <v>592</v>
      </c>
    </row>
    <row r="36" spans="1:17" x14ac:dyDescent="0.65">
      <c r="A36" s="510" t="s">
        <v>593</v>
      </c>
      <c r="B36" s="515">
        <v>0.1741823023326676</v>
      </c>
      <c r="C36" s="515">
        <v>0.17379934295879551</v>
      </c>
      <c r="D36" s="515">
        <v>0.17454474214466531</v>
      </c>
      <c r="E36" s="515">
        <v>0.17505794689329859</v>
      </c>
      <c r="F36" s="538"/>
      <c r="G36" s="515">
        <v>0.17485555173109041</v>
      </c>
      <c r="H36" s="515">
        <v>0.1758947330818966</v>
      </c>
      <c r="I36" s="515">
        <v>0.17540823977782641</v>
      </c>
      <c r="J36" s="515">
        <v>0.17490717021983129</v>
      </c>
      <c r="K36" s="539"/>
      <c r="L36" s="515">
        <v>0.17479789746137619</v>
      </c>
      <c r="M36" s="515">
        <v>0.17461468876146141</v>
      </c>
      <c r="N36" s="515">
        <v>0.1744437560743822</v>
      </c>
      <c r="O36" s="515">
        <v>0.17477392219540741</v>
      </c>
      <c r="P36" s="353"/>
      <c r="Q36" s="316" t="s">
        <v>594</v>
      </c>
    </row>
    <row r="37" spans="1:17" x14ac:dyDescent="0.65">
      <c r="A37" s="510" t="s">
        <v>595</v>
      </c>
      <c r="B37" s="515">
        <v>0.37486681976656361</v>
      </c>
      <c r="C37" s="515">
        <v>0.37406170571981878</v>
      </c>
      <c r="D37" s="515">
        <v>0.37562822386216937</v>
      </c>
      <c r="E37" s="515">
        <v>0.37670683256328757</v>
      </c>
      <c r="F37" s="538"/>
      <c r="G37" s="515">
        <v>0.37628149318006671</v>
      </c>
      <c r="H37" s="515">
        <v>0.37846555691124067</v>
      </c>
      <c r="I37" s="515">
        <v>0.37744345420647812</v>
      </c>
      <c r="J37" s="515">
        <v>0.37639034022691398</v>
      </c>
      <c r="K37" s="539"/>
      <c r="L37" s="515">
        <v>0.37616058617595421</v>
      </c>
      <c r="M37" s="515">
        <v>0.3757756073470922</v>
      </c>
      <c r="N37" s="515">
        <v>0.37541635014796448</v>
      </c>
      <c r="O37" s="515">
        <v>0.37611011529806648</v>
      </c>
      <c r="P37" s="353"/>
      <c r="Q37" s="316" t="s">
        <v>596</v>
      </c>
    </row>
    <row r="38" spans="1:17" x14ac:dyDescent="0.65">
      <c r="A38" s="511" t="s">
        <v>597</v>
      </c>
      <c r="B38" s="515">
        <v>4.5802494080564973</v>
      </c>
      <c r="C38" s="515">
        <v>4.5661845582647862</v>
      </c>
      <c r="D38" s="515">
        <v>4.593733230992326</v>
      </c>
      <c r="E38" s="515">
        <v>4.6126801949029694</v>
      </c>
      <c r="F38" s="538"/>
      <c r="G38" s="515">
        <v>4.6051968074429626</v>
      </c>
      <c r="H38" s="515">
        <v>4.6435609990761844</v>
      </c>
      <c r="I38" s="515">
        <v>4.6254892208931766</v>
      </c>
      <c r="J38" s="515">
        <v>4.6069934307581928</v>
      </c>
      <c r="K38" s="541"/>
      <c r="L38" s="515">
        <v>4.6029877094517273</v>
      </c>
      <c r="M38" s="515">
        <v>4.5962017072205983</v>
      </c>
      <c r="N38" s="515">
        <v>4.5898929496871137</v>
      </c>
      <c r="O38" s="515">
        <v>4.6021273978497463</v>
      </c>
      <c r="P38" s="357"/>
      <c r="Q38" s="316" t="s">
        <v>598</v>
      </c>
    </row>
    <row r="39" spans="1:17" x14ac:dyDescent="0.65">
      <c r="A39" s="511" t="s">
        <v>599</v>
      </c>
      <c r="B39" s="515">
        <v>3.367853816126742</v>
      </c>
      <c r="C39" s="515">
        <v>3.3567525043259838</v>
      </c>
      <c r="D39" s="515">
        <v>3.378532164730732</v>
      </c>
      <c r="E39" s="515">
        <v>3.3935072398094688</v>
      </c>
      <c r="F39" s="538"/>
      <c r="G39" s="515">
        <v>3.3875903170306971</v>
      </c>
      <c r="H39" s="515">
        <v>3.4179118457545208</v>
      </c>
      <c r="I39" s="515">
        <v>3.403605641299317</v>
      </c>
      <c r="J39" s="515">
        <v>3.388987843213191</v>
      </c>
      <c r="K39" s="541"/>
      <c r="L39" s="515">
        <v>3.3858277142123989</v>
      </c>
      <c r="M39" s="515">
        <v>3.3804597238160818</v>
      </c>
      <c r="N39" s="515">
        <v>3.375473900135971</v>
      </c>
      <c r="O39" s="515">
        <v>3.385152876351238</v>
      </c>
      <c r="P39" s="357"/>
      <c r="Q39" s="316" t="s">
        <v>600</v>
      </c>
    </row>
    <row r="40" spans="1:17" x14ac:dyDescent="0.65">
      <c r="A40" s="510" t="s">
        <v>631</v>
      </c>
      <c r="B40" s="515">
        <v>2.7252783205632189</v>
      </c>
      <c r="C40" s="515">
        <v>2.7215438837773691</v>
      </c>
      <c r="D40" s="515">
        <v>2.7405564985352631</v>
      </c>
      <c r="E40" s="515">
        <v>2.595502041413869</v>
      </c>
      <c r="F40" s="538"/>
      <c r="G40" s="515">
        <v>2.5061179593723928</v>
      </c>
      <c r="H40" s="515">
        <v>2.50157194255344</v>
      </c>
      <c r="I40" s="515">
        <v>2.5107361247441031</v>
      </c>
      <c r="J40" s="515">
        <v>2.5348861540441239</v>
      </c>
      <c r="K40" s="539"/>
      <c r="L40" s="515">
        <v>2.3292814123800909</v>
      </c>
      <c r="M40" s="515">
        <v>2.3155047738361798</v>
      </c>
      <c r="N40" s="515">
        <v>2.3178313851214818</v>
      </c>
      <c r="O40" s="515">
        <v>2.3313513594857018</v>
      </c>
      <c r="P40" s="353"/>
      <c r="Q40" s="316" t="s">
        <v>602</v>
      </c>
    </row>
    <row r="41" spans="1:17" x14ac:dyDescent="0.65">
      <c r="A41" s="512" t="s">
        <v>632</v>
      </c>
      <c r="B41" s="515">
        <v>2.779884220994032</v>
      </c>
      <c r="C41" s="515">
        <v>2.7951866594750601</v>
      </c>
      <c r="D41" s="515">
        <v>2.8058568698159778</v>
      </c>
      <c r="E41" s="515">
        <v>2.6465295830648481</v>
      </c>
      <c r="F41" s="543"/>
      <c r="G41" s="515">
        <v>2.5550995359232478</v>
      </c>
      <c r="H41" s="515">
        <v>2.55112847655354</v>
      </c>
      <c r="I41" s="515">
        <v>2.553576811850502</v>
      </c>
      <c r="J41" s="515">
        <v>2.589277071200077</v>
      </c>
      <c r="K41" s="542"/>
      <c r="L41" s="515">
        <v>2.3872799904378641</v>
      </c>
      <c r="M41" s="515">
        <v>2.36437526780171</v>
      </c>
      <c r="N41" s="515">
        <v>2.367429976926716</v>
      </c>
      <c r="O41" s="515">
        <v>2.383516466677686</v>
      </c>
      <c r="P41" s="355"/>
      <c r="Q41" s="316" t="s">
        <v>604</v>
      </c>
    </row>
    <row r="42" spans="1:17" x14ac:dyDescent="0.65">
      <c r="A42" s="513" t="s">
        <v>605</v>
      </c>
      <c r="B42" s="515">
        <v>5.2163860696409703</v>
      </c>
      <c r="C42" s="515">
        <v>5.207548089202537</v>
      </c>
      <c r="D42" s="515">
        <v>5.2115048674242814</v>
      </c>
      <c r="E42" s="515">
        <v>5.5675666694613097</v>
      </c>
      <c r="F42" s="538"/>
      <c r="G42" s="515">
        <v>5.7006207711158607</v>
      </c>
      <c r="H42" s="515">
        <v>5.7130201991177429</v>
      </c>
      <c r="I42" s="515">
        <v>5.7143405004616357</v>
      </c>
      <c r="J42" s="515">
        <v>5.6907075525550068</v>
      </c>
      <c r="K42" s="539"/>
      <c r="L42" s="515">
        <v>5.9675635884512914</v>
      </c>
      <c r="M42" s="515">
        <v>6.0559702983583223</v>
      </c>
      <c r="N42" s="515">
        <v>6.2258309609726252</v>
      </c>
      <c r="O42" s="515">
        <v>6.234270455780921</v>
      </c>
      <c r="P42" s="353"/>
      <c r="Q42" s="316" t="s">
        <v>606</v>
      </c>
    </row>
    <row r="43" spans="1:17" x14ac:dyDescent="0.65">
      <c r="A43" s="511" t="s">
        <v>633</v>
      </c>
      <c r="B43" s="515">
        <v>3.7482382067662781</v>
      </c>
      <c r="C43" s="515">
        <v>3.702072592544623</v>
      </c>
      <c r="D43" s="515">
        <v>3.668768637513363</v>
      </c>
      <c r="E43" s="515">
        <v>4.1198174389051747</v>
      </c>
      <c r="F43" s="540"/>
      <c r="G43" s="515">
        <v>4.3462938243189857</v>
      </c>
      <c r="H43" s="515">
        <v>4.3174071970637558</v>
      </c>
      <c r="I43" s="515">
        <v>4.2834453359459861</v>
      </c>
      <c r="J43" s="515">
        <v>4.2942022542426752</v>
      </c>
      <c r="K43" s="541"/>
      <c r="L43" s="515">
        <v>4.9522512355594923</v>
      </c>
      <c r="M43" s="515">
        <v>4.9276231324178168</v>
      </c>
      <c r="N43" s="515">
        <v>4.932816084859498</v>
      </c>
      <c r="O43" s="515">
        <v>4.9527603404993341</v>
      </c>
      <c r="P43" s="357"/>
      <c r="Q43" s="316" t="s">
        <v>645</v>
      </c>
    </row>
    <row r="44" spans="1:17" x14ac:dyDescent="0.65">
      <c r="A44" s="511" t="s">
        <v>634</v>
      </c>
      <c r="B44" s="515">
        <v>0.64880621227576285</v>
      </c>
      <c r="C44" s="515">
        <v>0.65315651556684517</v>
      </c>
      <c r="D44" s="515">
        <v>0.64857082034698721</v>
      </c>
      <c r="E44" s="515">
        <v>0.59395569890916655</v>
      </c>
      <c r="F44" s="540"/>
      <c r="G44" s="515">
        <v>0.55192371128986661</v>
      </c>
      <c r="H44" s="515">
        <v>0.56632182954179133</v>
      </c>
      <c r="I44" s="515">
        <v>0.56296471802617143</v>
      </c>
      <c r="J44" s="515">
        <v>0.56611449955973048</v>
      </c>
      <c r="K44" s="541"/>
      <c r="L44" s="515">
        <v>0.47512589478167949</v>
      </c>
      <c r="M44" s="515">
        <v>0.47717854734808018</v>
      </c>
      <c r="N44" s="515">
        <v>0.47717690892925579</v>
      </c>
      <c r="O44" s="515">
        <v>0.48951193683096372</v>
      </c>
      <c r="P44" s="357"/>
      <c r="Q44" s="316" t="s">
        <v>646</v>
      </c>
    </row>
    <row r="45" spans="1:17" x14ac:dyDescent="0.65">
      <c r="A45" s="511" t="s">
        <v>635</v>
      </c>
      <c r="B45" s="515">
        <v>4.4021821885204897</v>
      </c>
      <c r="C45" s="515">
        <v>4.3757055545660668</v>
      </c>
      <c r="D45" s="515">
        <v>4.3283921143060704</v>
      </c>
      <c r="E45" s="515">
        <v>4.9148052650883676</v>
      </c>
      <c r="F45" s="540"/>
      <c r="G45" s="515">
        <v>5.3950266899004333</v>
      </c>
      <c r="H45" s="515">
        <v>5.3229730055373556</v>
      </c>
      <c r="I45" s="515">
        <v>5.2732445925655336</v>
      </c>
      <c r="J45" s="515">
        <v>5.1773221858265872</v>
      </c>
      <c r="K45" s="541"/>
      <c r="L45" s="515">
        <v>6.375354543468954</v>
      </c>
      <c r="M45" s="515">
        <v>6.2850776598650251</v>
      </c>
      <c r="N45" s="515">
        <v>6.2110695778386766</v>
      </c>
      <c r="O45" s="515">
        <v>6.1011487748740887</v>
      </c>
      <c r="P45" s="357"/>
      <c r="Q45" s="314" t="s">
        <v>647</v>
      </c>
    </row>
    <row r="46" spans="1:17" x14ac:dyDescent="0.65">
      <c r="A46" s="511" t="s">
        <v>636</v>
      </c>
      <c r="B46" s="515">
        <v>0.31870935142095591</v>
      </c>
      <c r="C46" s="515">
        <v>0.53094234287480657</v>
      </c>
      <c r="D46" s="515">
        <v>0.77197757508628428</v>
      </c>
      <c r="E46" s="515">
        <v>1.5807749934181199</v>
      </c>
      <c r="F46" s="540"/>
      <c r="G46" s="515">
        <v>0.50459271983545151</v>
      </c>
      <c r="H46" s="515">
        <v>0.82785024361895843</v>
      </c>
      <c r="I46" s="515">
        <v>1.2085852427142121</v>
      </c>
      <c r="J46" s="515">
        <v>1.7642409632180041</v>
      </c>
      <c r="K46" s="541"/>
      <c r="L46" s="515">
        <v>0.63169069234756037</v>
      </c>
      <c r="M46" s="515">
        <v>1.070029728659041</v>
      </c>
      <c r="N46" s="515">
        <v>1.5685334649168581</v>
      </c>
      <c r="O46" s="515">
        <v>2.141893267584547</v>
      </c>
      <c r="P46" s="357"/>
      <c r="Q46" s="314" t="s">
        <v>648</v>
      </c>
    </row>
    <row r="47" spans="1:17" x14ac:dyDescent="0.65">
      <c r="A47" s="510" t="s">
        <v>637</v>
      </c>
      <c r="B47" s="515">
        <v>2.1413087249983271</v>
      </c>
      <c r="C47" s="515">
        <v>3.5689528121813359</v>
      </c>
      <c r="D47" s="515">
        <v>5.1845599595726579</v>
      </c>
      <c r="E47" s="515">
        <v>10.610386668387591</v>
      </c>
      <c r="F47" s="538"/>
      <c r="G47" s="515">
        <v>3.3876004337739789</v>
      </c>
      <c r="H47" s="515">
        <v>5.5509522422646809</v>
      </c>
      <c r="I47" s="515">
        <v>8.1086968345041939</v>
      </c>
      <c r="J47" s="515">
        <v>11.84363067966351</v>
      </c>
      <c r="K47" s="539"/>
      <c r="L47" s="515">
        <v>4.2411601754706956</v>
      </c>
      <c r="M47" s="515">
        <v>7.1858121372113564</v>
      </c>
      <c r="N47" s="515">
        <v>10.53559923443736</v>
      </c>
      <c r="O47" s="515">
        <v>14.381144323195169</v>
      </c>
      <c r="P47" s="353"/>
      <c r="Q47" s="314" t="s">
        <v>649</v>
      </c>
    </row>
    <row r="48" spans="1:17" x14ac:dyDescent="0.65">
      <c r="A48" s="511" t="s">
        <v>638</v>
      </c>
      <c r="B48" s="515">
        <v>1.0999399377825501</v>
      </c>
      <c r="C48" s="515">
        <v>1.099940184001825</v>
      </c>
      <c r="D48" s="515">
        <v>1.099939217203705</v>
      </c>
      <c r="E48" s="515">
        <v>1.0999392878652969</v>
      </c>
      <c r="F48" s="538"/>
      <c r="G48" s="515">
        <v>1.099940254201776</v>
      </c>
      <c r="H48" s="515">
        <v>1.0999401758359171</v>
      </c>
      <c r="I48" s="515">
        <v>1.09994000040685</v>
      </c>
      <c r="J48" s="515">
        <v>1.0999400794747061</v>
      </c>
      <c r="K48" s="539"/>
      <c r="L48" s="515">
        <v>1.0999412172739149</v>
      </c>
      <c r="M48" s="515">
        <v>1.0999408043584591</v>
      </c>
      <c r="N48" s="515">
        <v>1.0999405938961859</v>
      </c>
      <c r="O48" s="515">
        <v>1.0999401874534991</v>
      </c>
      <c r="P48" s="353"/>
      <c r="Q48" s="376" t="s">
        <v>650</v>
      </c>
    </row>
    <row r="49" spans="1:17" x14ac:dyDescent="0.65">
      <c r="A49" s="511" t="s">
        <v>639</v>
      </c>
      <c r="B49" s="515">
        <v>1.006228729514012</v>
      </c>
      <c r="C49" s="515">
        <v>1.010542673146585</v>
      </c>
      <c r="D49" s="515">
        <v>1.015242168428943</v>
      </c>
      <c r="E49" s="515">
        <v>1.029913091487086</v>
      </c>
      <c r="F49" s="540"/>
      <c r="G49" s="515">
        <v>1.0090968519956149</v>
      </c>
      <c r="H49" s="515">
        <v>1.015136378890733</v>
      </c>
      <c r="I49" s="515">
        <v>1.022199767351605</v>
      </c>
      <c r="J49" s="515">
        <v>1.031453266746005</v>
      </c>
      <c r="K49" s="541"/>
      <c r="L49" s="515">
        <v>1.010194448318156</v>
      </c>
      <c r="M49" s="515">
        <v>1.017464089308965</v>
      </c>
      <c r="N49" s="515">
        <v>1.0253517962401051</v>
      </c>
      <c r="O49" s="515">
        <v>1.0353084799125309</v>
      </c>
      <c r="P49" s="357"/>
      <c r="Q49" s="376" t="s">
        <v>651</v>
      </c>
    </row>
    <row r="50" spans="1:17" x14ac:dyDescent="0.65">
      <c r="A50" s="511" t="s">
        <v>640</v>
      </c>
      <c r="B50" s="515">
        <v>2.7549816856675289</v>
      </c>
      <c r="C50" s="515">
        <v>2.7676403225617099</v>
      </c>
      <c r="D50" s="515">
        <v>2.789664712499996</v>
      </c>
      <c r="E50" s="515">
        <v>2.656518152490118</v>
      </c>
      <c r="F50" s="540"/>
      <c r="G50" s="515">
        <v>2.5266853183632381</v>
      </c>
      <c r="H50" s="515">
        <v>2.5495276449147628</v>
      </c>
      <c r="I50" s="515">
        <v>2.5640264190685409</v>
      </c>
      <c r="J50" s="515">
        <v>2.5983118120228519</v>
      </c>
      <c r="K50" s="541"/>
      <c r="L50" s="515">
        <v>2.3534694515547931</v>
      </c>
      <c r="M50" s="515">
        <v>2.3799724302092331</v>
      </c>
      <c r="N50" s="515">
        <v>2.402166882857721</v>
      </c>
      <c r="O50" s="515">
        <v>2.4246990570999101</v>
      </c>
      <c r="P50" s="357"/>
      <c r="Q50" s="376" t="s">
        <v>652</v>
      </c>
    </row>
    <row r="51" spans="1:17" x14ac:dyDescent="0.65">
      <c r="A51" s="510" t="s">
        <v>641</v>
      </c>
      <c r="B51" s="515">
        <v>9.3345333045552383</v>
      </c>
      <c r="C51" s="515">
        <v>9.2263671952967687</v>
      </c>
      <c r="D51" s="515">
        <v>9.1574479080552553</v>
      </c>
      <c r="E51" s="515">
        <v>9.0155250820493258</v>
      </c>
      <c r="F51" s="538"/>
      <c r="G51" s="515">
        <v>9.2374284210393505</v>
      </c>
      <c r="H51" s="515">
        <v>9.137591905753137</v>
      </c>
      <c r="I51" s="515">
        <v>9.060168641258965</v>
      </c>
      <c r="J51" s="515">
        <v>8.9979045718942263</v>
      </c>
      <c r="K51" s="539"/>
      <c r="L51" s="515">
        <v>9.1975644153490403</v>
      </c>
      <c r="M51" s="515">
        <v>9.0856759616409981</v>
      </c>
      <c r="N51" s="515">
        <v>9.0074373383058859</v>
      </c>
      <c r="O51" s="515">
        <v>8.9471635094049926</v>
      </c>
      <c r="P51" s="353"/>
      <c r="Q51" s="314" t="s">
        <v>653</v>
      </c>
    </row>
    <row r="52" spans="1:17" x14ac:dyDescent="0.65">
      <c r="A52" s="511" t="s">
        <v>642</v>
      </c>
      <c r="B52" s="515">
        <v>2.8612596587687991</v>
      </c>
      <c r="C52" s="515">
        <v>2.8782320654677291</v>
      </c>
      <c r="D52" s="515">
        <v>2.9049567278379991</v>
      </c>
      <c r="E52" s="515">
        <v>2.7864806718549562</v>
      </c>
      <c r="F52" s="540"/>
      <c r="G52" s="515">
        <v>2.635831199209576</v>
      </c>
      <c r="H52" s="515">
        <v>2.6647128156310602</v>
      </c>
      <c r="I52" s="515">
        <v>2.6862756154774412</v>
      </c>
      <c r="J52" s="515">
        <v>2.729813870123543</v>
      </c>
      <c r="K52" s="541"/>
      <c r="L52" s="515">
        <v>2.4637119646989949</v>
      </c>
      <c r="M52" s="515">
        <v>2.497485035293376</v>
      </c>
      <c r="N52" s="515">
        <v>2.5275674175291059</v>
      </c>
      <c r="O52" s="515">
        <v>2.560056267265165</v>
      </c>
      <c r="P52" s="357"/>
      <c r="Q52" s="314" t="s">
        <v>654</v>
      </c>
    </row>
    <row r="53" spans="1:17" x14ac:dyDescent="0.65">
      <c r="A53" s="510" t="s">
        <v>643</v>
      </c>
      <c r="B53" s="515">
        <v>0.1165564891155688</v>
      </c>
      <c r="C53" s="515">
        <v>0.1175233007911702</v>
      </c>
      <c r="D53" s="515">
        <v>0.1187570720664186</v>
      </c>
      <c r="E53" s="515">
        <v>0.1221969923224414</v>
      </c>
      <c r="F53" s="538"/>
      <c r="G53" s="515">
        <v>0.1173428453892935</v>
      </c>
      <c r="H53" s="515">
        <v>0.1189846521217498</v>
      </c>
      <c r="I53" s="515">
        <v>0.12019763112024159</v>
      </c>
      <c r="J53" s="515">
        <v>0.1224699078444912</v>
      </c>
      <c r="K53" s="539"/>
      <c r="L53" s="515">
        <v>0.11730333360411389</v>
      </c>
      <c r="M53" s="515">
        <v>0.1196758314803724</v>
      </c>
      <c r="N53" s="515">
        <v>0.1217077087448179</v>
      </c>
      <c r="O53" s="515">
        <v>0.1235208151716409</v>
      </c>
      <c r="P53" s="353"/>
      <c r="Q53" s="314" t="s">
        <v>655</v>
      </c>
    </row>
    <row r="54" spans="1:17" ht="14.5" x14ac:dyDescent="0.35">
      <c r="B54" s="391"/>
      <c r="G54" s="391"/>
      <c r="L54" s="391"/>
    </row>
    <row r="64" spans="1:17" ht="14.5" x14ac:dyDescent="0.35">
      <c r="B64" s="514">
        <f>B39/B38</f>
        <v>0.73529921977672341</v>
      </c>
      <c r="C64" s="514">
        <f>C39/C38</f>
        <v>0.73513290176812229</v>
      </c>
      <c r="D64" s="514">
        <f>D39/D38</f>
        <v>0.73546546889944464</v>
      </c>
      <c r="E64" s="514">
        <f>E39/E38</f>
        <v>0.73569098580892478</v>
      </c>
      <c r="F64" s="514">
        <f>G39/G38</f>
        <v>0.73560163846974824</v>
      </c>
      <c r="G64" s="514">
        <f>H39/H38</f>
        <v>0.73605404266994645</v>
      </c>
      <c r="H64" s="514">
        <f>I39/I38</f>
        <v>0.73583689827345111</v>
      </c>
      <c r="I64" s="514">
        <f>J39/J38</f>
        <v>0.73561811931115573</v>
      </c>
      <c r="J64" s="514">
        <f>L39/L38</f>
        <v>0.73557174772810607</v>
      </c>
      <c r="K64" s="514">
        <f>M39/M38</f>
        <v>0.73548985426496949</v>
      </c>
      <c r="L64" s="514">
        <f>N39/N38</f>
        <v>0.73541451557515569</v>
      </c>
      <c r="M64" s="514">
        <f>O39/O38</f>
        <v>0.73556261783037213</v>
      </c>
    </row>
    <row r="66" spans="1:14" ht="14.5" x14ac:dyDescent="0.35">
      <c r="B66" s="515">
        <f>B15+B18</f>
        <v>533.02900210689086</v>
      </c>
      <c r="C66" s="515">
        <f>C15+C18</f>
        <v>269.57689949026974</v>
      </c>
      <c r="D66" s="515">
        <f>D15+D18</f>
        <v>136.17985126229377</v>
      </c>
      <c r="E66" s="515">
        <f>E15+E18</f>
        <v>77.679242935038687</v>
      </c>
      <c r="F66" s="515">
        <f>G15+G18</f>
        <v>646.20352101974697</v>
      </c>
      <c r="G66" s="515">
        <f>H15+H18</f>
        <v>330.67132919361768</v>
      </c>
      <c r="H66" s="515">
        <f>I15+I18</f>
        <v>188.75231963139504</v>
      </c>
      <c r="I66" s="515">
        <f>J15+J18</f>
        <v>89.496154135698248</v>
      </c>
      <c r="J66" s="515">
        <f>L15+L18</f>
        <v>741.25167915945076</v>
      </c>
      <c r="K66" s="515">
        <f>M15+M18</f>
        <v>389.89694775045064</v>
      </c>
      <c r="L66" s="515">
        <f>N15+N18</f>
        <v>231.36486825646182</v>
      </c>
      <c r="M66" s="515">
        <f>O15+O18</f>
        <v>129.95583669045101</v>
      </c>
    </row>
    <row r="69" spans="1:14" ht="15.5" x14ac:dyDescent="0.35">
      <c r="A69" s="516"/>
      <c r="B69" s="517">
        <v>6E+19</v>
      </c>
      <c r="C69" s="517">
        <v>6E+19</v>
      </c>
      <c r="D69" s="517">
        <v>6E+19</v>
      </c>
      <c r="E69" s="517">
        <v>6E+19</v>
      </c>
      <c r="F69" s="517">
        <v>7E+19</v>
      </c>
      <c r="G69" s="517">
        <v>7E+19</v>
      </c>
      <c r="H69" s="517">
        <v>7E+19</v>
      </c>
      <c r="I69" s="517">
        <v>7E+19</v>
      </c>
      <c r="J69" s="517">
        <v>8E+19</v>
      </c>
      <c r="K69" s="517">
        <v>8E+19</v>
      </c>
      <c r="L69" s="517">
        <v>8E+19</v>
      </c>
      <c r="M69" s="517">
        <v>8E+19</v>
      </c>
      <c r="N69" s="518" t="s">
        <v>253</v>
      </c>
    </row>
    <row r="70" spans="1:14" ht="15.5" x14ac:dyDescent="0.35">
      <c r="A70" s="516"/>
      <c r="B70" s="519">
        <v>1</v>
      </c>
      <c r="C70" s="519">
        <v>1.5</v>
      </c>
      <c r="D70" s="519">
        <v>2</v>
      </c>
      <c r="E70" s="519">
        <v>2.5</v>
      </c>
      <c r="F70" s="519">
        <v>1</v>
      </c>
      <c r="G70" s="519">
        <v>1.5</v>
      </c>
      <c r="H70" s="519">
        <v>2</v>
      </c>
      <c r="I70" s="519">
        <v>2.5</v>
      </c>
      <c r="J70" s="519">
        <v>1</v>
      </c>
      <c r="K70" s="519">
        <v>1.5</v>
      </c>
      <c r="L70" s="519">
        <v>2</v>
      </c>
      <c r="M70" s="519">
        <v>2.5</v>
      </c>
    </row>
    <row r="71" spans="1:14" ht="15.5" x14ac:dyDescent="0.35">
      <c r="A71" s="50" t="s">
        <v>582</v>
      </c>
      <c r="B71" s="520">
        <f>B25</f>
        <v>0.41862230972473069</v>
      </c>
      <c r="C71" s="520">
        <f>C25</f>
        <v>0.70095312070656457</v>
      </c>
      <c r="D71" s="520">
        <f>D25</f>
        <v>1.0160302689353471</v>
      </c>
      <c r="E71" s="520">
        <f>E25</f>
        <v>2.1199578261063641</v>
      </c>
      <c r="F71" s="520">
        <f>G25</f>
        <v>0.63476934575504662</v>
      </c>
      <c r="G71" s="520">
        <f>H25</f>
        <v>1.064684734900829</v>
      </c>
      <c r="H71" s="520">
        <f>I25</f>
        <v>1.584500946963034</v>
      </c>
      <c r="I71" s="520">
        <f>J25</f>
        <v>2.2628265372665961</v>
      </c>
      <c r="J71" s="520">
        <f>L25</f>
        <v>0.78118838449983641</v>
      </c>
      <c r="K71" s="520">
        <f>M25</f>
        <v>1.2920193701147249</v>
      </c>
      <c r="L71" s="520">
        <f>N25</f>
        <v>1.8987558906408379</v>
      </c>
      <c r="M71" s="520">
        <f>O25</f>
        <v>2.6840505428183752</v>
      </c>
      <c r="N71" s="518" t="s">
        <v>253</v>
      </c>
    </row>
    <row r="72" spans="1:14" ht="15.5" x14ac:dyDescent="0.35">
      <c r="A72" s="3" t="s">
        <v>584</v>
      </c>
      <c r="B72" s="521">
        <f>B28</f>
        <v>0</v>
      </c>
      <c r="C72" s="521">
        <f>C28</f>
        <v>0</v>
      </c>
      <c r="D72" s="521">
        <f>D28</f>
        <v>0</v>
      </c>
      <c r="E72" s="521">
        <f>E28</f>
        <v>0</v>
      </c>
      <c r="F72" s="521">
        <f>G28</f>
        <v>0</v>
      </c>
      <c r="G72" s="521">
        <f>H28</f>
        <v>0</v>
      </c>
      <c r="H72" s="521">
        <f>I28</f>
        <v>0</v>
      </c>
      <c r="I72" s="521">
        <f>J28</f>
        <v>0</v>
      </c>
      <c r="J72" s="521">
        <f>L28</f>
        <v>0</v>
      </c>
      <c r="K72" s="521">
        <f>M28</f>
        <v>0</v>
      </c>
      <c r="L72" s="521">
        <f>N28</f>
        <v>0</v>
      </c>
      <c r="M72" s="521">
        <f>O28</f>
        <v>0</v>
      </c>
    </row>
    <row r="73" spans="1:14" ht="15.5" x14ac:dyDescent="0.35">
      <c r="A73" s="50" t="s">
        <v>585</v>
      </c>
      <c r="B73" s="520">
        <f>B26</f>
        <v>0.19134849849634819</v>
      </c>
      <c r="C73" s="520">
        <f>C26</f>
        <v>0.32088385867532049</v>
      </c>
      <c r="D73" s="520">
        <f>D26</f>
        <v>0.44510736523572758</v>
      </c>
      <c r="E73" s="520">
        <f>E26</f>
        <v>1.009200169097402</v>
      </c>
      <c r="F73" s="520">
        <f>G26</f>
        <v>0.32582668124976838</v>
      </c>
      <c r="G73" s="520">
        <f>H26</f>
        <v>0.53978801943141064</v>
      </c>
      <c r="H73" s="520">
        <f>I26</f>
        <v>0.76265808106171828</v>
      </c>
      <c r="I73" s="520">
        <f>J26</f>
        <v>1.8332910247706939</v>
      </c>
      <c r="J73" s="520">
        <f>L26</f>
        <v>0.434852567446183</v>
      </c>
      <c r="K73" s="520">
        <f>M26</f>
        <v>0.73764856928505318</v>
      </c>
      <c r="L73" s="520">
        <f>N26</f>
        <v>1.0871159941605</v>
      </c>
      <c r="M73" s="520">
        <f>O26</f>
        <v>1.4261847405495349</v>
      </c>
      <c r="N73" s="518" t="s">
        <v>253</v>
      </c>
    </row>
    <row r="74" spans="1:14" ht="15.25" x14ac:dyDescent="0.65">
      <c r="A74" s="3" t="s">
        <v>583</v>
      </c>
      <c r="B74" s="522">
        <f>B29</f>
        <v>0.2010696940182547</v>
      </c>
      <c r="C74" s="522">
        <f>C29</f>
        <v>0.3362520509892678</v>
      </c>
      <c r="D74" s="522">
        <f>D29</f>
        <v>0.48836534497906231</v>
      </c>
      <c r="E74" s="522">
        <f>E29</f>
        <v>1.057247077115923</v>
      </c>
      <c r="F74" s="522">
        <f>G29</f>
        <v>0.33152476201835379</v>
      </c>
      <c r="G74" s="522">
        <f>H29</f>
        <v>0.55521220115795289</v>
      </c>
      <c r="H74" s="522">
        <f>I29</f>
        <v>0.82232796836757627</v>
      </c>
      <c r="I74" s="522">
        <f>J29</f>
        <v>1.185145056118313</v>
      </c>
      <c r="J74" s="522">
        <f>L29</f>
        <v>0.44463676113951001</v>
      </c>
      <c r="K74" s="522">
        <f>M29</f>
        <v>0.75051486838039083</v>
      </c>
      <c r="L74" s="522">
        <f>N29</f>
        <v>1.096639686083418</v>
      </c>
      <c r="M74" s="522">
        <f>O29</f>
        <v>1.6393634129227801</v>
      </c>
    </row>
    <row r="75" spans="1:14" ht="15.25" x14ac:dyDescent="0.65">
      <c r="A75" s="50" t="s">
        <v>586</v>
      </c>
      <c r="B75" s="520">
        <f>B27</f>
        <v>2.0579207300877651E-2</v>
      </c>
      <c r="C75" s="520">
        <f>C27</f>
        <v>3.9420410179144813E-2</v>
      </c>
      <c r="D75" s="520">
        <f>D27</f>
        <v>7.0231065720481642E-2</v>
      </c>
      <c r="E75" s="520">
        <f>E27</f>
        <v>0.1078810150169575</v>
      </c>
      <c r="F75" s="520">
        <f>G27</f>
        <v>3.2605450723411082E-2</v>
      </c>
      <c r="G75" s="520">
        <f>H27</f>
        <v>4.3968234036749917E-2</v>
      </c>
      <c r="H75" s="520">
        <f>I27</f>
        <v>7.0178646731538258E-2</v>
      </c>
      <c r="I75" s="520">
        <f>J27</f>
        <v>0.1233961314759483</v>
      </c>
      <c r="J75" s="520">
        <f>L27</f>
        <v>2.7640264367971269E-2</v>
      </c>
      <c r="K75" s="520">
        <f>M27</f>
        <v>5.9338378725267087E-2</v>
      </c>
      <c r="L75" s="520">
        <f>N27</f>
        <v>0.1015783835701583</v>
      </c>
      <c r="M75" s="520">
        <f>O27</f>
        <v>9.5957041677058111E-2</v>
      </c>
      <c r="N75" s="518" t="s">
        <v>253</v>
      </c>
    </row>
    <row r="76" spans="1:14" ht="15.25" x14ac:dyDescent="0.65">
      <c r="A76" s="3" t="s">
        <v>587</v>
      </c>
      <c r="B76" s="522">
        <f>B30</f>
        <v>2.2764643685802711E-2</v>
      </c>
      <c r="C76" s="522">
        <f>C30</f>
        <v>3.4722498036228837E-2</v>
      </c>
      <c r="D76" s="522">
        <f>D30</f>
        <v>3.9057753365996283E-2</v>
      </c>
      <c r="E76" s="522">
        <f>E30</f>
        <v>0.101663990209114</v>
      </c>
      <c r="F76" s="522">
        <f>G30</f>
        <v>2.852828437417005E-2</v>
      </c>
      <c r="G76" s="522">
        <f>H30</f>
        <v>4.1621891638244028E-2</v>
      </c>
      <c r="H76" s="522">
        <f>I30</f>
        <v>7.5139610047732258E-2</v>
      </c>
      <c r="I76" s="522">
        <f>J30</f>
        <v>9.6939763581797372E-2</v>
      </c>
      <c r="J76" s="522">
        <f>L30</f>
        <v>3.1060425913463599E-2</v>
      </c>
      <c r="K76" s="522">
        <f>M30</f>
        <v>5.6847000970641257E-2</v>
      </c>
      <c r="L76" s="522">
        <f>N30</f>
        <v>8.2933686315911692E-2</v>
      </c>
      <c r="M76" s="522">
        <f>O30</f>
        <v>0.14073505060076499</v>
      </c>
      <c r="N76" s="523"/>
    </row>
    <row r="77" spans="1:14" ht="15.25" x14ac:dyDescent="0.65">
      <c r="A77" s="50" t="s">
        <v>588</v>
      </c>
      <c r="B77" s="524">
        <f>B24</f>
        <v>0.15782996820197831</v>
      </c>
      <c r="C77" s="524">
        <f>C24</f>
        <v>0.23231190388968209</v>
      </c>
      <c r="D77" s="524">
        <f>D24</f>
        <v>0.28966817965585773</v>
      </c>
      <c r="E77" s="524">
        <f>E24</f>
        <v>0.54537985439518744</v>
      </c>
      <c r="F77" s="524">
        <f>G24</f>
        <v>0.26800494850259537</v>
      </c>
      <c r="G77" s="524">
        <f>H24</f>
        <v>0.39060445355217371</v>
      </c>
      <c r="H77" s="524">
        <f>I24</f>
        <v>0.50423272157667343</v>
      </c>
      <c r="I77" s="524">
        <f>J24</f>
        <v>0.61864894702468287</v>
      </c>
      <c r="J77" s="524">
        <f>L24</f>
        <v>0.36111306131804349</v>
      </c>
      <c r="K77" s="524">
        <f>M24</f>
        <v>0.54031573554169243</v>
      </c>
      <c r="L77" s="524">
        <f>N24</f>
        <v>0.69735661932150639</v>
      </c>
      <c r="M77" s="524">
        <f>O24</f>
        <v>0.84238739640577953</v>
      </c>
      <c r="N77" s="518" t="s">
        <v>253</v>
      </c>
    </row>
    <row r="78" spans="1:14" ht="15.25" x14ac:dyDescent="0.65">
      <c r="A78" s="525" t="s">
        <v>589</v>
      </c>
      <c r="B78" s="169">
        <f>B32</f>
        <v>0.6940563179930932</v>
      </c>
      <c r="C78" s="169">
        <f>C32</f>
        <v>0.7045453826597029</v>
      </c>
      <c r="D78" s="169">
        <f>D32</f>
        <v>0.69242340150749127</v>
      </c>
      <c r="E78" s="169">
        <f>E32</f>
        <v>0.73443818459725008</v>
      </c>
      <c r="F78" s="169">
        <f>G32</f>
        <v>0.74064339174072369</v>
      </c>
      <c r="G78" s="169">
        <f>H32</f>
        <v>0.73590572122771503</v>
      </c>
      <c r="H78" s="169">
        <f>I32</f>
        <v>0.7387853660538346</v>
      </c>
      <c r="I78" s="169">
        <f>J32</f>
        <v>0.74688266789457802</v>
      </c>
      <c r="J78" s="169">
        <f>L32</f>
        <v>0.78812959684333295</v>
      </c>
      <c r="K78" s="169">
        <f>M32</f>
        <v>0.78749420826813032</v>
      </c>
      <c r="L78" s="169">
        <f>N32</f>
        <v>0.78897175613577097</v>
      </c>
      <c r="M78" s="169">
        <f>O32</f>
        <v>0.79196567352181702</v>
      </c>
    </row>
    <row r="79" spans="1:14" ht="15.25" x14ac:dyDescent="0.65">
      <c r="A79" s="3" t="s">
        <v>390</v>
      </c>
      <c r="B79" s="169">
        <f>B23</f>
        <v>0.67152913655168456</v>
      </c>
      <c r="C79" s="169">
        <f>C23</f>
        <v>0.99813663122089058</v>
      </c>
      <c r="D79" s="169">
        <f>D23</f>
        <v>1.320909195306843</v>
      </c>
      <c r="E79" s="169">
        <f>E23</f>
        <v>1.76161935760239</v>
      </c>
      <c r="F79" s="169">
        <f>G23</f>
        <v>0.7203415112797863</v>
      </c>
      <c r="G79" s="169">
        <f>H23</f>
        <v>1.0914154070678921</v>
      </c>
      <c r="H79" s="169">
        <f>I23</f>
        <v>1.4220605129095161</v>
      </c>
      <c r="I79" s="169">
        <f>J23</f>
        <v>1.791064419948597</v>
      </c>
      <c r="J79" s="169">
        <f>L23</f>
        <v>0.77016532191918385</v>
      </c>
      <c r="K79" s="169">
        <f>M23</f>
        <v>1.169273660448515</v>
      </c>
      <c r="L79" s="169">
        <f>N23</f>
        <v>1.527854462722273</v>
      </c>
      <c r="M79" s="169">
        <f>O23</f>
        <v>1.892163442214591</v>
      </c>
    </row>
    <row r="80" spans="1:14" ht="15.25" x14ac:dyDescent="0.65">
      <c r="B80" s="287">
        <f>B79/B78</f>
        <v>0.96754271828178529</v>
      </c>
      <c r="C80" s="287">
        <f t="shared" ref="C80:I80" si="0">C79/C78</f>
        <v>1.4167102017656583</v>
      </c>
      <c r="D80" s="287">
        <f t="shared" si="0"/>
        <v>1.9076611108623143</v>
      </c>
      <c r="E80" s="287">
        <f t="shared" si="0"/>
        <v>2.398594455663309</v>
      </c>
      <c r="F80" s="287">
        <f t="shared" si="0"/>
        <v>0.97258885897405745</v>
      </c>
      <c r="G80" s="287">
        <f t="shared" si="0"/>
        <v>1.4830913466022231</v>
      </c>
      <c r="H80" s="287">
        <f t="shared" si="0"/>
        <v>1.9248628603803339</v>
      </c>
      <c r="I80" s="287">
        <f t="shared" si="0"/>
        <v>2.3980532645074106</v>
      </c>
      <c r="J80" s="287">
        <f>J79/J78</f>
        <v>0.97720644549310065</v>
      </c>
      <c r="K80" s="287">
        <f>K79/K78</f>
        <v>1.4848028698776083</v>
      </c>
      <c r="L80" s="287">
        <f>L79/L78</f>
        <v>1.9365135074104614</v>
      </c>
      <c r="M80" s="287">
        <f>M79/M78</f>
        <v>2.3891988068122574</v>
      </c>
      <c r="N80" s="516"/>
    </row>
    <row r="81" spans="1:14" ht="15.25" x14ac:dyDescent="0.65">
      <c r="B81" s="343">
        <f>C31/B78</f>
        <v>1.8722322292399622</v>
      </c>
      <c r="C81" s="343">
        <f>D31/C78</f>
        <v>2.4217544504442587</v>
      </c>
      <c r="D81" s="343">
        <f>E31/D78</f>
        <v>3.20886247566271</v>
      </c>
      <c r="E81" s="343">
        <f>F31/E78</f>
        <v>0</v>
      </c>
      <c r="F81" s="343">
        <f>H31/F78</f>
        <v>1.8499414859396182</v>
      </c>
      <c r="G81" s="343">
        <f>I31/G78</f>
        <v>2.4171550099285497</v>
      </c>
      <c r="H81" s="343">
        <f>J31/H78</f>
        <v>3.0325887795264581</v>
      </c>
      <c r="I81" s="343">
        <f>K31/I78</f>
        <v>0</v>
      </c>
      <c r="J81" s="343">
        <f>M31/J78</f>
        <v>1.8115558677674988</v>
      </c>
      <c r="K81" s="343">
        <f>N31/K78</f>
        <v>2.3676222933522841</v>
      </c>
      <c r="L81" s="343">
        <f>O31/L78</f>
        <v>2.9341150615597362</v>
      </c>
      <c r="M81" s="343">
        <f>P31/M78</f>
        <v>0</v>
      </c>
    </row>
    <row r="82" spans="1:14" ht="15.25" x14ac:dyDescent="0.65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516"/>
    </row>
    <row r="83" spans="1:14" ht="15.25" x14ac:dyDescent="0.65">
      <c r="A83" s="516"/>
      <c r="B83" s="517">
        <v>6E+19</v>
      </c>
      <c r="C83" s="517">
        <v>6E+19</v>
      </c>
      <c r="D83" s="517">
        <v>6E+19</v>
      </c>
      <c r="E83" s="517">
        <v>6E+19</v>
      </c>
      <c r="F83" s="517">
        <v>7E+19</v>
      </c>
      <c r="G83" s="517">
        <v>7E+19</v>
      </c>
      <c r="H83" s="517">
        <v>7E+19</v>
      </c>
      <c r="I83" s="517">
        <v>7E+19</v>
      </c>
      <c r="J83" s="517">
        <v>8E+19</v>
      </c>
      <c r="K83" s="517">
        <v>8E+19</v>
      </c>
      <c r="L83" s="517">
        <v>8E+19</v>
      </c>
      <c r="M83" s="517">
        <v>8E+19</v>
      </c>
      <c r="N83" s="518" t="s">
        <v>253</v>
      </c>
    </row>
    <row r="84" spans="1:14" ht="15.25" x14ac:dyDescent="0.65">
      <c r="A84" s="516"/>
      <c r="B84" s="519">
        <v>1.5</v>
      </c>
      <c r="C84" s="519">
        <v>2</v>
      </c>
      <c r="D84" s="519">
        <v>2.5</v>
      </c>
      <c r="E84" s="519">
        <v>3</v>
      </c>
      <c r="F84" s="519">
        <v>1.5</v>
      </c>
      <c r="G84" s="519">
        <v>2</v>
      </c>
      <c r="H84" s="519">
        <v>2.5</v>
      </c>
      <c r="I84" s="519">
        <v>3</v>
      </c>
      <c r="J84" s="519">
        <v>1.5</v>
      </c>
      <c r="K84" s="519">
        <v>2</v>
      </c>
      <c r="L84" s="519">
        <v>2.5</v>
      </c>
      <c r="M84" s="519">
        <v>3</v>
      </c>
      <c r="N84" s="518" t="s">
        <v>253</v>
      </c>
    </row>
    <row r="85" spans="1:14" ht="15.25" x14ac:dyDescent="0.65">
      <c r="A85" s="3" t="s">
        <v>510</v>
      </c>
      <c r="B85" s="520">
        <v>0.2662885660601797</v>
      </c>
      <c r="C85" s="520">
        <v>0.41960622530694996</v>
      </c>
      <c r="D85" s="520">
        <v>0.58673751843768429</v>
      </c>
      <c r="E85" s="520">
        <v>0.83921245061389993</v>
      </c>
      <c r="F85" s="520">
        <v>0.35485337486929841</v>
      </c>
      <c r="G85" s="520">
        <v>0.52223704226047685</v>
      </c>
      <c r="H85" s="520">
        <v>0.72838324315277037</v>
      </c>
      <c r="I85" s="520">
        <v>0.97459729717624222</v>
      </c>
      <c r="J85" s="520">
        <v>0.45434454503977206</v>
      </c>
      <c r="K85" s="520">
        <v>0.64642516570699271</v>
      </c>
      <c r="L85" s="520">
        <v>0.87373950969186931</v>
      </c>
      <c r="M85" s="520">
        <v>1.1358613625994303</v>
      </c>
      <c r="N85" s="518" t="s">
        <v>253</v>
      </c>
    </row>
    <row r="86" spans="1:14" ht="15.25" x14ac:dyDescent="0.65">
      <c r="A86" s="3" t="s">
        <v>439</v>
      </c>
      <c r="B86" s="520">
        <v>0.22424300299804614</v>
      </c>
      <c r="C86" s="520">
        <v>0.35335261078479996</v>
      </c>
      <c r="D86" s="520">
        <v>0.49409475236857625</v>
      </c>
      <c r="E86" s="520">
        <v>0.70670522156959992</v>
      </c>
      <c r="F86" s="520">
        <v>0.3453143056523818</v>
      </c>
      <c r="G86" s="520">
        <v>0.50819841209218453</v>
      </c>
      <c r="H86" s="520">
        <v>0.70880304844436248</v>
      </c>
      <c r="I86" s="520">
        <v>0.94839844510161186</v>
      </c>
      <c r="J86" s="520">
        <v>0.42838199960892798</v>
      </c>
      <c r="K86" s="520">
        <v>0.60948658480945028</v>
      </c>
      <c r="L86" s="520">
        <v>0.82381153770947679</v>
      </c>
      <c r="M86" s="520">
        <v>1.0709549990223199</v>
      </c>
      <c r="N86" s="518" t="s">
        <v>253</v>
      </c>
    </row>
    <row r="87" spans="1:14" ht="15.25" x14ac:dyDescent="0.65">
      <c r="A87" s="3" t="s">
        <v>437</v>
      </c>
      <c r="B87" s="520">
        <v>5.1856194443298163E-2</v>
      </c>
      <c r="C87" s="520">
        <v>8.1712791243984992E-2</v>
      </c>
      <c r="D87" s="520">
        <v>0.11425941148523325</v>
      </c>
      <c r="E87" s="520">
        <v>0.16342558248796998</v>
      </c>
      <c r="F87" s="520">
        <v>9.348287832578292E-2</v>
      </c>
      <c r="G87" s="520">
        <v>0.1375785756492654</v>
      </c>
      <c r="H87" s="520">
        <v>0.19188590814239645</v>
      </c>
      <c r="I87" s="520">
        <v>0.25674875033137562</v>
      </c>
      <c r="J87" s="520">
        <v>0.12115854534393922</v>
      </c>
      <c r="K87" s="520">
        <v>0.17238004418853142</v>
      </c>
      <c r="L87" s="520">
        <v>0.23299720258449852</v>
      </c>
      <c r="M87" s="520">
        <v>0.30289636335984804</v>
      </c>
      <c r="N87" s="518" t="s">
        <v>253</v>
      </c>
    </row>
    <row r="88" spans="1:14" ht="15.25" x14ac:dyDescent="0.65">
      <c r="A88" s="3" t="s">
        <v>438</v>
      </c>
      <c r="B88" s="524">
        <v>9.9507832580382954E-2</v>
      </c>
      <c r="C88" s="524">
        <v>0.15680022103575497</v>
      </c>
      <c r="D88" s="524">
        <v>0.21925454636355571</v>
      </c>
      <c r="E88" s="524">
        <v>0.31360044207150994</v>
      </c>
      <c r="F88" s="524">
        <v>0.19650482586848247</v>
      </c>
      <c r="G88" s="524">
        <v>0.28919578146682323</v>
      </c>
      <c r="H88" s="524">
        <v>0.40335201099320078</v>
      </c>
      <c r="I88" s="524">
        <v>0.53969635273738137</v>
      </c>
      <c r="J88" s="524">
        <v>0.26611609066615222</v>
      </c>
      <c r="K88" s="524">
        <v>0.37862045419981005</v>
      </c>
      <c r="L88" s="524">
        <v>0.51176171281952343</v>
      </c>
      <c r="M88" s="524">
        <v>0.66529022666538051</v>
      </c>
      <c r="N88" s="518" t="s">
        <v>253</v>
      </c>
    </row>
    <row r="89" spans="1:14" ht="15.25" x14ac:dyDescent="0.65">
      <c r="A89" s="3" t="s">
        <v>391</v>
      </c>
      <c r="B89" s="526">
        <v>2.5499999999999998</v>
      </c>
      <c r="C89" s="526">
        <v>2.5499999999999998</v>
      </c>
      <c r="D89" s="526">
        <v>2.5499999999999998</v>
      </c>
      <c r="E89" s="526">
        <v>2.5499999999999998</v>
      </c>
      <c r="F89" s="526">
        <v>2.5499999999999998</v>
      </c>
      <c r="G89" s="526">
        <v>2.5499999999999998</v>
      </c>
      <c r="H89" s="526">
        <v>2.5499999999999998</v>
      </c>
      <c r="I89" s="526">
        <v>2.5499999999999998</v>
      </c>
      <c r="J89" s="526">
        <v>2.5499999999999998</v>
      </c>
      <c r="K89" s="526">
        <v>2.5499999999999998</v>
      </c>
      <c r="L89" s="526">
        <v>2.5499999999999998</v>
      </c>
      <c r="M89" s="526">
        <v>2.5499999999999998</v>
      </c>
    </row>
    <row r="90" spans="1:14" ht="15.25" x14ac:dyDescent="0.65">
      <c r="A90" s="525" t="s">
        <v>589</v>
      </c>
      <c r="B90" s="527">
        <v>0.77</v>
      </c>
      <c r="C90" s="527">
        <v>0.77</v>
      </c>
      <c r="D90" s="527">
        <v>0.77</v>
      </c>
      <c r="E90" s="527">
        <v>0.77</v>
      </c>
      <c r="F90" s="527">
        <v>0.73</v>
      </c>
      <c r="G90" s="527">
        <v>0.73</v>
      </c>
      <c r="H90" s="527">
        <v>0.73</v>
      </c>
      <c r="I90" s="527">
        <v>0.73</v>
      </c>
      <c r="J90" s="527">
        <v>0.69</v>
      </c>
      <c r="K90" s="527">
        <v>0.69</v>
      </c>
      <c r="L90" s="527">
        <v>0.69</v>
      </c>
      <c r="M90" s="527">
        <v>0.69</v>
      </c>
    </row>
    <row r="91" spans="1:14" ht="15.25" x14ac:dyDescent="0.65">
      <c r="A91" s="3" t="s">
        <v>390</v>
      </c>
      <c r="B91" s="69">
        <f>B90*B84</f>
        <v>1.155</v>
      </c>
      <c r="C91" s="69">
        <f t="shared" ref="C91:M91" si="1">C90*C84</f>
        <v>1.54</v>
      </c>
      <c r="D91" s="69">
        <f t="shared" si="1"/>
        <v>1.925</v>
      </c>
      <c r="E91" s="69">
        <f t="shared" si="1"/>
        <v>2.31</v>
      </c>
      <c r="F91" s="69">
        <f t="shared" si="1"/>
        <v>1.095</v>
      </c>
      <c r="G91" s="69">
        <f t="shared" si="1"/>
        <v>1.46</v>
      </c>
      <c r="H91" s="69">
        <f t="shared" si="1"/>
        <v>1.825</v>
      </c>
      <c r="I91" s="69">
        <f t="shared" si="1"/>
        <v>2.19</v>
      </c>
      <c r="J91" s="69">
        <f t="shared" si="1"/>
        <v>1.0349999999999999</v>
      </c>
      <c r="K91" s="69">
        <f t="shared" si="1"/>
        <v>1.38</v>
      </c>
      <c r="L91" s="69">
        <f t="shared" si="1"/>
        <v>1.7249999999999999</v>
      </c>
      <c r="M91" s="69">
        <f t="shared" si="1"/>
        <v>2.0699999999999998</v>
      </c>
    </row>
    <row r="92" spans="1:14" ht="15.25" x14ac:dyDescent="0.65">
      <c r="B92" s="287">
        <f t="shared" ref="B92:M92" si="2">B91/B90</f>
        <v>1.5</v>
      </c>
      <c r="C92" s="287">
        <f t="shared" si="2"/>
        <v>2</v>
      </c>
      <c r="D92" s="287">
        <f t="shared" si="2"/>
        <v>2.5</v>
      </c>
      <c r="E92" s="287">
        <f t="shared" si="2"/>
        <v>3</v>
      </c>
      <c r="F92" s="287">
        <f t="shared" si="2"/>
        <v>1.5</v>
      </c>
      <c r="G92" s="287">
        <f t="shared" si="2"/>
        <v>2</v>
      </c>
      <c r="H92" s="287">
        <f t="shared" si="2"/>
        <v>2.5</v>
      </c>
      <c r="I92" s="287">
        <f t="shared" si="2"/>
        <v>3</v>
      </c>
      <c r="J92" s="287">
        <f t="shared" si="2"/>
        <v>1.5</v>
      </c>
      <c r="K92" s="287">
        <f t="shared" si="2"/>
        <v>2</v>
      </c>
      <c r="L92" s="287">
        <f t="shared" si="2"/>
        <v>2.5</v>
      </c>
      <c r="M92" s="287">
        <f t="shared" si="2"/>
        <v>3</v>
      </c>
    </row>
    <row r="94" spans="1:14" ht="15.25" x14ac:dyDescent="0.65">
      <c r="B94" s="528">
        <f>C34*10^6/(((17.589)*10^6)*1.6*10^(-19))/10^19</f>
        <v>1.0930631142112046</v>
      </c>
      <c r="C94" s="528">
        <f>D34*10^6/(((17.589)*10^6)*1.6*10^(-19))/10^19</f>
        <v>1.0851899691697462</v>
      </c>
      <c r="D94" s="528">
        <f>E34*10^6/(((17.589)*10^6)*1.6*10^(-19))/10^19</f>
        <v>1.1650928449245306</v>
      </c>
      <c r="E94" s="544">
        <f>F34*10^6/(((17.589)*10^6)*1.6*10^(-19))/10^19</f>
        <v>0</v>
      </c>
      <c r="F94" s="528">
        <f>H34*10^6/(((17.589)*10^6)*1.6*10^(-19))/10^19</f>
        <v>1.1743854651358194</v>
      </c>
      <c r="G94" s="528">
        <f>I34*10^6/(((17.589)*10^6)*1.6*10^(-19))/10^19</f>
        <v>1.1794993553226938</v>
      </c>
      <c r="H94" s="528">
        <f>J34*10^6/(((17.589)*10^6)*1.6*10^(-19))/10^19</f>
        <v>1.1433295349442496</v>
      </c>
      <c r="I94" s="544">
        <f>K34*10^6/(((17.589)*10^6)*1.6*10^(-19))/10^19</f>
        <v>0</v>
      </c>
      <c r="J94" s="528">
        <f>M34*10^6/(((17.589)*10^6)*1.6*10^(-19))/10^19</f>
        <v>1.1854819423360186</v>
      </c>
      <c r="K94" s="528">
        <f>N34*10^6/(((17.589)*10^6)*1.6*10^(-19))/10^19</f>
        <v>1.1749990412657147</v>
      </c>
      <c r="L94" s="528">
        <f>O34*10^6/(((17.589)*10^6)*1.6*10^(-19))/10^19</f>
        <v>1.1977403558403477</v>
      </c>
      <c r="M94" s="544">
        <f>P34*10^6/(((17.589)*10^6)*1.6*10^(-19))/10^19</f>
        <v>0</v>
      </c>
    </row>
    <row r="95" spans="1:14" ht="15.25" x14ac:dyDescent="0.65">
      <c r="B95" s="169">
        <f>C11/100</f>
        <v>1.0923799497648219</v>
      </c>
      <c r="C95" s="169">
        <f>D11/100</f>
        <v>1.084511725439014</v>
      </c>
      <c r="D95" s="169">
        <f>E11/100</f>
        <v>1.1643646618964529</v>
      </c>
      <c r="E95" s="545">
        <f>F11/100</f>
        <v>0</v>
      </c>
      <c r="F95" s="169">
        <f>H11/100</f>
        <v>1.173651474220109</v>
      </c>
      <c r="G95" s="169">
        <f>I11/100</f>
        <v>1.1787621682256171</v>
      </c>
      <c r="H95" s="169">
        <f>J11/100</f>
        <v>1.1426149539849089</v>
      </c>
      <c r="I95" s="545">
        <f>K11/100</f>
        <v>0</v>
      </c>
      <c r="J95" s="169">
        <f>M11/100</f>
        <v>1.1847410161220591</v>
      </c>
      <c r="K95" s="169">
        <f>N11/100</f>
        <v>1.174264666864923</v>
      </c>
      <c r="L95" s="169">
        <f>O11/100</f>
        <v>1.1969917681179469</v>
      </c>
      <c r="M95" s="545">
        <f>P11/100</f>
        <v>0</v>
      </c>
    </row>
    <row r="96" spans="1:14" x14ac:dyDescent="0.65">
      <c r="E96" s="354"/>
      <c r="I96" s="354"/>
      <c r="M96" s="354"/>
    </row>
    <row r="97" spans="1:13" ht="15.25" x14ac:dyDescent="0.65">
      <c r="A97" s="3" t="s">
        <v>398</v>
      </c>
      <c r="B97" s="169">
        <f>C39*'параметры для расчета'!$K$5</f>
        <v>406.26775559857384</v>
      </c>
      <c r="C97" s="169">
        <f>D39*'параметры для расчета'!$K$5</f>
        <v>408.90374789736052</v>
      </c>
      <c r="D97" s="169">
        <f>E39*'параметры для расчета'!$K$5</f>
        <v>410.71618123414004</v>
      </c>
      <c r="E97" s="545">
        <f>F39*'параметры для расчета'!$K$5</f>
        <v>0</v>
      </c>
      <c r="F97" s="169">
        <f>H39*'параметры для расчета'!$K$5</f>
        <v>413.66987069166964</v>
      </c>
      <c r="G97" s="169">
        <f>I39*'параметры для расчета'!$K$5</f>
        <v>411.93839076645634</v>
      </c>
      <c r="H97" s="169">
        <f>J39*'параметры для расчета'!$K$5</f>
        <v>410.16919866409251</v>
      </c>
      <c r="I97" s="545">
        <f>K39*'параметры для расчета'!$K$5</f>
        <v>0</v>
      </c>
      <c r="J97" s="169">
        <f>M39*'параметры для расчета'!$K$5</f>
        <v>409.13704037346037</v>
      </c>
      <c r="K97" s="169">
        <f>N39*'параметры для расчета'!$K$5</f>
        <v>408.5336061334566</v>
      </c>
      <c r="L97" s="169">
        <f>O39*'параметры для расчета'!$K$5</f>
        <v>409.70505262479031</v>
      </c>
      <c r="M97" s="545">
        <f>P39*'параметры для расчета'!$K$5</f>
        <v>0</v>
      </c>
    </row>
    <row r="98" spans="1:13" ht="15.25" x14ac:dyDescent="0.65">
      <c r="A98" s="3" t="s">
        <v>406</v>
      </c>
      <c r="B98" s="278">
        <f>C25*C14+C28*C17+C15*C26+C18*C29+C16*C27+C19*C30-C24*C11/100</f>
        <v>123.110847502049</v>
      </c>
      <c r="C98" s="278">
        <f>D25*D14+D28*D17+D15*D26+D18*D29+D16*D27+D19*D30-D24*D11/100</f>
        <v>114.78068128104455</v>
      </c>
      <c r="D98" s="278">
        <f>E25*E14+E28*E17+E15*E26+E18*E29+E16*E27+E19*E30-E24*E11/100</f>
        <v>183.48262336134798</v>
      </c>
      <c r="E98" s="546">
        <f>F25*F14+F28*F17+F15*F26+F18*F29+F16*F27+F19*F30-F24*F11/100</f>
        <v>0</v>
      </c>
      <c r="F98" s="278">
        <f>H25*H14+H28*H17+H15*H26+H18*H29+H16*H27+H19*H30-H24*H11/100</f>
        <v>230.16934568332934</v>
      </c>
      <c r="G98" s="278">
        <f>I25*I14+I28*I17+I15*I26+I18*I29+I16*I27+I19*I30-I24*I11/100</f>
        <v>225.99368733551609</v>
      </c>
      <c r="H98" s="278">
        <f>J25*J14+J28*J17+J15*J26+J18*J29+J16*J27+J19*J30-J24*J11/100</f>
        <v>217.98099633920575</v>
      </c>
      <c r="I98" s="546">
        <f>K25*K14+K28*K17+K15*K26+K18*K29+K16*K27+K19*K30-K24*K11/100</f>
        <v>0</v>
      </c>
      <c r="J98" s="278">
        <f>M25*M14+M28*M17+M15*M26+M18*M29+M16*M27+M19*M30-M24*M11/100</f>
        <v>350.97851495551384</v>
      </c>
      <c r="K98" s="278">
        <f>N25*N14+N28*N17+N15*N26+N18*N29+N16*N27+N19*N30-N24*N11/100</f>
        <v>343.4161885503101</v>
      </c>
      <c r="L98" s="278">
        <f>O25*O14+O28*O17+O15*O26+O18*O29+O16*O27+O19*O30-O24*O11/100</f>
        <v>329.93628588098716</v>
      </c>
      <c r="M98" s="546">
        <f>P25*P14+P28*P17+P15*P26+P18*P29+P16*P27+P19*P30-P24*P11/100</f>
        <v>0</v>
      </c>
    </row>
    <row r="99" spans="1:13" ht="15.25" x14ac:dyDescent="0.65">
      <c r="A99" s="3" t="s">
        <v>397</v>
      </c>
      <c r="B99" s="169">
        <f>B97+B98</f>
        <v>529.37860310062285</v>
      </c>
      <c r="C99" s="169">
        <f t="shared" ref="C99:M99" si="3">C97+C98</f>
        <v>523.68442917840503</v>
      </c>
      <c r="D99" s="169">
        <f t="shared" si="3"/>
        <v>594.19880459548801</v>
      </c>
      <c r="E99" s="545">
        <f t="shared" si="3"/>
        <v>0</v>
      </c>
      <c r="F99" s="169">
        <f t="shared" si="3"/>
        <v>643.83921637499895</v>
      </c>
      <c r="G99" s="169">
        <f t="shared" si="3"/>
        <v>637.93207810197237</v>
      </c>
      <c r="H99" s="169">
        <f t="shared" si="3"/>
        <v>628.15019500329822</v>
      </c>
      <c r="I99" s="545">
        <f t="shared" si="3"/>
        <v>0</v>
      </c>
      <c r="J99" s="169">
        <f t="shared" si="3"/>
        <v>760.11555532897421</v>
      </c>
      <c r="K99" s="169">
        <f t="shared" si="3"/>
        <v>751.94979468376664</v>
      </c>
      <c r="L99" s="169">
        <f>L97+L98</f>
        <v>739.64133850577741</v>
      </c>
      <c r="M99" s="545">
        <f t="shared" si="3"/>
        <v>0</v>
      </c>
    </row>
    <row r="100" spans="1:13" ht="15.25" x14ac:dyDescent="0.65">
      <c r="A100" s="3" t="s">
        <v>630</v>
      </c>
      <c r="B100" s="343">
        <f>121*C2</f>
        <v>726.19293193099077</v>
      </c>
      <c r="C100" s="343"/>
      <c r="D100" s="343"/>
      <c r="E100" s="547"/>
      <c r="F100" s="343"/>
      <c r="G100" s="343"/>
      <c r="H100" s="343"/>
      <c r="I100" s="547"/>
      <c r="J100" s="343"/>
      <c r="K100" s="343"/>
      <c r="L100" s="343"/>
      <c r="M100" s="547"/>
    </row>
    <row r="101" spans="1:13" x14ac:dyDescent="0.65">
      <c r="E101" s="354"/>
      <c r="I101" s="354"/>
      <c r="M101" s="354"/>
    </row>
    <row r="102" spans="1:13" ht="15.25" x14ac:dyDescent="0.65">
      <c r="A102" s="3" t="s">
        <v>396</v>
      </c>
      <c r="B102" s="287">
        <f>C12</f>
        <v>530.63570881290138</v>
      </c>
      <c r="C102" s="287">
        <f>D12</f>
        <v>396.58443530959153</v>
      </c>
      <c r="D102" s="287">
        <f>E12</f>
        <v>337.73673500475962</v>
      </c>
      <c r="E102" s="548">
        <f>F12</f>
        <v>0</v>
      </c>
      <c r="F102" s="287">
        <f>H12</f>
        <v>590.33764641511175</v>
      </c>
      <c r="G102" s="287">
        <f>I12</f>
        <v>448.85021000672089</v>
      </c>
      <c r="H102" s="287">
        <f>J12</f>
        <v>349.89636081269907</v>
      </c>
      <c r="I102" s="548">
        <f>K12</f>
        <v>0</v>
      </c>
      <c r="J102" s="287">
        <f>M12</f>
        <v>650.55845908100196</v>
      </c>
      <c r="K102" s="287">
        <f>N12</f>
        <v>492.09228707851992</v>
      </c>
      <c r="L102" s="287">
        <f>O12</f>
        <v>390.38188190777993</v>
      </c>
      <c r="M102" s="548">
        <f>P12</f>
        <v>0</v>
      </c>
    </row>
    <row r="103" spans="1:13" ht="15.25" x14ac:dyDescent="0.65">
      <c r="A103" s="4" t="s">
        <v>629</v>
      </c>
      <c r="B103" s="169">
        <f t="shared" ref="B103:M103" si="4">B99/B102</f>
        <v>0.99763094399528662</v>
      </c>
      <c r="C103" s="169">
        <f t="shared" si="4"/>
        <v>1.3204865913852457</v>
      </c>
      <c r="D103" s="169">
        <f t="shared" si="4"/>
        <v>1.7593549738885057</v>
      </c>
      <c r="E103" s="545" t="e">
        <f t="shared" si="4"/>
        <v>#DIV/0!</v>
      </c>
      <c r="F103" s="169">
        <f t="shared" si="4"/>
        <v>1.0906287618361816</v>
      </c>
      <c r="G103" s="169">
        <f t="shared" si="4"/>
        <v>1.4212582814485488</v>
      </c>
      <c r="H103" s="169">
        <f t="shared" si="4"/>
        <v>1.7952464368143273</v>
      </c>
      <c r="I103" s="545" t="e">
        <f t="shared" si="4"/>
        <v>#DIV/0!</v>
      </c>
      <c r="J103" s="169">
        <f t="shared" si="4"/>
        <v>1.1684046909523487</v>
      </c>
      <c r="K103" s="169">
        <f t="shared" si="4"/>
        <v>1.5280666135776741</v>
      </c>
      <c r="L103" s="169">
        <f>L99/L102</f>
        <v>1.8946610300948936</v>
      </c>
      <c r="M103" s="545" t="e">
        <f t="shared" si="4"/>
        <v>#DIV/0!</v>
      </c>
    </row>
    <row r="104" spans="1:13" ht="15.25" x14ac:dyDescent="0.65">
      <c r="A104" s="3" t="s">
        <v>390</v>
      </c>
      <c r="B104" s="287">
        <f>C23</f>
        <v>0.99813663122089058</v>
      </c>
      <c r="C104" s="287">
        <f>D23</f>
        <v>1.320909195306843</v>
      </c>
      <c r="D104" s="287">
        <f>E23</f>
        <v>1.76161935760239</v>
      </c>
      <c r="E104" s="548">
        <f>F23</f>
        <v>0</v>
      </c>
      <c r="F104" s="287">
        <f>H23</f>
        <v>1.0914154070678921</v>
      </c>
      <c r="G104" s="287">
        <f>I23</f>
        <v>1.4220605129095161</v>
      </c>
      <c r="H104" s="287">
        <f>J23</f>
        <v>1.791064419948597</v>
      </c>
      <c r="I104" s="548">
        <f>K23</f>
        <v>0</v>
      </c>
      <c r="J104" s="287">
        <f>M23</f>
        <v>1.169273660448515</v>
      </c>
      <c r="K104" s="287">
        <f>N23</f>
        <v>1.527854462722273</v>
      </c>
      <c r="L104" s="287">
        <f>O23</f>
        <v>1.892163442214591</v>
      </c>
      <c r="M104" s="548">
        <f>P23</f>
        <v>0</v>
      </c>
    </row>
    <row r="106" spans="1:13" ht="15.25" x14ac:dyDescent="0.65">
      <c r="B106" s="172" t="s">
        <v>670</v>
      </c>
      <c r="C106" s="172" t="s">
        <v>710</v>
      </c>
      <c r="D106" s="69" t="s">
        <v>510</v>
      </c>
      <c r="E106" s="69" t="s">
        <v>439</v>
      </c>
      <c r="F106" s="69" t="s">
        <v>437</v>
      </c>
      <c r="G106" s="69" t="s">
        <v>438</v>
      </c>
      <c r="H106" s="69" t="s">
        <v>391</v>
      </c>
      <c r="I106" s="387" t="s">
        <v>589</v>
      </c>
      <c r="J106" s="69" t="s">
        <v>390</v>
      </c>
    </row>
    <row r="107" spans="1:13" ht="15.25" x14ac:dyDescent="0.65">
      <c r="B107" s="529">
        <v>6</v>
      </c>
      <c r="C107" s="519">
        <v>1.5</v>
      </c>
      <c r="D107" s="520">
        <v>0.2662885660601797</v>
      </c>
      <c r="E107" s="520">
        <v>0.22424300299804614</v>
      </c>
      <c r="F107" s="520">
        <v>5.1856194443298163E-2</v>
      </c>
      <c r="G107" s="524">
        <v>9.9507832580382954E-2</v>
      </c>
      <c r="H107" s="526">
        <v>2.5499999999999998</v>
      </c>
      <c r="I107" s="527">
        <v>0.77</v>
      </c>
      <c r="J107" s="69">
        <f>I107*C107</f>
        <v>1.155</v>
      </c>
    </row>
    <row r="108" spans="1:13" ht="15.25" x14ac:dyDescent="0.65">
      <c r="B108" s="529">
        <v>6</v>
      </c>
      <c r="C108" s="519">
        <v>2</v>
      </c>
      <c r="D108" s="520">
        <v>0.41960622530694996</v>
      </c>
      <c r="E108" s="520">
        <v>0.35335261078479996</v>
      </c>
      <c r="F108" s="520">
        <v>8.1712791243984992E-2</v>
      </c>
      <c r="G108" s="524">
        <v>0.15680022103575497</v>
      </c>
      <c r="H108" s="526">
        <v>2.5499999999999998</v>
      </c>
      <c r="I108" s="527">
        <v>0.77</v>
      </c>
      <c r="J108" s="69">
        <f t="shared" ref="J108:J118" si="5">I108*C108</f>
        <v>1.54</v>
      </c>
    </row>
    <row r="109" spans="1:13" ht="15.25" x14ac:dyDescent="0.65">
      <c r="B109" s="529">
        <v>6</v>
      </c>
      <c r="C109" s="519">
        <v>2.5</v>
      </c>
      <c r="D109" s="520">
        <v>0.58673751843768429</v>
      </c>
      <c r="E109" s="520">
        <v>0.49409475236857625</v>
      </c>
      <c r="F109" s="520">
        <v>0.11425941148523325</v>
      </c>
      <c r="G109" s="524">
        <v>0.21925454636355571</v>
      </c>
      <c r="H109" s="526">
        <v>2.5499999999999998</v>
      </c>
      <c r="I109" s="527">
        <v>0.77</v>
      </c>
      <c r="J109" s="69">
        <f t="shared" si="5"/>
        <v>1.925</v>
      </c>
    </row>
    <row r="110" spans="1:13" ht="15.25" x14ac:dyDescent="0.65">
      <c r="B110" s="529">
        <v>6</v>
      </c>
      <c r="C110" s="519">
        <v>3</v>
      </c>
      <c r="D110" s="520">
        <v>0.83921245061389993</v>
      </c>
      <c r="E110" s="520">
        <v>0.70670522156959992</v>
      </c>
      <c r="F110" s="520">
        <v>0.16342558248796998</v>
      </c>
      <c r="G110" s="524">
        <v>0.31360044207150994</v>
      </c>
      <c r="H110" s="526">
        <v>2.5499999999999998</v>
      </c>
      <c r="I110" s="527">
        <v>0.77</v>
      </c>
      <c r="J110" s="69">
        <f t="shared" si="5"/>
        <v>2.31</v>
      </c>
    </row>
    <row r="111" spans="1:13" ht="15.25" x14ac:dyDescent="0.65">
      <c r="B111" s="529">
        <v>7</v>
      </c>
      <c r="C111" s="519">
        <v>1.5</v>
      </c>
      <c r="D111" s="520">
        <v>0.35485337486929841</v>
      </c>
      <c r="E111" s="520">
        <v>0.3453143056523818</v>
      </c>
      <c r="F111" s="520">
        <v>9.348287832578292E-2</v>
      </c>
      <c r="G111" s="524">
        <v>0.19650482586848247</v>
      </c>
      <c r="H111" s="526">
        <v>2.5499999999999998</v>
      </c>
      <c r="I111" s="527">
        <v>0.73</v>
      </c>
      <c r="J111" s="69">
        <f t="shared" si="5"/>
        <v>1.095</v>
      </c>
    </row>
    <row r="112" spans="1:13" ht="15.25" x14ac:dyDescent="0.65">
      <c r="B112" s="529">
        <v>7</v>
      </c>
      <c r="C112" s="519">
        <v>2</v>
      </c>
      <c r="D112" s="520">
        <v>0.52223704226047685</v>
      </c>
      <c r="E112" s="520">
        <v>0.50819841209218453</v>
      </c>
      <c r="F112" s="520">
        <v>0.1375785756492654</v>
      </c>
      <c r="G112" s="524">
        <v>0.28919578146682323</v>
      </c>
      <c r="H112" s="526">
        <v>2.5499999999999998</v>
      </c>
      <c r="I112" s="527">
        <v>0.73</v>
      </c>
      <c r="J112" s="69">
        <f t="shared" si="5"/>
        <v>1.46</v>
      </c>
    </row>
    <row r="113" spans="1:14" ht="15.25" x14ac:dyDescent="0.65">
      <c r="B113" s="529">
        <v>7</v>
      </c>
      <c r="C113" s="519">
        <v>2.5</v>
      </c>
      <c r="D113" s="520">
        <v>0.72838324315277037</v>
      </c>
      <c r="E113" s="520">
        <v>0.70880304844436248</v>
      </c>
      <c r="F113" s="520">
        <v>0.19188590814239645</v>
      </c>
      <c r="G113" s="524">
        <v>0.40335201099320078</v>
      </c>
      <c r="H113" s="526">
        <v>2.5499999999999998</v>
      </c>
      <c r="I113" s="527">
        <v>0.73</v>
      </c>
      <c r="J113" s="69">
        <f t="shared" si="5"/>
        <v>1.825</v>
      </c>
    </row>
    <row r="114" spans="1:14" ht="15.25" x14ac:dyDescent="0.65">
      <c r="B114" s="529">
        <v>7</v>
      </c>
      <c r="C114" s="519">
        <v>3</v>
      </c>
      <c r="D114" s="520">
        <v>0.97459729717624222</v>
      </c>
      <c r="E114" s="520">
        <v>0.94839844510161186</v>
      </c>
      <c r="F114" s="520">
        <v>0.25674875033137562</v>
      </c>
      <c r="G114" s="524">
        <v>0.53969635273738137</v>
      </c>
      <c r="H114" s="526">
        <v>2.5499999999999998</v>
      </c>
      <c r="I114" s="527">
        <v>0.73</v>
      </c>
      <c r="J114" s="69">
        <f t="shared" si="5"/>
        <v>2.19</v>
      </c>
    </row>
    <row r="115" spans="1:14" ht="15.25" x14ac:dyDescent="0.65">
      <c r="B115" s="529">
        <v>8</v>
      </c>
      <c r="C115" s="519">
        <v>1.5</v>
      </c>
      <c r="D115" s="520">
        <v>0.45434454503977206</v>
      </c>
      <c r="E115" s="520">
        <v>0.42838199960892798</v>
      </c>
      <c r="F115" s="520">
        <v>0.12115854534393922</v>
      </c>
      <c r="G115" s="524">
        <v>0.26611609066615222</v>
      </c>
      <c r="H115" s="526">
        <v>2.5499999999999998</v>
      </c>
      <c r="I115" s="527">
        <v>0.69</v>
      </c>
      <c r="J115" s="69">
        <f t="shared" si="5"/>
        <v>1.0349999999999999</v>
      </c>
    </row>
    <row r="116" spans="1:14" ht="15.25" x14ac:dyDescent="0.65">
      <c r="B116" s="529">
        <v>8</v>
      </c>
      <c r="C116" s="519">
        <v>2</v>
      </c>
      <c r="D116" s="520">
        <v>0.64642516570699271</v>
      </c>
      <c r="E116" s="520">
        <v>0.60948658480945028</v>
      </c>
      <c r="F116" s="520">
        <v>0.17238004418853142</v>
      </c>
      <c r="G116" s="524">
        <v>0.37862045419981005</v>
      </c>
      <c r="H116" s="526">
        <v>2.5499999999999998</v>
      </c>
      <c r="I116" s="527">
        <v>0.69</v>
      </c>
      <c r="J116" s="69">
        <f t="shared" si="5"/>
        <v>1.38</v>
      </c>
    </row>
    <row r="117" spans="1:14" ht="15.25" x14ac:dyDescent="0.65">
      <c r="B117" s="529">
        <v>8</v>
      </c>
      <c r="C117" s="519">
        <v>2.5</v>
      </c>
      <c r="D117" s="520">
        <v>0.87373950969186931</v>
      </c>
      <c r="E117" s="520">
        <v>0.82381153770947679</v>
      </c>
      <c r="F117" s="520">
        <v>0.23299720258449852</v>
      </c>
      <c r="G117" s="524">
        <v>0.51176171281952343</v>
      </c>
      <c r="H117" s="526">
        <v>2.5499999999999998</v>
      </c>
      <c r="I117" s="527">
        <v>0.69</v>
      </c>
      <c r="J117" s="69">
        <f t="shared" si="5"/>
        <v>1.7249999999999999</v>
      </c>
    </row>
    <row r="118" spans="1:14" ht="15.25" x14ac:dyDescent="0.65">
      <c r="B118" s="529">
        <v>8</v>
      </c>
      <c r="C118" s="519">
        <v>3</v>
      </c>
      <c r="D118" s="520">
        <v>1.1358613625994303</v>
      </c>
      <c r="E118" s="520">
        <v>1.0709549990223199</v>
      </c>
      <c r="F118" s="520">
        <v>0.30289636335984804</v>
      </c>
      <c r="G118" s="524">
        <v>0.66529022666538051</v>
      </c>
      <c r="H118" s="526">
        <v>2.5499999999999998</v>
      </c>
      <c r="I118" s="527">
        <v>0.69</v>
      </c>
      <c r="J118" s="69">
        <f t="shared" si="5"/>
        <v>2.0699999999999998</v>
      </c>
    </row>
    <row r="120" spans="1:14" ht="15.25" x14ac:dyDescent="0.65">
      <c r="A120" s="3" t="s">
        <v>510</v>
      </c>
      <c r="B120" s="530">
        <f>B71/B85</f>
        <v>1.5720626533777813</v>
      </c>
      <c r="C120" s="530">
        <f t="shared" ref="C120:I120" si="6">C71/C85</f>
        <v>1.6705021957045656</v>
      </c>
      <c r="D120" s="530">
        <f t="shared" si="6"/>
        <v>1.731660643827154</v>
      </c>
      <c r="E120" s="530">
        <f t="shared" si="6"/>
        <v>2.5261277100400195</v>
      </c>
      <c r="F120" s="530">
        <f t="shared" si="6"/>
        <v>1.7888214984255073</v>
      </c>
      <c r="G120" s="530">
        <f t="shared" si="6"/>
        <v>2.0387001471446653</v>
      </c>
      <c r="H120" s="530">
        <f t="shared" si="6"/>
        <v>2.175367104966063</v>
      </c>
      <c r="I120" s="530">
        <f t="shared" si="6"/>
        <v>2.3218067029559961</v>
      </c>
      <c r="J120" s="530">
        <f>J71/J85</f>
        <v>1.7193744109582152</v>
      </c>
      <c r="K120" s="530">
        <f>K71/K85</f>
        <v>1.9987145282341356</v>
      </c>
      <c r="L120" s="530">
        <f>L71/L85</f>
        <v>2.1731372675483662</v>
      </c>
      <c r="M120" s="530">
        <f>M71/M85</f>
        <v>2.3630089297833834</v>
      </c>
      <c r="N120" s="531" t="s">
        <v>671</v>
      </c>
    </row>
    <row r="121" spans="1:14" ht="15.25" x14ac:dyDescent="0.65">
      <c r="A121" s="3" t="s">
        <v>439</v>
      </c>
      <c r="B121" s="530">
        <f>B73/B86</f>
        <v>0.85330866933678828</v>
      </c>
      <c r="C121" s="530">
        <f t="shared" ref="C121:I121" si="7">C73/C86</f>
        <v>0.90811231863444841</v>
      </c>
      <c r="D121" s="530">
        <f t="shared" si="7"/>
        <v>0.90085426550673842</v>
      </c>
      <c r="E121" s="530">
        <f t="shared" si="7"/>
        <v>1.4280355348952389</v>
      </c>
      <c r="F121" s="530">
        <f t="shared" si="7"/>
        <v>0.94356554569670492</v>
      </c>
      <c r="G121" s="530">
        <f t="shared" si="7"/>
        <v>1.0621599882793336</v>
      </c>
      <c r="H121" s="530">
        <f t="shared" si="7"/>
        <v>1.075980249711896</v>
      </c>
      <c r="I121" s="530">
        <f t="shared" si="7"/>
        <v>1.9330388342995166</v>
      </c>
      <c r="J121" s="530">
        <f>J73/J86</f>
        <v>1.0151046678972553</v>
      </c>
      <c r="K121" s="530">
        <f>K73/K86</f>
        <v>1.2102785978721278</v>
      </c>
      <c r="L121" s="530">
        <f>L73/L86</f>
        <v>1.3196173449853763</v>
      </c>
      <c r="M121" s="530">
        <f>M73/M86</f>
        <v>1.3316943679720492</v>
      </c>
      <c r="N121" s="531" t="s">
        <v>671</v>
      </c>
    </row>
    <row r="122" spans="1:14" ht="15.25" x14ac:dyDescent="0.65">
      <c r="A122" s="3" t="s">
        <v>437</v>
      </c>
      <c r="B122" s="532">
        <f>B75/B87</f>
        <v>0.39685147592887593</v>
      </c>
      <c r="C122" s="532">
        <f t="shared" ref="C122:I122" si="8">C75/C87</f>
        <v>0.48242643017101206</v>
      </c>
      <c r="D122" s="532">
        <f t="shared" si="8"/>
        <v>0.6146632895055496</v>
      </c>
      <c r="E122" s="532">
        <f t="shared" si="8"/>
        <v>0.66012317884746585</v>
      </c>
      <c r="F122" s="532">
        <f t="shared" si="8"/>
        <v>0.34878526749874772</v>
      </c>
      <c r="G122" s="532">
        <f t="shared" si="8"/>
        <v>0.31958634423458421</v>
      </c>
      <c r="H122" s="532">
        <f t="shared" si="8"/>
        <v>0.36573111288328397</v>
      </c>
      <c r="I122" s="532">
        <f t="shared" si="8"/>
        <v>0.48061044626969252</v>
      </c>
      <c r="J122" s="532">
        <f>J75/J87</f>
        <v>0.22813301603702305</v>
      </c>
      <c r="K122" s="532">
        <f>K75/K87</f>
        <v>0.34422997745823131</v>
      </c>
      <c r="L122" s="532">
        <f>L75/L87</f>
        <v>0.43596396198499421</v>
      </c>
      <c r="M122" s="532">
        <f>M75/M87</f>
        <v>0.31679826265546435</v>
      </c>
      <c r="N122" s="533" t="s">
        <v>672</v>
      </c>
    </row>
    <row r="123" spans="1:14" x14ac:dyDescent="0.65">
      <c r="B123" s="530">
        <f t="shared" ref="B123:M123" si="9">1/B122</f>
        <v>2.519834398144511</v>
      </c>
      <c r="C123" s="530">
        <f t="shared" si="9"/>
        <v>2.072854921413648</v>
      </c>
      <c r="D123" s="530">
        <f t="shared" si="9"/>
        <v>1.6269069864322381</v>
      </c>
      <c r="E123" s="530">
        <f t="shared" si="9"/>
        <v>1.5148687881948608</v>
      </c>
      <c r="F123" s="530">
        <f t="shared" si="9"/>
        <v>2.8670935764326408</v>
      </c>
      <c r="G123" s="530">
        <f t="shared" si="9"/>
        <v>3.1290448357392124</v>
      </c>
      <c r="H123" s="530">
        <f t="shared" si="9"/>
        <v>2.7342491922997283</v>
      </c>
      <c r="I123" s="530">
        <f t="shared" si="9"/>
        <v>2.0806871922189853</v>
      </c>
      <c r="J123" s="530">
        <f t="shared" si="9"/>
        <v>4.3834076161852558</v>
      </c>
      <c r="K123" s="530">
        <f t="shared" si="9"/>
        <v>2.9050346148930029</v>
      </c>
      <c r="L123" s="530">
        <f t="shared" si="9"/>
        <v>2.2937675752988498</v>
      </c>
      <c r="M123" s="530">
        <f t="shared" si="9"/>
        <v>3.1565829673995256</v>
      </c>
      <c r="N123" s="531" t="s">
        <v>671</v>
      </c>
    </row>
    <row r="124" spans="1:14" ht="15.25" x14ac:dyDescent="0.65">
      <c r="A124" s="3" t="s">
        <v>438</v>
      </c>
      <c r="B124" s="532">
        <f t="shared" ref="B124:I124" si="10">B77/B88</f>
        <v>1.5861059788884702</v>
      </c>
      <c r="C124" s="532">
        <f t="shared" si="10"/>
        <v>1.4815789311719674</v>
      </c>
      <c r="D124" s="532">
        <f t="shared" si="10"/>
        <v>1.3211501629505371</v>
      </c>
      <c r="E124" s="532">
        <f t="shared" si="10"/>
        <v>1.7390914719145234</v>
      </c>
      <c r="F124" s="532">
        <f t="shared" si="10"/>
        <v>1.3638593725019597</v>
      </c>
      <c r="G124" s="532">
        <f t="shared" si="10"/>
        <v>1.350657508110934</v>
      </c>
      <c r="H124" s="532">
        <f t="shared" si="10"/>
        <v>1.2501058822914191</v>
      </c>
      <c r="I124" s="532">
        <f t="shared" si="10"/>
        <v>1.1462907686643571</v>
      </c>
      <c r="J124" s="532">
        <f>J77/J88</f>
        <v>1.356975673338997</v>
      </c>
      <c r="K124" s="532">
        <f>K77/K88</f>
        <v>1.4270643055553218</v>
      </c>
      <c r="L124" s="532">
        <f>L77/L88</f>
        <v>1.3626588348695683</v>
      </c>
      <c r="M124" s="532">
        <f>M77/M88</f>
        <v>1.2661953575179652</v>
      </c>
    </row>
    <row r="125" spans="1:14" ht="15.25" x14ac:dyDescent="0.65">
      <c r="A125" s="525" t="s">
        <v>589</v>
      </c>
      <c r="B125" s="532">
        <f>B78/B90</f>
        <v>0.9013718415494717</v>
      </c>
      <c r="C125" s="532">
        <f t="shared" ref="C125:I126" si="11">C78/C90</f>
        <v>0.9149940034541596</v>
      </c>
      <c r="D125" s="532">
        <f t="shared" si="11"/>
        <v>0.89925117078894967</v>
      </c>
      <c r="E125" s="532">
        <f t="shared" si="11"/>
        <v>0.95381582415227284</v>
      </c>
      <c r="F125" s="532">
        <f t="shared" si="11"/>
        <v>1.0145799886859228</v>
      </c>
      <c r="G125" s="532">
        <f t="shared" si="11"/>
        <v>1.0080900290790618</v>
      </c>
      <c r="H125" s="532">
        <f t="shared" si="11"/>
        <v>1.0120347480189515</v>
      </c>
      <c r="I125" s="532">
        <f t="shared" si="11"/>
        <v>1.0231269423213398</v>
      </c>
      <c r="J125" s="532">
        <f t="shared" ref="J125:M126" si="12">J78/J90</f>
        <v>1.1422168070193233</v>
      </c>
      <c r="K125" s="532">
        <f t="shared" si="12"/>
        <v>1.1412959540117831</v>
      </c>
      <c r="L125" s="532">
        <f t="shared" si="12"/>
        <v>1.1434373277330014</v>
      </c>
      <c r="M125" s="532">
        <f t="shared" si="12"/>
        <v>1.147776338437416</v>
      </c>
    </row>
    <row r="126" spans="1:14" ht="15.25" x14ac:dyDescent="0.65">
      <c r="A126" s="3" t="s">
        <v>390</v>
      </c>
      <c r="B126" s="532">
        <f>B79/B91</f>
        <v>0.58141050783695636</v>
      </c>
      <c r="C126" s="532">
        <f t="shared" si="11"/>
        <v>0.64814066962395489</v>
      </c>
      <c r="D126" s="532">
        <f t="shared" si="11"/>
        <v>0.68618659496459378</v>
      </c>
      <c r="E126" s="532">
        <f t="shared" si="11"/>
        <v>0.76260578251185707</v>
      </c>
      <c r="F126" s="532">
        <f t="shared" si="11"/>
        <v>0.65784612902263595</v>
      </c>
      <c r="G126" s="532">
        <f t="shared" si="11"/>
        <v>0.74754479936156992</v>
      </c>
      <c r="H126" s="532">
        <f t="shared" si="11"/>
        <v>0.77921123995041974</v>
      </c>
      <c r="I126" s="532">
        <f t="shared" si="11"/>
        <v>0.8178376346797247</v>
      </c>
      <c r="J126" s="532">
        <f t="shared" si="12"/>
        <v>0.74412108397988785</v>
      </c>
      <c r="K126" s="532">
        <f t="shared" si="12"/>
        <v>0.84729975394819934</v>
      </c>
      <c r="L126" s="532">
        <f t="shared" si="12"/>
        <v>0.8857127320129119</v>
      </c>
      <c r="M126" s="532">
        <f t="shared" si="12"/>
        <v>0.91408861942733866</v>
      </c>
    </row>
    <row r="127" spans="1:14" x14ac:dyDescent="0.65">
      <c r="B127" s="390"/>
      <c r="C127" s="390"/>
      <c r="D127" s="390"/>
      <c r="E127" s="390"/>
      <c r="F127" s="390"/>
      <c r="G127" s="390"/>
      <c r="H127" s="390"/>
      <c r="I127" s="390"/>
      <c r="J127" s="390"/>
      <c r="K127" s="390"/>
      <c r="L127" s="390"/>
      <c r="M127" s="390"/>
    </row>
    <row r="128" spans="1:14" x14ac:dyDescent="0.65">
      <c r="B128" s="532">
        <f>B71/B75</f>
        <v>20.342003635236111</v>
      </c>
      <c r="C128" s="532">
        <f t="shared" ref="C128:M128" si="13">C71/C75</f>
        <v>17.78147709577615</v>
      </c>
      <c r="D128" s="532">
        <f t="shared" si="13"/>
        <v>14.466963565370472</v>
      </c>
      <c r="E128" s="532">
        <f t="shared" si="13"/>
        <v>19.650888766416724</v>
      </c>
      <c r="F128" s="532">
        <f t="shared" si="13"/>
        <v>19.468197239159004</v>
      </c>
      <c r="G128" s="532">
        <f t="shared" si="13"/>
        <v>24.2148623483703</v>
      </c>
      <c r="H128" s="532">
        <f t="shared" si="13"/>
        <v>22.578106315221376</v>
      </c>
      <c r="I128" s="532">
        <f t="shared" si="13"/>
        <v>18.337905007238042</v>
      </c>
      <c r="J128" s="532">
        <f t="shared" si="13"/>
        <v>28.26269583025605</v>
      </c>
      <c r="K128" s="532">
        <f t="shared" si="13"/>
        <v>21.773755836786378</v>
      </c>
      <c r="L128" s="532">
        <f t="shared" si="13"/>
        <v>18.692519253659935</v>
      </c>
      <c r="M128" s="532">
        <f t="shared" si="13"/>
        <v>27.971376523377039</v>
      </c>
    </row>
    <row r="129" spans="2:13" x14ac:dyDescent="0.65">
      <c r="B129" s="532"/>
      <c r="C129" s="532"/>
      <c r="D129" s="532"/>
      <c r="E129" s="532"/>
      <c r="F129" s="532"/>
      <c r="G129" s="532"/>
      <c r="H129" s="532"/>
      <c r="I129" s="532"/>
      <c r="J129" s="532"/>
      <c r="K129" s="532"/>
      <c r="L129" s="532"/>
      <c r="M129" s="532"/>
    </row>
    <row r="130" spans="2:13" x14ac:dyDescent="0.65">
      <c r="B130" s="532">
        <f>B85/B87</f>
        <v>5.1351351351351342</v>
      </c>
      <c r="C130" s="532">
        <f t="shared" ref="C130:M130" si="14">C85/C87</f>
        <v>5.1351351351351351</v>
      </c>
      <c r="D130" s="532">
        <f t="shared" si="14"/>
        <v>5.135135135135136</v>
      </c>
      <c r="E130" s="532">
        <f t="shared" si="14"/>
        <v>5.1351351351351351</v>
      </c>
      <c r="F130" s="532">
        <f t="shared" si="14"/>
        <v>3.7959183673469385</v>
      </c>
      <c r="G130" s="532">
        <f t="shared" si="14"/>
        <v>3.795918367346939</v>
      </c>
      <c r="H130" s="532">
        <f t="shared" si="14"/>
        <v>3.7959183673469394</v>
      </c>
      <c r="I130" s="532">
        <f t="shared" si="14"/>
        <v>3.795918367346939</v>
      </c>
      <c r="J130" s="532">
        <f t="shared" si="14"/>
        <v>3.75</v>
      </c>
      <c r="K130" s="532">
        <f t="shared" si="14"/>
        <v>3.7499999999999991</v>
      </c>
      <c r="L130" s="532">
        <f t="shared" si="14"/>
        <v>3.7499999999999996</v>
      </c>
      <c r="M130" s="532">
        <f t="shared" si="14"/>
        <v>3.7500000000000004</v>
      </c>
    </row>
  </sheetData>
  <pageMargins left="0.23622047244094491" right="0.23622047244094491" top="0.74803149606299213" bottom="0.74803149606299213" header="0.31496062992125984" footer="0.31496062992125984"/>
  <pageSetup paperSize="9" scale="87" fitToWidth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zoomScale="70" zoomScaleNormal="70" workbookViewId="0">
      <selection activeCell="AK3" sqref="AK3"/>
    </sheetView>
  </sheetViews>
  <sheetFormatPr defaultColWidth="9.1796875" defaultRowHeight="15.25" x14ac:dyDescent="0.65"/>
  <cols>
    <col min="1" max="1" width="14.81640625" style="8" customWidth="1"/>
    <col min="2" max="2" width="19.54296875" style="8" customWidth="1"/>
    <col min="3" max="3" width="71.1796875" style="8" customWidth="1"/>
    <col min="4" max="4" width="9.1796875" style="8"/>
    <col min="5" max="5" width="12.1796875" style="8" customWidth="1"/>
    <col min="6" max="6" width="9.1796875" style="8"/>
    <col min="7" max="7" width="7.453125" style="83" customWidth="1"/>
    <col min="8" max="8" width="2.54296875" style="8" customWidth="1"/>
    <col min="9" max="9" width="4.453125" style="8" customWidth="1"/>
    <col min="10" max="10" width="10.54296875" style="8" customWidth="1"/>
    <col min="11" max="11" width="9.1796875" style="8"/>
    <col min="12" max="12" width="18.1796875" style="65" customWidth="1"/>
    <col min="13" max="13" width="3.1796875" style="8" customWidth="1"/>
    <col min="14" max="14" width="4.26953125" style="8" customWidth="1"/>
    <col min="15" max="15" width="11.81640625" style="8" customWidth="1"/>
    <col min="16" max="16" width="9.1796875" style="8"/>
    <col min="17" max="17" width="7" style="83" customWidth="1"/>
    <col min="18" max="19" width="3.26953125" style="8" customWidth="1"/>
    <col min="20" max="20" width="11.81640625" style="8" customWidth="1"/>
    <col min="21" max="21" width="9.1796875" style="8"/>
    <col min="22" max="22" width="9" style="83" customWidth="1"/>
    <col min="23" max="23" width="3.453125" style="8" customWidth="1"/>
    <col min="24" max="24" width="3.26953125" style="8" customWidth="1"/>
    <col min="25" max="25" width="11.81640625" style="8" customWidth="1"/>
    <col min="26" max="26" width="9.1796875" style="8"/>
    <col min="27" max="27" width="7.54296875" style="83" customWidth="1"/>
    <col min="28" max="28" width="3.26953125" style="8" customWidth="1"/>
    <col min="29" max="29" width="3.54296875" style="29" customWidth="1"/>
    <col min="30" max="30" width="12" style="82" customWidth="1"/>
    <col min="31" max="31" width="9.1796875" style="82"/>
    <col min="32" max="32" width="9.7265625" style="82" customWidth="1"/>
    <col min="33" max="33" width="3.54296875" style="82" customWidth="1"/>
    <col min="34" max="34" width="3.81640625" style="82" customWidth="1"/>
    <col min="35" max="35" width="12" style="82" customWidth="1"/>
    <col min="36" max="36" width="9.1796875" style="82"/>
    <col min="37" max="37" width="9.7265625" style="8" bestFit="1" customWidth="1"/>
    <col min="38" max="38" width="9.1796875" style="8"/>
    <col min="39" max="39" width="19.7265625" style="44" customWidth="1"/>
    <col min="40" max="40" width="21.54296875" style="44" customWidth="1"/>
    <col min="41" max="41" width="21.81640625" style="44" customWidth="1"/>
    <col min="42" max="42" width="15.7265625" style="44" customWidth="1"/>
    <col min="43" max="43" width="39.1796875" style="44" customWidth="1"/>
    <col min="44" max="44" width="37.54296875" style="8" customWidth="1"/>
    <col min="45" max="45" width="37" style="8" customWidth="1"/>
    <col min="46" max="46" width="16.1796875" style="8" customWidth="1"/>
    <col min="47" max="47" width="19.453125" style="8" customWidth="1"/>
    <col min="48" max="48" width="17.81640625" style="8" customWidth="1"/>
    <col min="49" max="49" width="17.26953125" style="8" customWidth="1"/>
    <col min="50" max="50" width="15.453125" style="8" customWidth="1"/>
    <col min="51" max="52" width="17.7265625" style="8" customWidth="1"/>
    <col min="53" max="16384" width="9.1796875" style="8"/>
  </cols>
  <sheetData>
    <row r="1" spans="1:57" x14ac:dyDescent="0.65">
      <c r="A1" s="85" t="s">
        <v>169</v>
      </c>
      <c r="B1" s="85"/>
      <c r="E1" s="1"/>
      <c r="J1" s="1"/>
      <c r="O1" s="1"/>
      <c r="T1" s="1"/>
      <c r="Y1" s="1"/>
      <c r="AC1" s="86"/>
      <c r="AD1" s="78"/>
      <c r="AI1" s="78"/>
    </row>
    <row r="2" spans="1:57" x14ac:dyDescent="0.65">
      <c r="D2" s="10" t="s">
        <v>165</v>
      </c>
      <c r="E2" s="87" t="s">
        <v>38</v>
      </c>
      <c r="F2" s="83"/>
      <c r="H2" s="83"/>
      <c r="I2" s="83"/>
      <c r="J2" s="87" t="s">
        <v>117</v>
      </c>
      <c r="K2" s="83"/>
      <c r="M2" s="83"/>
      <c r="N2" s="83"/>
      <c r="O2" s="87" t="s">
        <v>48</v>
      </c>
      <c r="P2" s="83"/>
      <c r="R2" s="83"/>
      <c r="S2" s="83"/>
      <c r="T2" s="87" t="s">
        <v>121</v>
      </c>
      <c r="U2" s="83"/>
      <c r="W2" s="83"/>
      <c r="X2" s="83"/>
      <c r="Y2" s="87" t="s">
        <v>164</v>
      </c>
      <c r="Z2" s="83"/>
      <c r="AB2" s="83"/>
      <c r="AC2" s="34"/>
      <c r="AD2" s="87" t="s">
        <v>99</v>
      </c>
      <c r="AE2" s="83"/>
      <c r="AF2" s="83"/>
      <c r="AG2" s="83"/>
      <c r="AH2" s="34"/>
      <c r="AI2" s="87" t="s">
        <v>238</v>
      </c>
      <c r="AJ2" s="65"/>
      <c r="AK2" s="65"/>
      <c r="BB2" s="71" t="s">
        <v>285</v>
      </c>
      <c r="BC2" s="71"/>
      <c r="BD2" s="71"/>
      <c r="BE2" s="71"/>
    </row>
    <row r="3" spans="1:57" x14ac:dyDescent="0.65">
      <c r="D3" s="10" t="s">
        <v>36</v>
      </c>
      <c r="E3" s="13">
        <v>100</v>
      </c>
      <c r="F3" s="8" t="s">
        <v>2</v>
      </c>
      <c r="H3" s="64"/>
      <c r="J3" s="13">
        <v>100</v>
      </c>
      <c r="K3" s="8" t="s">
        <v>2</v>
      </c>
      <c r="O3" s="91">
        <v>100</v>
      </c>
      <c r="P3" s="8" t="s">
        <v>2</v>
      </c>
      <c r="T3" s="13">
        <v>100</v>
      </c>
      <c r="U3" s="8" t="s">
        <v>2</v>
      </c>
      <c r="Y3" s="13">
        <v>100</v>
      </c>
      <c r="Z3" s="8" t="s">
        <v>2</v>
      </c>
      <c r="AD3" s="13">
        <v>100</v>
      </c>
      <c r="AE3" s="65" t="s">
        <v>2</v>
      </c>
      <c r="AF3" s="65"/>
      <c r="AG3" s="65"/>
      <c r="AH3" s="29"/>
      <c r="AI3" s="13">
        <v>100</v>
      </c>
      <c r="AJ3" s="65" t="s">
        <v>2</v>
      </c>
      <c r="AK3" s="65"/>
      <c r="AM3" s="613" t="s">
        <v>130</v>
      </c>
      <c r="AN3" s="614"/>
      <c r="AO3" s="614"/>
      <c r="AP3" s="615"/>
      <c r="AQ3" s="88" t="s">
        <v>103</v>
      </c>
      <c r="AR3" s="88" t="s">
        <v>171</v>
      </c>
      <c r="AS3" s="88" t="s">
        <v>172</v>
      </c>
      <c r="AU3" s="89" t="s">
        <v>67</v>
      </c>
      <c r="AV3" s="600" t="s">
        <v>69</v>
      </c>
      <c r="AW3" s="600" t="s">
        <v>70</v>
      </c>
      <c r="AX3" s="600" t="s">
        <v>71</v>
      </c>
      <c r="AY3" s="600" t="s">
        <v>72</v>
      </c>
    </row>
    <row r="4" spans="1:57" x14ac:dyDescent="0.65">
      <c r="A4" s="58"/>
      <c r="B4" s="1" t="s">
        <v>244</v>
      </c>
      <c r="E4" s="1"/>
      <c r="J4" s="28"/>
      <c r="O4" s="1"/>
      <c r="T4" s="1"/>
      <c r="Y4" s="1"/>
      <c r="AD4" s="78"/>
      <c r="AI4" s="78"/>
      <c r="AM4" s="599" t="s">
        <v>199</v>
      </c>
      <c r="AN4" s="599"/>
      <c r="AO4" s="599"/>
      <c r="AP4" s="599"/>
      <c r="AQ4" s="88">
        <v>0.5</v>
      </c>
      <c r="AR4" s="88">
        <v>2.75</v>
      </c>
      <c r="AS4" s="88">
        <v>6.2</v>
      </c>
      <c r="AU4" s="90" t="s">
        <v>68</v>
      </c>
      <c r="AV4" s="601"/>
      <c r="AW4" s="601"/>
      <c r="AX4" s="601"/>
      <c r="AY4" s="601"/>
    </row>
    <row r="5" spans="1:57" x14ac:dyDescent="0.65">
      <c r="A5" s="142"/>
      <c r="B5" s="1" t="s">
        <v>243</v>
      </c>
      <c r="D5" s="7" t="s">
        <v>254</v>
      </c>
      <c r="E5" s="91">
        <v>50</v>
      </c>
      <c r="F5" s="8" t="s">
        <v>16</v>
      </c>
      <c r="H5" s="24"/>
      <c r="J5" s="63">
        <v>50</v>
      </c>
      <c r="K5" s="8" t="s">
        <v>16</v>
      </c>
      <c r="O5" s="91">
        <v>90</v>
      </c>
      <c r="P5" s="8" t="s">
        <v>16</v>
      </c>
      <c r="T5" s="144"/>
      <c r="U5" s="8" t="s">
        <v>16</v>
      </c>
      <c r="Y5" s="144"/>
      <c r="Z5" s="8" t="s">
        <v>16</v>
      </c>
      <c r="AD5" s="144"/>
      <c r="AE5" s="8" t="s">
        <v>16</v>
      </c>
      <c r="AF5" s="52"/>
      <c r="AG5" s="52"/>
      <c r="AH5" s="29"/>
      <c r="AI5" s="144"/>
      <c r="AJ5" s="8" t="s">
        <v>16</v>
      </c>
      <c r="AK5" s="52"/>
      <c r="AM5" s="599" t="s">
        <v>173</v>
      </c>
      <c r="AN5" s="599"/>
      <c r="AO5" s="599"/>
      <c r="AP5" s="599"/>
      <c r="AQ5" s="608" t="s">
        <v>174</v>
      </c>
      <c r="AR5" s="88" t="s">
        <v>128</v>
      </c>
      <c r="AS5" s="608" t="s">
        <v>175</v>
      </c>
      <c r="AU5" s="92" t="s">
        <v>73</v>
      </c>
      <c r="AV5" s="93">
        <v>0.56000000000000005</v>
      </c>
      <c r="AW5" s="93">
        <v>0.56000000000000005</v>
      </c>
      <c r="AX5" s="93">
        <v>0.55000000000000004</v>
      </c>
      <c r="AY5" s="93">
        <v>0.8</v>
      </c>
    </row>
    <row r="6" spans="1:57" x14ac:dyDescent="0.65">
      <c r="A6" s="143"/>
      <c r="B6" s="1" t="s">
        <v>242</v>
      </c>
      <c r="D6" s="7" t="s">
        <v>273</v>
      </c>
      <c r="E6" s="13">
        <v>0.5</v>
      </c>
      <c r="F6" s="8" t="s">
        <v>16</v>
      </c>
      <c r="G6" s="19"/>
      <c r="H6" s="24"/>
      <c r="J6" s="63">
        <v>0.5</v>
      </c>
      <c r="K6" s="8" t="s">
        <v>16</v>
      </c>
      <c r="L6" s="72" t="s">
        <v>278</v>
      </c>
      <c r="O6" s="13"/>
      <c r="P6" s="8" t="s">
        <v>16</v>
      </c>
      <c r="T6" s="13"/>
      <c r="U6" s="8" t="s">
        <v>16</v>
      </c>
      <c r="Y6" s="13"/>
      <c r="Z6" s="8" t="s">
        <v>16</v>
      </c>
      <c r="AD6" s="13"/>
      <c r="AE6" s="8" t="s">
        <v>16</v>
      </c>
      <c r="AF6" s="65"/>
      <c r="AG6" s="65"/>
      <c r="AH6" s="29"/>
      <c r="AI6" s="13"/>
      <c r="AJ6" s="8" t="s">
        <v>16</v>
      </c>
      <c r="AK6" s="65"/>
      <c r="AM6" s="599"/>
      <c r="AN6" s="599"/>
      <c r="AO6" s="599"/>
      <c r="AP6" s="599"/>
      <c r="AQ6" s="609"/>
      <c r="AR6" s="88" t="s">
        <v>129</v>
      </c>
      <c r="AS6" s="609"/>
      <c r="AU6" s="92"/>
      <c r="AV6" s="93"/>
      <c r="AW6" s="93"/>
      <c r="AX6" s="93"/>
      <c r="AY6" s="93"/>
    </row>
    <row r="7" spans="1:57" x14ac:dyDescent="0.65">
      <c r="A7" s="45"/>
      <c r="B7" s="12" t="s">
        <v>270</v>
      </c>
      <c r="E7" s="1"/>
      <c r="J7" s="28"/>
      <c r="O7" s="1"/>
      <c r="T7" s="1"/>
      <c r="Y7" s="1"/>
      <c r="AD7" s="78"/>
      <c r="AI7" s="78"/>
      <c r="AK7" s="65"/>
      <c r="AM7" s="599"/>
      <c r="AN7" s="599"/>
      <c r="AO7" s="599"/>
      <c r="AP7" s="599"/>
      <c r="AQ7" s="610"/>
      <c r="AR7" s="88" t="s">
        <v>176</v>
      </c>
      <c r="AS7" s="610"/>
      <c r="AU7" s="92" t="s">
        <v>74</v>
      </c>
      <c r="AV7" s="93">
        <v>0.86</v>
      </c>
      <c r="AW7" s="93">
        <v>0.92</v>
      </c>
      <c r="AX7" s="93">
        <v>1</v>
      </c>
      <c r="AY7" s="93">
        <v>1.2</v>
      </c>
    </row>
    <row r="8" spans="1:57" ht="17.25" customHeight="1" x14ac:dyDescent="0.65">
      <c r="D8" s="10" t="s">
        <v>31</v>
      </c>
      <c r="E8" s="94">
        <v>2.5</v>
      </c>
      <c r="F8" s="1" t="s">
        <v>0</v>
      </c>
      <c r="H8" s="59"/>
      <c r="J8" s="94">
        <v>110</v>
      </c>
      <c r="K8" s="1" t="s">
        <v>0</v>
      </c>
      <c r="L8" s="79">
        <v>113</v>
      </c>
      <c r="O8" s="94">
        <v>1600</v>
      </c>
      <c r="P8" s="1" t="s">
        <v>0</v>
      </c>
      <c r="T8" s="94">
        <v>65</v>
      </c>
      <c r="U8" s="1" t="s">
        <v>0</v>
      </c>
      <c r="Y8" s="94">
        <v>227</v>
      </c>
      <c r="Z8" s="1" t="s">
        <v>0</v>
      </c>
      <c r="AD8" s="94">
        <v>100</v>
      </c>
      <c r="AE8" s="21" t="s">
        <v>0</v>
      </c>
      <c r="AF8" s="21"/>
      <c r="AG8" s="21"/>
      <c r="AH8" s="29"/>
      <c r="AI8" s="94">
        <v>130</v>
      </c>
      <c r="AJ8" s="21" t="s">
        <v>0</v>
      </c>
      <c r="AK8" s="21"/>
      <c r="AM8" s="599" t="s">
        <v>177</v>
      </c>
      <c r="AN8" s="599"/>
      <c r="AO8" s="599"/>
      <c r="AP8" s="599"/>
      <c r="AQ8" s="88" t="s">
        <v>178</v>
      </c>
      <c r="AR8" s="88" t="s">
        <v>179</v>
      </c>
      <c r="AS8" s="88" t="s">
        <v>179</v>
      </c>
      <c r="AU8" s="92" t="s">
        <v>75</v>
      </c>
      <c r="AV8" s="93">
        <v>1.53</v>
      </c>
      <c r="AW8" s="93">
        <v>1.65</v>
      </c>
      <c r="AX8" s="93">
        <v>1.8</v>
      </c>
      <c r="AY8" s="93">
        <v>1.5</v>
      </c>
    </row>
    <row r="9" spans="1:57" ht="19.5" customHeight="1" x14ac:dyDescent="0.65">
      <c r="A9" s="60"/>
      <c r="B9" s="60"/>
      <c r="D9" s="10" t="s">
        <v>62</v>
      </c>
      <c r="E9" s="94">
        <v>13</v>
      </c>
      <c r="F9" s="65" t="s">
        <v>3</v>
      </c>
      <c r="H9" s="59"/>
      <c r="J9" s="84">
        <v>180</v>
      </c>
      <c r="K9" s="65" t="s">
        <v>3</v>
      </c>
      <c r="L9" s="79">
        <v>188</v>
      </c>
      <c r="O9" s="94">
        <v>940</v>
      </c>
      <c r="P9" s="65" t="s">
        <v>3</v>
      </c>
      <c r="T9" s="94">
        <v>200</v>
      </c>
      <c r="U9" s="65" t="s">
        <v>3</v>
      </c>
      <c r="Y9" s="94">
        <v>314</v>
      </c>
      <c r="Z9" s="65" t="s">
        <v>3</v>
      </c>
      <c r="AD9" s="145"/>
      <c r="AE9" s="65" t="s">
        <v>3</v>
      </c>
      <c r="AF9" s="65"/>
      <c r="AG9" s="65"/>
      <c r="AH9" s="29"/>
      <c r="AI9" s="145"/>
      <c r="AJ9" s="65" t="s">
        <v>3</v>
      </c>
      <c r="AK9" s="65"/>
      <c r="AM9" s="599" t="s">
        <v>180</v>
      </c>
      <c r="AN9" s="599"/>
      <c r="AO9" s="599"/>
      <c r="AP9" s="599"/>
      <c r="AQ9" s="88" t="s">
        <v>181</v>
      </c>
      <c r="AR9" s="88" t="s">
        <v>181</v>
      </c>
      <c r="AS9" s="88" t="s">
        <v>182</v>
      </c>
      <c r="AU9" s="92" t="s">
        <v>76</v>
      </c>
      <c r="AV9" s="93">
        <v>2.65</v>
      </c>
      <c r="AW9" s="93">
        <v>2.7</v>
      </c>
      <c r="AX9" s="95">
        <v>41488</v>
      </c>
      <c r="AY9" s="93">
        <v>3.1</v>
      </c>
    </row>
    <row r="10" spans="1:57" ht="21.75" customHeight="1" x14ac:dyDescent="0.65">
      <c r="A10" s="60"/>
      <c r="B10" s="60"/>
      <c r="D10" s="10" t="s">
        <v>21</v>
      </c>
      <c r="E10" s="96">
        <f>0.5*10^20</f>
        <v>5E+19</v>
      </c>
      <c r="F10" s="1" t="s">
        <v>1</v>
      </c>
      <c r="G10" s="20"/>
      <c r="H10" s="36"/>
      <c r="J10" s="96">
        <f>1*10^20</f>
        <v>1E+20</v>
      </c>
      <c r="K10" s="1" t="s">
        <v>1</v>
      </c>
      <c r="L10" s="37"/>
      <c r="M10" s="36"/>
      <c r="O10" s="96">
        <f>0.8*10^20</f>
        <v>8E+19</v>
      </c>
      <c r="P10" s="1" t="s">
        <v>1</v>
      </c>
      <c r="Q10" s="20"/>
      <c r="R10" s="36"/>
      <c r="S10" s="1"/>
      <c r="T10" s="97">
        <f>0.8*10^20</f>
        <v>8E+19</v>
      </c>
      <c r="U10" s="1" t="s">
        <v>1</v>
      </c>
      <c r="V10" s="20"/>
      <c r="W10" s="16"/>
      <c r="X10" s="1"/>
      <c r="Y10" s="96">
        <f>1.65*10^20</f>
        <v>1.65E+20</v>
      </c>
      <c r="Z10" s="1" t="s">
        <v>1</v>
      </c>
      <c r="AA10" s="20"/>
      <c r="AB10" s="16"/>
      <c r="AD10" s="146"/>
      <c r="AE10" s="21" t="s">
        <v>1</v>
      </c>
      <c r="AF10" s="21"/>
      <c r="AG10" s="21"/>
      <c r="AH10" s="29"/>
      <c r="AI10" s="96">
        <f>1.91*10^20</f>
        <v>1.91E+20</v>
      </c>
      <c r="AJ10" s="21" t="s">
        <v>1</v>
      </c>
      <c r="AK10" s="21"/>
      <c r="AM10" s="599" t="s">
        <v>200</v>
      </c>
      <c r="AN10" s="599"/>
      <c r="AO10" s="599"/>
      <c r="AP10" s="599"/>
      <c r="AQ10" s="98">
        <v>1.5</v>
      </c>
      <c r="AR10" s="88">
        <v>5</v>
      </c>
      <c r="AS10" s="88">
        <v>5.3</v>
      </c>
      <c r="AU10" s="92" t="s">
        <v>77</v>
      </c>
      <c r="AV10" s="93">
        <v>0.5</v>
      </c>
      <c r="AW10" s="93">
        <v>0.5</v>
      </c>
      <c r="AX10" s="93">
        <v>0.5</v>
      </c>
      <c r="AY10" s="93">
        <v>0.5</v>
      </c>
    </row>
    <row r="11" spans="1:57" ht="17.5" x14ac:dyDescent="0.65">
      <c r="A11" s="60"/>
      <c r="B11" s="60"/>
      <c r="D11" s="10"/>
      <c r="E11" s="5"/>
      <c r="H11" s="64"/>
      <c r="J11" s="28"/>
      <c r="L11" s="37"/>
      <c r="O11" s="5"/>
      <c r="T11" s="5"/>
      <c r="Y11" s="5"/>
      <c r="AD11" s="5"/>
      <c r="AE11" s="65"/>
      <c r="AF11" s="65"/>
      <c r="AG11" s="65"/>
      <c r="AH11" s="29"/>
      <c r="AI11" s="5"/>
      <c r="AJ11" s="65"/>
      <c r="AK11" s="65"/>
      <c r="AM11" s="599" t="s">
        <v>201</v>
      </c>
      <c r="AN11" s="599"/>
      <c r="AO11" s="599"/>
      <c r="AP11" s="599"/>
      <c r="AQ11" s="98">
        <v>1.2</v>
      </c>
      <c r="AR11" s="88" t="s">
        <v>183</v>
      </c>
      <c r="AS11" s="88">
        <v>500</v>
      </c>
      <c r="AU11" s="92" t="s">
        <v>202</v>
      </c>
      <c r="AV11" s="93">
        <v>0.52</v>
      </c>
      <c r="AW11" s="93">
        <v>0.875</v>
      </c>
      <c r="AX11" s="93">
        <v>2</v>
      </c>
      <c r="AY11" s="93">
        <v>2.5</v>
      </c>
    </row>
    <row r="12" spans="1:57" ht="17.75" x14ac:dyDescent="0.65">
      <c r="A12" s="60"/>
      <c r="B12" s="60"/>
      <c r="D12" s="10" t="s">
        <v>126</v>
      </c>
      <c r="E12" s="144"/>
      <c r="F12" s="65" t="s">
        <v>64</v>
      </c>
      <c r="H12" s="64"/>
      <c r="J12" s="91">
        <v>0.2</v>
      </c>
      <c r="K12" s="65" t="s">
        <v>127</v>
      </c>
      <c r="L12" s="79">
        <v>0.3</v>
      </c>
      <c r="O12" s="91">
        <v>0.5</v>
      </c>
      <c r="P12" s="65" t="s">
        <v>127</v>
      </c>
      <c r="Q12" s="81">
        <f>O14/O9</f>
        <v>0.53191489361702127</v>
      </c>
      <c r="T12" s="99" t="s">
        <v>11</v>
      </c>
      <c r="U12" s="65" t="s">
        <v>64</v>
      </c>
      <c r="Y12" s="91">
        <v>0.74</v>
      </c>
      <c r="Z12" s="65" t="s">
        <v>64</v>
      </c>
      <c r="AD12" s="144"/>
      <c r="AE12" s="65" t="s">
        <v>64</v>
      </c>
      <c r="AF12" s="65"/>
      <c r="AG12" s="65"/>
      <c r="AH12" s="29"/>
      <c r="AI12" s="144"/>
      <c r="AJ12" s="65" t="s">
        <v>64</v>
      </c>
      <c r="AM12" s="599" t="s">
        <v>203</v>
      </c>
      <c r="AN12" s="599"/>
      <c r="AO12" s="599"/>
      <c r="AP12" s="599"/>
      <c r="AQ12" s="98" t="s">
        <v>184</v>
      </c>
      <c r="AR12" s="88" t="s">
        <v>183</v>
      </c>
      <c r="AS12" s="88" t="s">
        <v>185</v>
      </c>
      <c r="AU12" s="92" t="s">
        <v>204</v>
      </c>
      <c r="AV12" s="93">
        <v>0.5</v>
      </c>
      <c r="AW12" s="93">
        <v>0.7</v>
      </c>
      <c r="AX12" s="93">
        <v>1.5</v>
      </c>
      <c r="AY12" s="93">
        <v>1.5</v>
      </c>
    </row>
    <row r="13" spans="1:57" ht="17.5" x14ac:dyDescent="0.65">
      <c r="A13" s="60"/>
      <c r="B13" s="60"/>
      <c r="D13" s="10" t="s">
        <v>166</v>
      </c>
      <c r="E13" s="144"/>
      <c r="F13" s="65" t="s">
        <v>30</v>
      </c>
      <c r="H13" s="64"/>
      <c r="J13" s="91">
        <f>10^19</f>
        <v>1E+19</v>
      </c>
      <c r="K13" s="65" t="s">
        <v>30</v>
      </c>
      <c r="L13" s="37"/>
      <c r="O13" s="13">
        <f>10^21/(5*365*24*60*60)</f>
        <v>6341958396752.917</v>
      </c>
      <c r="P13" s="65" t="s">
        <v>30</v>
      </c>
      <c r="Q13" s="49" t="s">
        <v>269</v>
      </c>
      <c r="T13" s="99" t="s">
        <v>11</v>
      </c>
      <c r="U13" s="65" t="s">
        <v>30</v>
      </c>
      <c r="Y13" s="91">
        <f>1.8*10^20</f>
        <v>1.8E+20</v>
      </c>
      <c r="Z13" s="65" t="s">
        <v>30</v>
      </c>
      <c r="AD13" s="144"/>
      <c r="AE13" s="65" t="s">
        <v>30</v>
      </c>
      <c r="AF13" s="65"/>
      <c r="AG13" s="65"/>
      <c r="AH13" s="29"/>
      <c r="AI13" s="144"/>
      <c r="AJ13" s="65" t="s">
        <v>30</v>
      </c>
      <c r="AM13" s="599" t="s">
        <v>186</v>
      </c>
      <c r="AN13" s="599"/>
      <c r="AO13" s="599"/>
      <c r="AP13" s="599"/>
      <c r="AQ13" s="98" t="s">
        <v>187</v>
      </c>
      <c r="AR13" s="88" t="s">
        <v>188</v>
      </c>
      <c r="AS13" s="88" t="s">
        <v>189</v>
      </c>
      <c r="AU13" s="92" t="s">
        <v>205</v>
      </c>
      <c r="AV13" s="93">
        <v>150</v>
      </c>
      <c r="AW13" s="93">
        <v>150</v>
      </c>
      <c r="AX13" s="93">
        <v>150</v>
      </c>
      <c r="AY13" s="93">
        <v>200</v>
      </c>
    </row>
    <row r="14" spans="1:57" ht="21.75" customHeight="1" x14ac:dyDescent="0.65">
      <c r="A14" s="60"/>
      <c r="B14" s="60"/>
      <c r="D14" s="10" t="s">
        <v>24</v>
      </c>
      <c r="E14" s="91">
        <v>3</v>
      </c>
      <c r="F14" s="8" t="s">
        <v>39</v>
      </c>
      <c r="H14" s="64"/>
      <c r="J14" s="91">
        <v>40</v>
      </c>
      <c r="K14" s="8" t="s">
        <v>39</v>
      </c>
      <c r="L14" s="37"/>
      <c r="O14" s="91">
        <v>500</v>
      </c>
      <c r="P14" s="8" t="s">
        <v>39</v>
      </c>
      <c r="T14" s="99" t="s">
        <v>11</v>
      </c>
      <c r="U14" s="8" t="s">
        <v>39</v>
      </c>
      <c r="Y14" s="91">
        <v>233</v>
      </c>
      <c r="Z14" s="8" t="s">
        <v>39</v>
      </c>
      <c r="AD14" s="91">
        <v>16</v>
      </c>
      <c r="AE14" s="65" t="s">
        <v>39</v>
      </c>
      <c r="AF14" s="65"/>
      <c r="AG14" s="65"/>
      <c r="AH14" s="29"/>
      <c r="AI14" s="144"/>
      <c r="AJ14" s="65" t="s">
        <v>39</v>
      </c>
      <c r="AK14" s="65"/>
      <c r="AM14" s="599" t="s">
        <v>190</v>
      </c>
      <c r="AN14" s="599"/>
      <c r="AO14" s="599"/>
      <c r="AP14" s="599"/>
      <c r="AQ14" s="98" t="s">
        <v>191</v>
      </c>
      <c r="AR14" s="88" t="s">
        <v>192</v>
      </c>
      <c r="AS14" s="88" t="s">
        <v>193</v>
      </c>
      <c r="AU14" s="92" t="s">
        <v>206</v>
      </c>
      <c r="AV14" s="93">
        <v>41431</v>
      </c>
      <c r="AW14" s="93">
        <v>41561</v>
      </c>
      <c r="AX14" s="93" t="s">
        <v>78</v>
      </c>
      <c r="AY14" s="93" t="s">
        <v>79</v>
      </c>
    </row>
    <row r="15" spans="1:57" ht="21" customHeight="1" x14ac:dyDescent="0.65">
      <c r="A15" s="60"/>
      <c r="B15" s="60"/>
      <c r="D15" s="10" t="s">
        <v>118</v>
      </c>
      <c r="E15" s="91">
        <v>50</v>
      </c>
      <c r="F15" s="8" t="s">
        <v>25</v>
      </c>
      <c r="H15" s="64"/>
      <c r="I15" s="10"/>
      <c r="J15" s="91">
        <v>750</v>
      </c>
      <c r="K15" s="8" t="s">
        <v>25</v>
      </c>
      <c r="L15" s="79">
        <v>1000</v>
      </c>
      <c r="O15" s="91">
        <v>3400</v>
      </c>
      <c r="P15" s="8" t="s">
        <v>25</v>
      </c>
      <c r="T15" s="91">
        <v>100</v>
      </c>
      <c r="U15" s="8" t="s">
        <v>25</v>
      </c>
      <c r="Y15" s="91">
        <v>200</v>
      </c>
      <c r="Z15" s="8" t="s">
        <v>25</v>
      </c>
      <c r="AD15" s="91">
        <v>400</v>
      </c>
      <c r="AE15" s="65" t="s">
        <v>63</v>
      </c>
      <c r="AF15" s="65"/>
      <c r="AG15" s="65"/>
      <c r="AH15" s="29"/>
      <c r="AI15" s="91">
        <v>85</v>
      </c>
      <c r="AJ15" s="65" t="s">
        <v>63</v>
      </c>
      <c r="AK15" s="65"/>
      <c r="AM15" s="599" t="s">
        <v>194</v>
      </c>
      <c r="AN15" s="599"/>
      <c r="AO15" s="599"/>
      <c r="AP15" s="599"/>
      <c r="AQ15" s="98" t="s">
        <v>195</v>
      </c>
      <c r="AR15" s="88" t="s">
        <v>196</v>
      </c>
      <c r="AS15" s="88" t="s">
        <v>196</v>
      </c>
      <c r="AU15" s="92" t="s">
        <v>18</v>
      </c>
      <c r="AV15" s="93" t="s">
        <v>80</v>
      </c>
      <c r="AW15" s="93">
        <v>1.2</v>
      </c>
      <c r="AX15" s="93">
        <v>1.3</v>
      </c>
      <c r="AY15" s="93">
        <v>1.5</v>
      </c>
    </row>
    <row r="16" spans="1:57" ht="16.5" customHeight="1" x14ac:dyDescent="0.65">
      <c r="A16" s="60"/>
      <c r="B16" s="60"/>
      <c r="E16" s="1"/>
      <c r="H16" s="24"/>
      <c r="I16" s="10"/>
      <c r="J16" s="28"/>
      <c r="L16" s="79"/>
      <c r="O16" s="1"/>
      <c r="T16" s="1"/>
      <c r="Y16" s="1"/>
      <c r="AD16" s="1"/>
      <c r="AE16" s="65"/>
      <c r="AF16" s="65"/>
      <c r="AG16" s="65"/>
      <c r="AH16" s="29"/>
      <c r="AI16" s="1"/>
      <c r="AJ16" s="65"/>
      <c r="AK16" s="65"/>
      <c r="AM16" s="599" t="s">
        <v>207</v>
      </c>
      <c r="AN16" s="599"/>
      <c r="AO16" s="599"/>
      <c r="AP16" s="599"/>
      <c r="AQ16" s="98">
        <v>0.2</v>
      </c>
      <c r="AR16" s="88">
        <v>0.2</v>
      </c>
      <c r="AS16" s="88">
        <v>0.5</v>
      </c>
      <c r="AU16" s="92"/>
      <c r="AV16" s="93"/>
      <c r="AW16" s="93"/>
      <c r="AX16" s="93"/>
      <c r="AY16" s="93"/>
    </row>
    <row r="17" spans="1:51" ht="17.25" x14ac:dyDescent="0.65">
      <c r="A17" s="60"/>
      <c r="B17" s="60"/>
      <c r="D17" s="10" t="s">
        <v>124</v>
      </c>
      <c r="E17" s="13">
        <v>2</v>
      </c>
      <c r="F17" s="65" t="s">
        <v>30</v>
      </c>
      <c r="H17" s="64"/>
      <c r="I17" s="11"/>
      <c r="J17" s="155">
        <v>6</v>
      </c>
      <c r="K17" s="65" t="s">
        <v>30</v>
      </c>
      <c r="M17" s="11"/>
      <c r="N17" s="11"/>
      <c r="O17" s="91">
        <v>2</v>
      </c>
      <c r="P17" s="65" t="s">
        <v>30</v>
      </c>
      <c r="R17" s="11"/>
      <c r="S17" s="11"/>
      <c r="T17" s="99" t="s">
        <v>11</v>
      </c>
      <c r="U17" s="65" t="s">
        <v>30</v>
      </c>
      <c r="Y17" s="13">
        <v>3</v>
      </c>
      <c r="Z17" s="65" t="s">
        <v>30</v>
      </c>
      <c r="AD17" s="99" t="s">
        <v>11</v>
      </c>
      <c r="AE17" s="65" t="s">
        <v>30</v>
      </c>
      <c r="AF17" s="65"/>
      <c r="AG17" s="65"/>
      <c r="AH17" s="29"/>
      <c r="AI17" s="144"/>
      <c r="AJ17" s="65" t="s">
        <v>30</v>
      </c>
      <c r="AK17" s="65"/>
      <c r="AM17" s="599" t="s">
        <v>208</v>
      </c>
      <c r="AN17" s="599"/>
      <c r="AO17" s="599"/>
      <c r="AP17" s="599"/>
      <c r="AQ17" s="98" t="s">
        <v>209</v>
      </c>
      <c r="AR17" s="88" t="s">
        <v>197</v>
      </c>
      <c r="AS17" s="88">
        <v>0.3</v>
      </c>
      <c r="AU17" s="92"/>
      <c r="AV17" s="93"/>
      <c r="AW17" s="93"/>
      <c r="AX17" s="93"/>
      <c r="AY17" s="93"/>
    </row>
    <row r="18" spans="1:51" ht="21" customHeight="1" x14ac:dyDescent="0.65">
      <c r="A18" s="60"/>
      <c r="B18" s="60"/>
      <c r="D18" s="10" t="s">
        <v>125</v>
      </c>
      <c r="E18" s="13">
        <v>5</v>
      </c>
      <c r="F18" s="65" t="s">
        <v>122</v>
      </c>
      <c r="H18" s="64"/>
      <c r="I18" s="11"/>
      <c r="J18" s="155">
        <v>1</v>
      </c>
      <c r="K18" s="65" t="s">
        <v>122</v>
      </c>
      <c r="M18" s="11"/>
      <c r="N18" s="11"/>
      <c r="O18" s="13">
        <v>1</v>
      </c>
      <c r="P18" s="65" t="s">
        <v>122</v>
      </c>
      <c r="R18" s="11"/>
      <c r="S18" s="11"/>
      <c r="T18" s="99" t="s">
        <v>11</v>
      </c>
      <c r="U18" s="65" t="s">
        <v>122</v>
      </c>
      <c r="Y18" s="13">
        <v>5</v>
      </c>
      <c r="Z18" s="65" t="s">
        <v>122</v>
      </c>
      <c r="AD18" s="99" t="s">
        <v>11</v>
      </c>
      <c r="AE18" s="65" t="s">
        <v>122</v>
      </c>
      <c r="AF18" s="65"/>
      <c r="AG18" s="65"/>
      <c r="AH18" s="29"/>
      <c r="AI18" s="91">
        <v>10</v>
      </c>
      <c r="AJ18" s="65" t="s">
        <v>122</v>
      </c>
      <c r="AK18" s="65"/>
      <c r="AQ18" s="56"/>
      <c r="AU18" s="92" t="s">
        <v>210</v>
      </c>
      <c r="AV18" s="93">
        <v>1.5</v>
      </c>
      <c r="AW18" s="93">
        <v>1.5</v>
      </c>
      <c r="AX18" s="93">
        <v>1.5</v>
      </c>
      <c r="AY18" s="93">
        <v>1.5</v>
      </c>
    </row>
    <row r="19" spans="1:51" ht="21" customHeight="1" x14ac:dyDescent="0.65">
      <c r="A19" s="60"/>
      <c r="B19" s="60"/>
      <c r="D19" s="10" t="s">
        <v>245</v>
      </c>
      <c r="E19" s="13">
        <v>0.2</v>
      </c>
      <c r="F19" s="65" t="s">
        <v>66</v>
      </c>
      <c r="H19" s="64"/>
      <c r="I19" s="11"/>
      <c r="J19" s="13">
        <v>0.2</v>
      </c>
      <c r="K19" s="65" t="s">
        <v>66</v>
      </c>
      <c r="M19" s="11"/>
      <c r="N19" s="11"/>
      <c r="O19" s="13">
        <v>0.2</v>
      </c>
      <c r="P19" s="65" t="s">
        <v>66</v>
      </c>
      <c r="R19" s="11"/>
      <c r="S19" s="11"/>
      <c r="T19" s="99" t="s">
        <v>11</v>
      </c>
      <c r="U19" s="65" t="s">
        <v>66</v>
      </c>
      <c r="Y19" s="13">
        <v>0.2</v>
      </c>
      <c r="Z19" s="65" t="s">
        <v>66</v>
      </c>
      <c r="AD19" s="99" t="s">
        <v>11</v>
      </c>
      <c r="AE19" s="65" t="s">
        <v>66</v>
      </c>
      <c r="AF19" s="65"/>
      <c r="AG19" s="65"/>
      <c r="AH19" s="29"/>
      <c r="AI19" s="144"/>
      <c r="AJ19" s="65" t="s">
        <v>66</v>
      </c>
      <c r="AK19" s="65"/>
      <c r="AQ19" s="56"/>
      <c r="AU19" s="92" t="s">
        <v>81</v>
      </c>
      <c r="AV19" s="93" t="s">
        <v>82</v>
      </c>
      <c r="AW19" s="93">
        <v>1.34</v>
      </c>
      <c r="AX19" s="95">
        <v>41367</v>
      </c>
      <c r="AY19" s="93">
        <v>7.8</v>
      </c>
    </row>
    <row r="20" spans="1:51" ht="21.75" customHeight="1" x14ac:dyDescent="0.65">
      <c r="A20" s="60"/>
      <c r="B20" s="60"/>
      <c r="E20" s="5"/>
      <c r="H20" s="24"/>
      <c r="J20" s="28"/>
      <c r="O20" s="1"/>
      <c r="T20" s="1"/>
      <c r="Y20" s="1"/>
      <c r="AD20" s="1"/>
      <c r="AE20" s="65"/>
      <c r="AF20" s="65"/>
      <c r="AG20" s="65"/>
      <c r="AH20" s="29"/>
      <c r="AI20" s="1"/>
      <c r="AJ20" s="65"/>
      <c r="AK20" s="65"/>
      <c r="AQ20" s="56"/>
      <c r="AU20" s="92" t="s">
        <v>211</v>
      </c>
      <c r="AV20" s="93" t="s">
        <v>83</v>
      </c>
      <c r="AW20" s="93" t="s">
        <v>84</v>
      </c>
      <c r="AX20" s="93" t="s">
        <v>85</v>
      </c>
      <c r="AY20" s="93" t="s">
        <v>86</v>
      </c>
    </row>
    <row r="21" spans="1:51" ht="17.75" thickBot="1" x14ac:dyDescent="0.7">
      <c r="A21" s="83"/>
      <c r="B21" s="83"/>
      <c r="D21" s="10" t="s">
        <v>37</v>
      </c>
      <c r="E21" s="91">
        <v>4</v>
      </c>
      <c r="F21" s="8" t="s">
        <v>30</v>
      </c>
      <c r="H21" s="64"/>
      <c r="J21" s="91">
        <v>6</v>
      </c>
      <c r="K21" s="8" t="s">
        <v>30</v>
      </c>
      <c r="O21" s="91">
        <v>2</v>
      </c>
      <c r="P21" s="8" t="s">
        <v>30</v>
      </c>
      <c r="T21" s="13">
        <v>1</v>
      </c>
      <c r="U21" s="8" t="s">
        <v>30</v>
      </c>
      <c r="Y21" s="99">
        <v>0.01</v>
      </c>
      <c r="Z21" s="8" t="s">
        <v>30</v>
      </c>
      <c r="AD21" s="91">
        <v>2</v>
      </c>
      <c r="AE21" s="65" t="s">
        <v>30</v>
      </c>
      <c r="AF21" s="65"/>
      <c r="AG21" s="65"/>
      <c r="AH21" s="29"/>
      <c r="AI21" s="144"/>
      <c r="AJ21" s="65" t="s">
        <v>30</v>
      </c>
      <c r="AK21" s="65"/>
      <c r="AQ21" s="56"/>
      <c r="AU21" s="92" t="s">
        <v>212</v>
      </c>
      <c r="AV21" s="93" t="s">
        <v>87</v>
      </c>
      <c r="AW21" s="93">
        <v>1.1000000000000001</v>
      </c>
      <c r="AX21" s="93">
        <v>1.4</v>
      </c>
      <c r="AY21" s="93">
        <v>1</v>
      </c>
    </row>
    <row r="22" spans="1:51" ht="21.75" customHeight="1" thickBot="1" x14ac:dyDescent="0.7">
      <c r="A22" s="83"/>
      <c r="B22" s="83"/>
      <c r="D22" s="10" t="s">
        <v>23</v>
      </c>
      <c r="E22" s="91">
        <v>10</v>
      </c>
      <c r="F22" s="1" t="s">
        <v>17</v>
      </c>
      <c r="H22" s="64"/>
      <c r="J22" s="91">
        <v>30</v>
      </c>
      <c r="K22" s="1" t="s">
        <v>17</v>
      </c>
      <c r="O22" s="91">
        <v>33</v>
      </c>
      <c r="P22" s="1" t="s">
        <v>17</v>
      </c>
      <c r="T22" s="91">
        <v>5.5</v>
      </c>
      <c r="U22" s="1" t="s">
        <v>17</v>
      </c>
      <c r="Y22" s="99">
        <v>0.01</v>
      </c>
      <c r="Z22" s="1" t="s">
        <v>17</v>
      </c>
      <c r="AD22" s="91">
        <v>35</v>
      </c>
      <c r="AE22" s="21" t="s">
        <v>64</v>
      </c>
      <c r="AF22" s="21"/>
      <c r="AG22" s="21"/>
      <c r="AH22" s="29"/>
      <c r="AI22" s="91">
        <v>30</v>
      </c>
      <c r="AJ22" s="21" t="s">
        <v>64</v>
      </c>
      <c r="AK22" s="21"/>
      <c r="AM22" s="595"/>
      <c r="AN22" s="595"/>
      <c r="AO22" s="595"/>
      <c r="AP22" s="595"/>
      <c r="AQ22" s="100" t="s">
        <v>131</v>
      </c>
      <c r="AR22" s="101" t="s">
        <v>132</v>
      </c>
      <c r="AS22" s="101" t="s">
        <v>48</v>
      </c>
      <c r="AU22" s="92" t="s">
        <v>213</v>
      </c>
      <c r="AV22" s="93" t="s">
        <v>88</v>
      </c>
      <c r="AW22" s="93" t="s">
        <v>89</v>
      </c>
      <c r="AX22" s="93" t="s">
        <v>90</v>
      </c>
      <c r="AY22" s="93" t="s">
        <v>91</v>
      </c>
    </row>
    <row r="23" spans="1:51" ht="17.75" thickBot="1" x14ac:dyDescent="0.7">
      <c r="D23" s="30" t="s">
        <v>22</v>
      </c>
      <c r="E23" s="96">
        <v>130</v>
      </c>
      <c r="F23" s="18" t="s">
        <v>5</v>
      </c>
      <c r="H23" s="36"/>
      <c r="J23" s="96">
        <v>500</v>
      </c>
      <c r="K23" s="18" t="s">
        <v>5</v>
      </c>
      <c r="O23" s="96">
        <v>1000</v>
      </c>
      <c r="P23" s="18" t="s">
        <v>5</v>
      </c>
      <c r="T23" s="97"/>
      <c r="U23" s="18" t="s">
        <v>5</v>
      </c>
      <c r="Y23" s="102">
        <v>0.01</v>
      </c>
      <c r="Z23" s="18" t="s">
        <v>5</v>
      </c>
      <c r="AD23" s="96">
        <v>130</v>
      </c>
      <c r="AE23" s="18" t="s">
        <v>65</v>
      </c>
      <c r="AF23" s="18"/>
      <c r="AG23" s="103" t="s">
        <v>272</v>
      </c>
      <c r="AH23" s="29"/>
      <c r="AI23" s="96">
        <v>500</v>
      </c>
      <c r="AJ23" s="18" t="s">
        <v>65</v>
      </c>
      <c r="AK23" s="104" t="s">
        <v>271</v>
      </c>
      <c r="AM23" s="599" t="s">
        <v>133</v>
      </c>
      <c r="AN23" s="599"/>
      <c r="AO23" s="599"/>
      <c r="AP23" s="599"/>
      <c r="AQ23" s="100" t="s">
        <v>134</v>
      </c>
      <c r="AR23" s="88">
        <v>2.75</v>
      </c>
      <c r="AS23" s="88">
        <v>6.2</v>
      </c>
      <c r="AU23" s="92" t="s">
        <v>214</v>
      </c>
      <c r="AV23" s="93" t="s">
        <v>92</v>
      </c>
      <c r="AW23" s="93">
        <v>10.5</v>
      </c>
      <c r="AX23" s="105">
        <v>9.3000000000000007</v>
      </c>
      <c r="AY23" s="93">
        <v>12.2</v>
      </c>
    </row>
    <row r="24" spans="1:51" ht="21" customHeight="1" x14ac:dyDescent="0.65">
      <c r="B24" s="76"/>
      <c r="C24" s="106"/>
      <c r="E24" s="1"/>
      <c r="H24" s="24"/>
      <c r="J24" s="28"/>
      <c r="O24" s="1"/>
      <c r="T24" s="1"/>
      <c r="Y24" s="1"/>
      <c r="AB24" s="11"/>
      <c r="AC24" s="15"/>
      <c r="AD24" s="107"/>
      <c r="AE24" s="53"/>
      <c r="AF24" s="53"/>
      <c r="AG24" s="53"/>
      <c r="AH24" s="15"/>
      <c r="AI24" s="107"/>
      <c r="AJ24" s="53"/>
      <c r="AK24" s="53"/>
      <c r="AM24" s="599" t="s">
        <v>135</v>
      </c>
      <c r="AN24" s="599"/>
      <c r="AO24" s="599"/>
      <c r="AP24" s="599"/>
      <c r="AQ24" s="604" t="s">
        <v>136</v>
      </c>
      <c r="AR24" s="606" t="s">
        <v>137</v>
      </c>
      <c r="AS24" s="108" t="s">
        <v>138</v>
      </c>
      <c r="AU24" s="92" t="s">
        <v>215</v>
      </c>
      <c r="AV24" s="93" t="s">
        <v>93</v>
      </c>
      <c r="AW24" s="93" t="s">
        <v>94</v>
      </c>
      <c r="AX24" s="93" t="s">
        <v>95</v>
      </c>
      <c r="AY24" s="93" t="s">
        <v>96</v>
      </c>
    </row>
    <row r="25" spans="1:51" ht="17.25" customHeight="1" thickBot="1" x14ac:dyDescent="0.7">
      <c r="A25" s="27"/>
      <c r="B25" s="27"/>
      <c r="C25" s="611" t="s">
        <v>275</v>
      </c>
      <c r="D25" s="6" t="s">
        <v>12</v>
      </c>
      <c r="E25" s="91">
        <v>90</v>
      </c>
      <c r="F25" s="39" t="s">
        <v>16</v>
      </c>
      <c r="H25" s="64"/>
      <c r="J25" s="91">
        <v>90</v>
      </c>
      <c r="K25" s="39" t="s">
        <v>16</v>
      </c>
      <c r="O25" s="91">
        <v>90</v>
      </c>
      <c r="P25" s="39" t="s">
        <v>16</v>
      </c>
      <c r="T25" s="91">
        <v>90</v>
      </c>
      <c r="U25" s="39" t="s">
        <v>16</v>
      </c>
      <c r="Y25" s="91">
        <v>90</v>
      </c>
      <c r="Z25" s="39" t="s">
        <v>16</v>
      </c>
      <c r="AD25" s="91">
        <v>90</v>
      </c>
      <c r="AE25" s="39" t="s">
        <v>16</v>
      </c>
      <c r="AF25" s="39"/>
      <c r="AG25" s="39"/>
      <c r="AH25" s="29"/>
      <c r="AI25" s="91">
        <v>90</v>
      </c>
      <c r="AJ25" s="39" t="s">
        <v>16</v>
      </c>
      <c r="AK25" s="39"/>
      <c r="AM25" s="599"/>
      <c r="AN25" s="599"/>
      <c r="AO25" s="599"/>
      <c r="AP25" s="599"/>
      <c r="AQ25" s="605"/>
      <c r="AR25" s="607"/>
      <c r="AS25" s="109" t="s">
        <v>139</v>
      </c>
      <c r="AU25" s="92" t="s">
        <v>216</v>
      </c>
      <c r="AV25" s="93">
        <v>0.71</v>
      </c>
      <c r="AW25" s="93">
        <v>1.1000000000000001</v>
      </c>
      <c r="AX25" s="93">
        <v>2.4</v>
      </c>
      <c r="AY25" s="93">
        <v>8.1999999999999993</v>
      </c>
    </row>
    <row r="26" spans="1:51" ht="17.75" thickBot="1" x14ac:dyDescent="0.7">
      <c r="A26" s="27"/>
      <c r="B26" s="27"/>
      <c r="C26" s="611"/>
      <c r="D26" s="6" t="s">
        <v>13</v>
      </c>
      <c r="E26" s="91">
        <v>50</v>
      </c>
      <c r="F26" s="39" t="s">
        <v>16</v>
      </c>
      <c r="G26" s="49" t="s">
        <v>248</v>
      </c>
      <c r="H26" s="64"/>
      <c r="J26" s="91">
        <v>50</v>
      </c>
      <c r="K26" s="39" t="s">
        <v>16</v>
      </c>
      <c r="L26" s="79" t="s">
        <v>248</v>
      </c>
      <c r="O26" s="91">
        <v>50</v>
      </c>
      <c r="P26" s="39" t="s">
        <v>16</v>
      </c>
      <c r="Q26" s="49" t="s">
        <v>248</v>
      </c>
      <c r="T26" s="91">
        <v>50</v>
      </c>
      <c r="U26" s="39" t="s">
        <v>16</v>
      </c>
      <c r="V26" s="49" t="s">
        <v>248</v>
      </c>
      <c r="Y26" s="91">
        <v>50</v>
      </c>
      <c r="Z26" s="39" t="s">
        <v>16</v>
      </c>
      <c r="AA26" s="49" t="s">
        <v>248</v>
      </c>
      <c r="AD26" s="91">
        <v>50</v>
      </c>
      <c r="AE26" s="39" t="s">
        <v>16</v>
      </c>
      <c r="AF26" s="49" t="s">
        <v>248</v>
      </c>
      <c r="AG26" s="39"/>
      <c r="AH26" s="29"/>
      <c r="AI26" s="91">
        <v>50</v>
      </c>
      <c r="AJ26" s="39" t="s">
        <v>16</v>
      </c>
      <c r="AK26" s="49" t="s">
        <v>248</v>
      </c>
      <c r="AM26" s="599" t="s">
        <v>140</v>
      </c>
      <c r="AN26" s="599"/>
      <c r="AO26" s="599"/>
      <c r="AP26" s="599"/>
      <c r="AQ26" s="100" t="s">
        <v>141</v>
      </c>
      <c r="AR26" s="101" t="s">
        <v>142</v>
      </c>
      <c r="AS26" s="101" t="s">
        <v>142</v>
      </c>
      <c r="AU26" s="92" t="s">
        <v>217</v>
      </c>
      <c r="AV26" s="93">
        <v>0.25</v>
      </c>
      <c r="AW26" s="93">
        <v>0.4</v>
      </c>
      <c r="AX26" s="93">
        <v>0.8</v>
      </c>
      <c r="AY26" s="93">
        <v>0.9</v>
      </c>
    </row>
    <row r="27" spans="1:51" ht="17.75" thickBot="1" x14ac:dyDescent="0.7">
      <c r="A27" s="27"/>
      <c r="B27" s="27"/>
      <c r="C27" s="611"/>
      <c r="D27" s="6" t="s">
        <v>14</v>
      </c>
      <c r="E27" s="91">
        <v>5</v>
      </c>
      <c r="F27" s="39" t="s">
        <v>16</v>
      </c>
      <c r="H27" s="64"/>
      <c r="J27" s="91">
        <v>5</v>
      </c>
      <c r="K27" s="39" t="s">
        <v>16</v>
      </c>
      <c r="O27" s="91">
        <v>5</v>
      </c>
      <c r="P27" s="39" t="s">
        <v>16</v>
      </c>
      <c r="T27" s="91">
        <v>5</v>
      </c>
      <c r="U27" s="39" t="s">
        <v>16</v>
      </c>
      <c r="Y27" s="91">
        <v>5</v>
      </c>
      <c r="Z27" s="39" t="s">
        <v>16</v>
      </c>
      <c r="AD27" s="91">
        <v>5</v>
      </c>
      <c r="AE27" s="39" t="s">
        <v>16</v>
      </c>
      <c r="AF27" s="39"/>
      <c r="AG27" s="39"/>
      <c r="AH27" s="29"/>
      <c r="AI27" s="91">
        <v>5</v>
      </c>
      <c r="AJ27" s="39" t="s">
        <v>16</v>
      </c>
      <c r="AK27" s="39"/>
      <c r="AM27" s="599" t="s">
        <v>143</v>
      </c>
      <c r="AN27" s="599"/>
      <c r="AO27" s="599"/>
      <c r="AP27" s="599"/>
      <c r="AQ27" s="100" t="s">
        <v>144</v>
      </c>
      <c r="AR27" s="101" t="s">
        <v>144</v>
      </c>
      <c r="AS27" s="101" t="s">
        <v>145</v>
      </c>
      <c r="AU27" s="92" t="s">
        <v>218</v>
      </c>
      <c r="AV27" s="93">
        <v>45</v>
      </c>
      <c r="AW27" s="93">
        <v>58</v>
      </c>
      <c r="AX27" s="93">
        <v>96</v>
      </c>
      <c r="AY27" s="93">
        <v>466</v>
      </c>
    </row>
    <row r="28" spans="1:51" ht="17.75" thickBot="1" x14ac:dyDescent="0.7">
      <c r="C28" s="73"/>
      <c r="E28" s="5"/>
      <c r="F28" s="9"/>
      <c r="H28" s="24"/>
      <c r="J28" s="28"/>
      <c r="O28" s="1"/>
      <c r="T28" s="1"/>
      <c r="Y28" s="1"/>
      <c r="AD28" s="110"/>
      <c r="AE28" s="52"/>
      <c r="AF28" s="52"/>
      <c r="AG28" s="52"/>
      <c r="AH28" s="29"/>
      <c r="AI28" s="110"/>
      <c r="AJ28" s="52"/>
      <c r="AK28" s="52"/>
      <c r="AM28" s="599" t="s">
        <v>146</v>
      </c>
      <c r="AN28" s="599"/>
      <c r="AO28" s="599"/>
      <c r="AP28" s="599"/>
      <c r="AQ28" s="98">
        <v>1.5</v>
      </c>
      <c r="AR28" s="101">
        <v>5</v>
      </c>
      <c r="AS28" s="88">
        <v>5.3</v>
      </c>
      <c r="AU28" s="92" t="s">
        <v>219</v>
      </c>
      <c r="AV28" s="93">
        <v>37</v>
      </c>
      <c r="AW28" s="93">
        <v>58</v>
      </c>
      <c r="AX28" s="93">
        <v>69</v>
      </c>
      <c r="AY28" s="93">
        <v>166</v>
      </c>
    </row>
    <row r="29" spans="1:51" ht="21.75" customHeight="1" thickBot="1" x14ac:dyDescent="0.7">
      <c r="A29" s="612" t="s">
        <v>170</v>
      </c>
      <c r="B29" s="612"/>
      <c r="D29" s="31" t="s">
        <v>33</v>
      </c>
      <c r="E29" s="13">
        <v>8</v>
      </c>
      <c r="F29" s="21" t="s">
        <v>29</v>
      </c>
      <c r="G29" s="20"/>
      <c r="H29" s="64"/>
      <c r="J29" s="13">
        <v>8</v>
      </c>
      <c r="K29" s="21" t="s">
        <v>29</v>
      </c>
      <c r="L29" s="46"/>
      <c r="M29" s="36"/>
      <c r="O29" s="13">
        <v>8</v>
      </c>
      <c r="P29" s="21" t="s">
        <v>29</v>
      </c>
      <c r="Q29" s="20"/>
      <c r="R29" s="36"/>
      <c r="T29" s="13">
        <v>8</v>
      </c>
      <c r="U29" s="21" t="s">
        <v>29</v>
      </c>
      <c r="V29" s="20"/>
      <c r="W29" s="16"/>
      <c r="X29" s="1"/>
      <c r="Y29" s="13">
        <v>8</v>
      </c>
      <c r="Z29" s="21" t="s">
        <v>29</v>
      </c>
      <c r="AA29" s="20"/>
      <c r="AB29" s="16"/>
      <c r="AD29" s="13">
        <v>8</v>
      </c>
      <c r="AE29" s="21" t="s">
        <v>29</v>
      </c>
      <c r="AF29" s="39"/>
      <c r="AG29" s="39"/>
      <c r="AH29" s="29"/>
      <c r="AI29" s="13">
        <v>8</v>
      </c>
      <c r="AJ29" s="21" t="s">
        <v>29</v>
      </c>
      <c r="AK29" s="39"/>
      <c r="AM29" s="599" t="s">
        <v>147</v>
      </c>
      <c r="AN29" s="599"/>
      <c r="AO29" s="599"/>
      <c r="AP29" s="599"/>
      <c r="AQ29" s="98">
        <v>1.3</v>
      </c>
      <c r="AR29" s="101" t="s">
        <v>148</v>
      </c>
      <c r="AS29" s="101">
        <v>500</v>
      </c>
      <c r="AU29" s="92" t="s">
        <v>220</v>
      </c>
      <c r="AV29" s="93">
        <v>1.3</v>
      </c>
      <c r="AW29" s="93">
        <v>2.4</v>
      </c>
      <c r="AX29" s="93">
        <v>6</v>
      </c>
      <c r="AY29" s="93">
        <v>3.4</v>
      </c>
    </row>
    <row r="30" spans="1:51" ht="17.75" thickBot="1" x14ac:dyDescent="0.7">
      <c r="A30" s="612"/>
      <c r="B30" s="612"/>
      <c r="D30" s="31" t="s">
        <v>34</v>
      </c>
      <c r="E30" s="13">
        <v>12</v>
      </c>
      <c r="F30" s="21" t="s">
        <v>29</v>
      </c>
      <c r="G30" s="20"/>
      <c r="H30" s="64"/>
      <c r="J30" s="13">
        <v>12</v>
      </c>
      <c r="K30" s="21" t="s">
        <v>29</v>
      </c>
      <c r="L30" s="46"/>
      <c r="M30" s="36"/>
      <c r="O30" s="13">
        <v>12</v>
      </c>
      <c r="P30" s="21" t="s">
        <v>29</v>
      </c>
      <c r="Q30" s="20"/>
      <c r="R30" s="36"/>
      <c r="T30" s="13">
        <v>12</v>
      </c>
      <c r="U30" s="21" t="s">
        <v>29</v>
      </c>
      <c r="V30" s="20"/>
      <c r="W30" s="42"/>
      <c r="X30" s="78"/>
      <c r="Y30" s="13">
        <v>12</v>
      </c>
      <c r="Z30" s="21" t="s">
        <v>29</v>
      </c>
      <c r="AA30" s="20"/>
      <c r="AB30" s="42"/>
      <c r="AD30" s="13">
        <v>12</v>
      </c>
      <c r="AE30" s="21" t="s">
        <v>29</v>
      </c>
      <c r="AF30" s="42"/>
      <c r="AG30" s="42"/>
      <c r="AH30" s="29"/>
      <c r="AI30" s="13">
        <v>12</v>
      </c>
      <c r="AJ30" s="21" t="s">
        <v>29</v>
      </c>
      <c r="AK30" s="42"/>
      <c r="AM30" s="599" t="s">
        <v>221</v>
      </c>
      <c r="AN30" s="599"/>
      <c r="AO30" s="599"/>
      <c r="AP30" s="599"/>
      <c r="AQ30" s="100" t="s">
        <v>149</v>
      </c>
      <c r="AR30" s="101" t="s">
        <v>148</v>
      </c>
      <c r="AS30" s="101" t="s">
        <v>150</v>
      </c>
      <c r="AU30" s="111" t="s">
        <v>222</v>
      </c>
      <c r="AV30" s="93">
        <v>49</v>
      </c>
      <c r="AW30" s="93">
        <v>58</v>
      </c>
      <c r="AX30" s="93">
        <v>70.5</v>
      </c>
      <c r="AY30" s="93">
        <v>103</v>
      </c>
    </row>
    <row r="31" spans="1:51" ht="17.75" thickBot="1" x14ac:dyDescent="0.7">
      <c r="A31" s="612"/>
      <c r="B31" s="612"/>
      <c r="D31" s="10" t="s">
        <v>32</v>
      </c>
      <c r="E31" s="112">
        <v>12</v>
      </c>
      <c r="F31" s="21" t="s">
        <v>29</v>
      </c>
      <c r="G31" s="20"/>
      <c r="H31" s="64"/>
      <c r="J31" s="13">
        <v>12</v>
      </c>
      <c r="K31" s="21" t="s">
        <v>29</v>
      </c>
      <c r="L31" s="46"/>
      <c r="M31" s="36"/>
      <c r="O31" s="112">
        <v>12</v>
      </c>
      <c r="P31" s="21" t="s">
        <v>29</v>
      </c>
      <c r="Q31" s="20"/>
      <c r="R31" s="36"/>
      <c r="T31" s="112">
        <v>12</v>
      </c>
      <c r="U31" s="21" t="s">
        <v>29</v>
      </c>
      <c r="V31" s="20"/>
      <c r="W31" s="42"/>
      <c r="X31" s="78"/>
      <c r="Y31" s="112">
        <v>12</v>
      </c>
      <c r="Z31" s="21" t="s">
        <v>29</v>
      </c>
      <c r="AA31" s="20"/>
      <c r="AB31" s="42"/>
      <c r="AD31" s="112">
        <v>12</v>
      </c>
      <c r="AE31" s="21" t="s">
        <v>29</v>
      </c>
      <c r="AF31" s="42"/>
      <c r="AG31" s="42"/>
      <c r="AH31" s="29"/>
      <c r="AI31" s="112">
        <v>12</v>
      </c>
      <c r="AJ31" s="21" t="s">
        <v>29</v>
      </c>
      <c r="AK31" s="42"/>
      <c r="AM31" s="599" t="s">
        <v>151</v>
      </c>
      <c r="AN31" s="599"/>
      <c r="AO31" s="599"/>
      <c r="AP31" s="599"/>
      <c r="AQ31" s="100" t="s">
        <v>152</v>
      </c>
      <c r="AR31" s="101" t="s">
        <v>153</v>
      </c>
      <c r="AS31" s="101" t="s">
        <v>154</v>
      </c>
      <c r="AU31" s="92" t="s">
        <v>223</v>
      </c>
      <c r="AV31" s="93">
        <v>10.8</v>
      </c>
      <c r="AW31" s="93">
        <v>21.5</v>
      </c>
      <c r="AX31" s="93">
        <v>54.4</v>
      </c>
      <c r="AY31" s="93">
        <v>126</v>
      </c>
    </row>
    <row r="32" spans="1:51" ht="18" customHeight="1" thickBot="1" x14ac:dyDescent="0.7">
      <c r="J32" s="28"/>
      <c r="AM32" s="599" t="s">
        <v>155</v>
      </c>
      <c r="AN32" s="599"/>
      <c r="AO32" s="599"/>
      <c r="AP32" s="599"/>
      <c r="AQ32" s="113" t="s">
        <v>156</v>
      </c>
      <c r="AR32" s="101" t="s">
        <v>157</v>
      </c>
      <c r="AS32" s="101" t="s">
        <v>198</v>
      </c>
      <c r="AU32" s="92" t="s">
        <v>224</v>
      </c>
      <c r="AV32" s="93">
        <v>0.48</v>
      </c>
      <c r="AW32" s="93">
        <v>1.67</v>
      </c>
      <c r="AX32" s="93">
        <v>13.1</v>
      </c>
      <c r="AY32" s="93">
        <v>27.5</v>
      </c>
    </row>
    <row r="33" spans="1:51" ht="17.75" thickBot="1" x14ac:dyDescent="0.7">
      <c r="D33" s="54" t="s">
        <v>241</v>
      </c>
      <c r="E33" s="97">
        <v>20</v>
      </c>
      <c r="F33" s="8" t="s">
        <v>239</v>
      </c>
      <c r="G33" s="5"/>
      <c r="H33" s="64"/>
      <c r="J33" s="97">
        <v>20</v>
      </c>
      <c r="K33" s="8" t="s">
        <v>239</v>
      </c>
      <c r="O33" s="97">
        <v>20</v>
      </c>
      <c r="P33" s="8" t="s">
        <v>239</v>
      </c>
      <c r="T33" s="97">
        <v>20</v>
      </c>
      <c r="U33" s="8" t="s">
        <v>239</v>
      </c>
      <c r="Y33" s="97">
        <v>20</v>
      </c>
      <c r="Z33" s="8" t="s">
        <v>239</v>
      </c>
      <c r="AD33" s="13">
        <v>20</v>
      </c>
      <c r="AE33" s="8" t="s">
        <v>239</v>
      </c>
      <c r="AF33" s="42"/>
      <c r="AG33" s="42"/>
      <c r="AH33" s="29"/>
      <c r="AI33" s="13">
        <v>20</v>
      </c>
      <c r="AJ33" s="8" t="s">
        <v>239</v>
      </c>
      <c r="AM33" s="599" t="s">
        <v>158</v>
      </c>
      <c r="AN33" s="599"/>
      <c r="AO33" s="599"/>
      <c r="AP33" s="599"/>
      <c r="AQ33" s="113" t="s">
        <v>159</v>
      </c>
      <c r="AR33" s="101" t="s">
        <v>160</v>
      </c>
      <c r="AS33" s="101" t="s">
        <v>160</v>
      </c>
      <c r="AU33" s="92" t="s">
        <v>225</v>
      </c>
      <c r="AV33" s="93">
        <v>1.0999999999999999E-2</v>
      </c>
      <c r="AW33" s="93">
        <v>0.1</v>
      </c>
      <c r="AX33" s="93">
        <v>3</v>
      </c>
      <c r="AY33" s="93">
        <v>45.5</v>
      </c>
    </row>
    <row r="34" spans="1:51" ht="17.75" thickBot="1" x14ac:dyDescent="0.7">
      <c r="J34" s="28"/>
      <c r="AM34" s="599" t="s">
        <v>226</v>
      </c>
      <c r="AN34" s="599"/>
      <c r="AO34" s="599"/>
      <c r="AP34" s="599"/>
      <c r="AQ34" s="113" t="s">
        <v>161</v>
      </c>
      <c r="AR34" s="101" t="s">
        <v>161</v>
      </c>
      <c r="AS34" s="101" t="s">
        <v>134</v>
      </c>
      <c r="AU34" s="92" t="s">
        <v>227</v>
      </c>
      <c r="AV34" s="93">
        <v>0.32</v>
      </c>
      <c r="AW34" s="93">
        <v>0.12</v>
      </c>
      <c r="AX34" s="93">
        <v>4.4999999999999998E-2</v>
      </c>
      <c r="AY34" s="93">
        <v>0.01</v>
      </c>
    </row>
    <row r="35" spans="1:51" ht="17.75" thickBot="1" x14ac:dyDescent="0.7">
      <c r="D35" s="10" t="s">
        <v>249</v>
      </c>
      <c r="E35" s="114">
        <v>30</v>
      </c>
      <c r="F35" s="8" t="s">
        <v>251</v>
      </c>
      <c r="H35" s="80"/>
      <c r="J35" s="114" t="s">
        <v>11</v>
      </c>
      <c r="K35" s="8" t="s">
        <v>251</v>
      </c>
      <c r="O35" s="144"/>
      <c r="P35" s="8" t="s">
        <v>251</v>
      </c>
      <c r="T35" s="144"/>
      <c r="U35" s="8" t="s">
        <v>251</v>
      </c>
      <c r="Y35" s="144"/>
      <c r="Z35" s="8" t="s">
        <v>251</v>
      </c>
      <c r="AD35" s="144"/>
      <c r="AE35" s="8" t="s">
        <v>251</v>
      </c>
      <c r="AI35" s="144"/>
      <c r="AJ35" s="8" t="s">
        <v>251</v>
      </c>
      <c r="AM35" s="599" t="s">
        <v>228</v>
      </c>
      <c r="AN35" s="599"/>
      <c r="AO35" s="599"/>
      <c r="AP35" s="599"/>
      <c r="AQ35" s="113" t="s">
        <v>162</v>
      </c>
      <c r="AR35" s="101" t="s">
        <v>162</v>
      </c>
      <c r="AS35" s="101" t="s">
        <v>163</v>
      </c>
      <c r="AU35" s="111" t="s">
        <v>229</v>
      </c>
      <c r="AV35" s="93">
        <v>0.02</v>
      </c>
      <c r="AW35" s="93">
        <v>1.7000000000000001E-2</v>
      </c>
      <c r="AX35" s="93">
        <v>1.2E-2</v>
      </c>
      <c r="AY35" s="93">
        <v>0.01</v>
      </c>
    </row>
    <row r="36" spans="1:51" ht="17.5" x14ac:dyDescent="0.65">
      <c r="AU36" s="92" t="s">
        <v>230</v>
      </c>
      <c r="AV36" s="93">
        <v>61.5</v>
      </c>
      <c r="AW36" s="93">
        <v>67.099999999999994</v>
      </c>
      <c r="AX36" s="93">
        <v>78.2</v>
      </c>
      <c r="AY36" s="93">
        <v>91</v>
      </c>
    </row>
    <row r="37" spans="1:51" ht="17.5" x14ac:dyDescent="0.65">
      <c r="D37" s="17"/>
      <c r="E37" s="64"/>
      <c r="F37" s="46"/>
      <c r="G37" s="20"/>
      <c r="H37" s="64"/>
      <c r="I37" s="15"/>
      <c r="J37" s="64"/>
      <c r="K37" s="46"/>
      <c r="L37" s="46"/>
      <c r="M37" s="15"/>
      <c r="N37" s="15"/>
      <c r="O37" s="64"/>
      <c r="P37" s="46"/>
      <c r="Q37" s="20"/>
      <c r="R37" s="15"/>
      <c r="S37" s="15"/>
      <c r="T37" s="64"/>
      <c r="U37" s="46"/>
      <c r="V37" s="20"/>
      <c r="W37" s="15"/>
      <c r="X37" s="15"/>
      <c r="Y37" s="64"/>
      <c r="Z37" s="46"/>
      <c r="AA37" s="20"/>
      <c r="AB37" s="15"/>
      <c r="AC37" s="15"/>
      <c r="AD37" s="64"/>
      <c r="AE37" s="46"/>
      <c r="AF37" s="46"/>
      <c r="AG37" s="46"/>
      <c r="AH37" s="46"/>
      <c r="AI37" s="64"/>
      <c r="AJ37" s="46"/>
      <c r="AU37" s="111" t="s">
        <v>231</v>
      </c>
      <c r="AV37" s="93">
        <v>1.73</v>
      </c>
      <c r="AW37" s="93">
        <v>1.35</v>
      </c>
      <c r="AX37" s="93">
        <v>1</v>
      </c>
      <c r="AY37" s="93">
        <v>1</v>
      </c>
    </row>
    <row r="38" spans="1:51" x14ac:dyDescent="0.65">
      <c r="A38" s="60"/>
      <c r="B38" s="60"/>
      <c r="D38" s="10" t="s">
        <v>40</v>
      </c>
      <c r="E38" s="32">
        <v>0.5</v>
      </c>
      <c r="F38" s="8" t="s">
        <v>44</v>
      </c>
      <c r="G38" s="83" t="s">
        <v>47</v>
      </c>
      <c r="I38" s="10" t="s">
        <v>40</v>
      </c>
      <c r="J38" s="32">
        <v>3.2</v>
      </c>
      <c r="K38" s="8" t="s">
        <v>44</v>
      </c>
      <c r="L38" s="65" t="s">
        <v>47</v>
      </c>
      <c r="N38" s="10" t="s">
        <v>40</v>
      </c>
      <c r="O38" s="32">
        <v>6.2</v>
      </c>
      <c r="P38" s="8" t="s">
        <v>44</v>
      </c>
      <c r="Q38" s="83" t="s">
        <v>47</v>
      </c>
      <c r="S38" s="10" t="s">
        <v>40</v>
      </c>
      <c r="T38" s="32"/>
      <c r="U38" s="8" t="s">
        <v>44</v>
      </c>
      <c r="V38" s="83" t="s">
        <v>47</v>
      </c>
      <c r="X38" s="10" t="s">
        <v>40</v>
      </c>
      <c r="Y38" s="32">
        <v>4</v>
      </c>
      <c r="Z38" s="8" t="s">
        <v>44</v>
      </c>
      <c r="AA38" s="83" t="s">
        <v>47</v>
      </c>
      <c r="AC38" s="10" t="s">
        <v>40</v>
      </c>
      <c r="AD38" s="144"/>
      <c r="AE38" s="8" t="s">
        <v>44</v>
      </c>
      <c r="AF38" s="83" t="s">
        <v>47</v>
      </c>
      <c r="AG38" s="115"/>
      <c r="AH38" s="10" t="s">
        <v>40</v>
      </c>
      <c r="AI38" s="144"/>
      <c r="AJ38" s="8" t="s">
        <v>44</v>
      </c>
      <c r="AK38" s="83" t="s">
        <v>47</v>
      </c>
    </row>
    <row r="39" spans="1:51" x14ac:dyDescent="0.65">
      <c r="D39" s="10" t="s">
        <v>41</v>
      </c>
      <c r="E39" s="32">
        <v>0.3</v>
      </c>
      <c r="F39" s="8" t="s">
        <v>44</v>
      </c>
      <c r="I39" s="10" t="s">
        <v>41</v>
      </c>
      <c r="J39" s="32">
        <v>1</v>
      </c>
      <c r="K39" s="8" t="s">
        <v>44</v>
      </c>
      <c r="N39" s="10" t="s">
        <v>41</v>
      </c>
      <c r="O39" s="32">
        <v>2.5</v>
      </c>
      <c r="P39" s="8" t="s">
        <v>44</v>
      </c>
      <c r="S39" s="10" t="s">
        <v>41</v>
      </c>
      <c r="T39" s="32"/>
      <c r="U39" s="8" t="s">
        <v>44</v>
      </c>
      <c r="X39" s="10" t="s">
        <v>41</v>
      </c>
      <c r="Y39" s="32">
        <v>1.2</v>
      </c>
      <c r="Z39" s="8" t="s">
        <v>44</v>
      </c>
      <c r="AC39" s="10" t="s">
        <v>41</v>
      </c>
      <c r="AD39" s="144"/>
      <c r="AE39" s="8" t="s">
        <v>44</v>
      </c>
      <c r="AF39" s="83"/>
      <c r="AH39" s="10" t="s">
        <v>41</v>
      </c>
      <c r="AI39" s="144"/>
      <c r="AJ39" s="8" t="s">
        <v>44</v>
      </c>
      <c r="AK39" s="83"/>
    </row>
    <row r="40" spans="1:51" ht="20.25" customHeight="1" x14ac:dyDescent="0.65">
      <c r="D40" s="10" t="s">
        <v>42</v>
      </c>
      <c r="E40" s="157">
        <f>4*(3.14)^2*E38*E39</f>
        <v>5.9157599999999997</v>
      </c>
      <c r="F40" s="8" t="s">
        <v>45</v>
      </c>
      <c r="G40" s="116">
        <f>E9</f>
        <v>13</v>
      </c>
      <c r="I40" s="10" t="s">
        <v>42</v>
      </c>
      <c r="J40" s="157">
        <f>4*(3.14)^2*J38*J39</f>
        <v>126.20288000000001</v>
      </c>
      <c r="K40" s="8" t="s">
        <v>45</v>
      </c>
      <c r="L40" s="117">
        <f>J9</f>
        <v>180</v>
      </c>
      <c r="N40" s="10" t="s">
        <v>42</v>
      </c>
      <c r="O40" s="157">
        <f>4*(3.14)^2*O38*O39</f>
        <v>611.29520000000002</v>
      </c>
      <c r="P40" s="8" t="s">
        <v>45</v>
      </c>
      <c r="Q40" s="118">
        <f>O9</f>
        <v>940</v>
      </c>
      <c r="S40" s="10" t="s">
        <v>42</v>
      </c>
      <c r="T40" s="157">
        <f>4*(3.14)^2*T38*T39</f>
        <v>0</v>
      </c>
      <c r="U40" s="8" t="s">
        <v>45</v>
      </c>
      <c r="V40" s="119">
        <f>T9</f>
        <v>200</v>
      </c>
      <c r="X40" s="10" t="s">
        <v>42</v>
      </c>
      <c r="Y40" s="157">
        <f>4*(3.14)^2*Y38*Y39</f>
        <v>189.30431999999999</v>
      </c>
      <c r="Z40" s="8" t="s">
        <v>45</v>
      </c>
      <c r="AA40" s="119">
        <f>Y9</f>
        <v>314</v>
      </c>
      <c r="AC40" s="10" t="s">
        <v>42</v>
      </c>
      <c r="AD40" s="157">
        <f>4*(3.14)^2*AD38*AD39</f>
        <v>0</v>
      </c>
      <c r="AE40" s="8" t="s">
        <v>45</v>
      </c>
      <c r="AF40" s="119">
        <f>AD9</f>
        <v>0</v>
      </c>
      <c r="AH40" s="10" t="s">
        <v>42</v>
      </c>
      <c r="AI40" s="157">
        <f>4*(3.14)^2*AI38*AI39</f>
        <v>0</v>
      </c>
      <c r="AJ40" s="8" t="s">
        <v>45</v>
      </c>
      <c r="AK40" s="119">
        <f>AI9</f>
        <v>0</v>
      </c>
      <c r="AM40" s="120" t="s">
        <v>240</v>
      </c>
      <c r="AN40" s="600" t="s">
        <v>98</v>
      </c>
      <c r="AO40" s="602" t="s">
        <v>99</v>
      </c>
      <c r="AP40" s="602" t="s">
        <v>100</v>
      </c>
      <c r="AQ40" s="602" t="s">
        <v>99</v>
      </c>
      <c r="AR40" s="600" t="s">
        <v>48</v>
      </c>
      <c r="AS40" s="600" t="s">
        <v>101</v>
      </c>
      <c r="AT40" s="600" t="s">
        <v>102</v>
      </c>
      <c r="AU40" s="600" t="s">
        <v>103</v>
      </c>
      <c r="AW40" s="595" t="s">
        <v>48</v>
      </c>
      <c r="AX40" s="595"/>
    </row>
    <row r="41" spans="1:51" ht="20.25" customHeight="1" x14ac:dyDescent="0.65">
      <c r="D41" s="10" t="s">
        <v>43</v>
      </c>
      <c r="E41" s="157">
        <f>2*(3.14)^2*E38*(E39)^2</f>
        <v>0.88736400000000004</v>
      </c>
      <c r="F41" s="8" t="s">
        <v>46</v>
      </c>
      <c r="G41" s="116">
        <f>E8</f>
        <v>2.5</v>
      </c>
      <c r="I41" s="10" t="s">
        <v>43</v>
      </c>
      <c r="J41" s="157">
        <f>2*(3.14)^2*J38*(J39)^2</f>
        <v>63.101440000000004</v>
      </c>
      <c r="K41" s="8" t="s">
        <v>46</v>
      </c>
      <c r="L41" s="117">
        <f>J8</f>
        <v>110</v>
      </c>
      <c r="N41" s="10" t="s">
        <v>43</v>
      </c>
      <c r="O41" s="157">
        <f>2*(3.14)^2*O38*(O39)^2</f>
        <v>764.11900000000003</v>
      </c>
      <c r="P41" s="8" t="s">
        <v>46</v>
      </c>
      <c r="Q41" s="118">
        <f>O8</f>
        <v>1600</v>
      </c>
      <c r="S41" s="10" t="s">
        <v>43</v>
      </c>
      <c r="T41" s="157">
        <f>2*(3.14)^2*T38*(T39)^2</f>
        <v>0</v>
      </c>
      <c r="U41" s="8" t="s">
        <v>46</v>
      </c>
      <c r="V41" s="119">
        <f>T8</f>
        <v>65</v>
      </c>
      <c r="X41" s="10" t="s">
        <v>43</v>
      </c>
      <c r="Y41" s="157">
        <f>2*(3.14)^2*Y38*(Y39)^2</f>
        <v>113.58259200000001</v>
      </c>
      <c r="Z41" s="8" t="s">
        <v>46</v>
      </c>
      <c r="AA41" s="119">
        <f>Y8</f>
        <v>227</v>
      </c>
      <c r="AC41" s="10" t="s">
        <v>43</v>
      </c>
      <c r="AD41" s="157">
        <f>2*(3.14)^2*AD38*(AD39)^2</f>
        <v>0</v>
      </c>
      <c r="AE41" s="8" t="s">
        <v>46</v>
      </c>
      <c r="AF41" s="119">
        <f>AD8</f>
        <v>100</v>
      </c>
      <c r="AH41" s="10" t="s">
        <v>43</v>
      </c>
      <c r="AI41" s="157">
        <f>2*(3.14)^2*AI38*(AI39)^2</f>
        <v>0</v>
      </c>
      <c r="AJ41" s="8" t="s">
        <v>46</v>
      </c>
      <c r="AK41" s="119">
        <f>AI8</f>
        <v>130</v>
      </c>
      <c r="AM41" s="120" t="s">
        <v>97</v>
      </c>
      <c r="AN41" s="601"/>
      <c r="AO41" s="603"/>
      <c r="AP41" s="603"/>
      <c r="AQ41" s="603"/>
      <c r="AR41" s="601"/>
      <c r="AS41" s="601"/>
      <c r="AT41" s="601"/>
      <c r="AU41" s="601"/>
      <c r="AW41" s="595" t="s">
        <v>49</v>
      </c>
      <c r="AX41" s="595"/>
    </row>
    <row r="42" spans="1:51" ht="18" customHeight="1" x14ac:dyDescent="0.65">
      <c r="AC42" s="8"/>
      <c r="AD42" s="8"/>
      <c r="AE42" s="8"/>
      <c r="AF42" s="83"/>
      <c r="AH42" s="8"/>
      <c r="AI42" s="8"/>
      <c r="AJ42" s="8"/>
      <c r="AK42" s="83"/>
      <c r="AM42" s="120" t="s">
        <v>104</v>
      </c>
      <c r="AN42" s="121" t="s">
        <v>105</v>
      </c>
      <c r="AO42" s="122" t="s">
        <v>105</v>
      </c>
      <c r="AP42" s="122" t="s">
        <v>19</v>
      </c>
      <c r="AQ42" s="122" t="s">
        <v>105</v>
      </c>
      <c r="AR42" s="121" t="s">
        <v>105</v>
      </c>
      <c r="AS42" s="121" t="s">
        <v>19</v>
      </c>
      <c r="AT42" s="121" t="s">
        <v>19</v>
      </c>
      <c r="AU42" s="121" t="s">
        <v>19</v>
      </c>
      <c r="AW42" s="595" t="s">
        <v>50</v>
      </c>
      <c r="AX42" s="595"/>
    </row>
    <row r="43" spans="1:51" x14ac:dyDescent="0.65">
      <c r="D43" s="25" t="s">
        <v>75</v>
      </c>
      <c r="E43" s="40">
        <f>E38/E39</f>
        <v>1.6666666666666667</v>
      </c>
      <c r="F43" s="83"/>
      <c r="H43" s="83"/>
      <c r="I43" s="26" t="s">
        <v>75</v>
      </c>
      <c r="J43" s="40">
        <f>J38/J39</f>
        <v>3.2</v>
      </c>
      <c r="K43" s="83"/>
      <c r="M43" s="83"/>
      <c r="N43" s="26" t="s">
        <v>75</v>
      </c>
      <c r="O43" s="40">
        <f>O38/O39</f>
        <v>2.48</v>
      </c>
      <c r="P43" s="83"/>
      <c r="R43" s="83"/>
      <c r="S43" s="26" t="s">
        <v>75</v>
      </c>
      <c r="T43" s="40" t="e">
        <f>T38/T39</f>
        <v>#DIV/0!</v>
      </c>
      <c r="U43" s="83"/>
      <c r="W43" s="83"/>
      <c r="X43" s="26" t="s">
        <v>75</v>
      </c>
      <c r="Y43" s="40">
        <f>Y38/Y39</f>
        <v>3.3333333333333335</v>
      </c>
      <c r="Z43" s="83"/>
      <c r="AB43" s="83"/>
      <c r="AC43" s="26" t="s">
        <v>75</v>
      </c>
      <c r="AD43" s="40" t="e">
        <f>AD38/AD39</f>
        <v>#DIV/0!</v>
      </c>
      <c r="AE43" s="83"/>
      <c r="AF43" s="83"/>
      <c r="AG43" s="34"/>
      <c r="AH43" s="26" t="s">
        <v>75</v>
      </c>
      <c r="AI43" s="40" t="e">
        <f>AI38/AI39</f>
        <v>#DIV/0!</v>
      </c>
      <c r="AJ43" s="8"/>
      <c r="AK43" s="83"/>
      <c r="AM43" s="120"/>
      <c r="AN43" s="121"/>
      <c r="AO43" s="122"/>
      <c r="AP43" s="122"/>
      <c r="AQ43" s="122"/>
      <c r="AR43" s="121"/>
      <c r="AS43" s="121"/>
      <c r="AT43" s="121"/>
      <c r="AU43" s="121"/>
      <c r="AW43" s="595" t="s">
        <v>51</v>
      </c>
      <c r="AX43" s="595"/>
    </row>
    <row r="44" spans="1:51" ht="18.75" customHeight="1" x14ac:dyDescent="0.65">
      <c r="G44" s="75">
        <f>G40/E40</f>
        <v>2.197519845294603</v>
      </c>
      <c r="H44" s="70"/>
      <c r="I44" s="70"/>
      <c r="J44" s="70"/>
      <c r="K44" s="70"/>
      <c r="L44" s="74">
        <f>L40/J40</f>
        <v>1.426274899590247</v>
      </c>
      <c r="M44" s="70"/>
      <c r="N44" s="70"/>
      <c r="O44" s="70"/>
      <c r="P44" s="70"/>
      <c r="Q44" s="123">
        <f>Q40/O40</f>
        <v>1.5377186014220297</v>
      </c>
      <c r="V44" s="123" t="e">
        <f>V40/T40</f>
        <v>#DIV/0!</v>
      </c>
      <c r="AA44" s="123">
        <f>AA40/Y40</f>
        <v>1.6587048832271762</v>
      </c>
      <c r="AC44" s="8"/>
      <c r="AD44" s="8"/>
      <c r="AE44" s="8"/>
      <c r="AF44" s="123" t="e">
        <f>AF40/AD40</f>
        <v>#DIV/0!</v>
      </c>
      <c r="AH44" s="8"/>
      <c r="AI44" s="8"/>
      <c r="AJ44" s="8"/>
      <c r="AK44" s="123" t="e">
        <f>AK40/AI40</f>
        <v>#DIV/0!</v>
      </c>
      <c r="AM44" s="120" t="s">
        <v>106</v>
      </c>
      <c r="AN44" s="121" t="s">
        <v>107</v>
      </c>
      <c r="AO44" s="122" t="s">
        <v>107</v>
      </c>
      <c r="AP44" s="122" t="s">
        <v>15</v>
      </c>
      <c r="AQ44" s="122" t="s">
        <v>108</v>
      </c>
      <c r="AR44" s="121" t="s">
        <v>107</v>
      </c>
      <c r="AS44" s="121" t="s">
        <v>15</v>
      </c>
      <c r="AT44" s="121" t="s">
        <v>15</v>
      </c>
      <c r="AU44" s="121" t="s">
        <v>15</v>
      </c>
      <c r="AW44" s="595" t="s">
        <v>52</v>
      </c>
      <c r="AX44" s="595"/>
    </row>
    <row r="45" spans="1:51" ht="17.5" x14ac:dyDescent="0.65">
      <c r="F45" s="7" t="s">
        <v>252</v>
      </c>
      <c r="G45" s="75">
        <f>G41/E41</f>
        <v>2.8173331349930804</v>
      </c>
      <c r="H45" s="70"/>
      <c r="I45" s="70"/>
      <c r="J45" s="70"/>
      <c r="K45" s="70"/>
      <c r="L45" s="74">
        <f>L41/J41</f>
        <v>1.7432248772769685</v>
      </c>
      <c r="M45" s="70"/>
      <c r="N45" s="70"/>
      <c r="O45" s="70"/>
      <c r="P45" s="70"/>
      <c r="Q45" s="123">
        <f>Q41/O41</f>
        <v>2.0939146912980831</v>
      </c>
      <c r="V45" s="123" t="e">
        <f>V41/T41</f>
        <v>#DIV/0!</v>
      </c>
      <c r="AA45" s="123">
        <f>AA41/Y41</f>
        <v>1.9985456926357166</v>
      </c>
      <c r="AC45" s="8"/>
      <c r="AD45" s="8"/>
      <c r="AE45" s="8"/>
      <c r="AF45" s="123" t="e">
        <f>AF41/AD41</f>
        <v>#DIV/0!</v>
      </c>
      <c r="AH45" s="8"/>
      <c r="AI45" s="8"/>
      <c r="AJ45" s="8"/>
      <c r="AK45" s="123" t="e">
        <f>AK41/AI41</f>
        <v>#DIV/0!</v>
      </c>
      <c r="AM45" s="120" t="s">
        <v>232</v>
      </c>
      <c r="AN45" s="121">
        <v>500</v>
      </c>
      <c r="AO45" s="122">
        <v>1000</v>
      </c>
      <c r="AP45" s="122">
        <v>85</v>
      </c>
      <c r="AQ45" s="122">
        <v>400</v>
      </c>
      <c r="AR45" s="121">
        <v>800</v>
      </c>
      <c r="AS45" s="121">
        <v>9</v>
      </c>
      <c r="AT45" s="121">
        <v>10</v>
      </c>
      <c r="AU45" s="121">
        <v>33</v>
      </c>
      <c r="AW45" s="595" t="s">
        <v>53</v>
      </c>
      <c r="AX45" s="595"/>
    </row>
    <row r="46" spans="1:51" ht="18.5" x14ac:dyDescent="0.65">
      <c r="AM46" s="124" t="s">
        <v>233</v>
      </c>
      <c r="AN46" s="121">
        <v>0.28000000000000003</v>
      </c>
      <c r="AO46" s="122">
        <v>0.12</v>
      </c>
      <c r="AP46" s="122">
        <v>0.12</v>
      </c>
      <c r="AQ46" s="122">
        <v>0.5</v>
      </c>
      <c r="AR46" s="121">
        <v>0.55000000000000004</v>
      </c>
      <c r="AS46" s="121" t="s">
        <v>109</v>
      </c>
      <c r="AT46" s="121">
        <v>6.7</v>
      </c>
      <c r="AU46" s="121" t="s">
        <v>110</v>
      </c>
      <c r="AW46" s="595" t="s">
        <v>54</v>
      </c>
      <c r="AX46" s="595"/>
    </row>
    <row r="47" spans="1:51" ht="17.5" x14ac:dyDescent="0.65">
      <c r="AM47" s="124" t="s">
        <v>234</v>
      </c>
      <c r="AN47" s="121">
        <v>0.3</v>
      </c>
      <c r="AO47" s="122">
        <v>0.44</v>
      </c>
      <c r="AP47" s="122">
        <v>2</v>
      </c>
      <c r="AQ47" s="122">
        <v>1.5</v>
      </c>
      <c r="AR47" s="121">
        <v>1.2</v>
      </c>
      <c r="AS47" s="121" t="s">
        <v>111</v>
      </c>
      <c r="AT47" s="121">
        <v>13</v>
      </c>
      <c r="AU47" s="121" t="s">
        <v>112</v>
      </c>
      <c r="AW47" s="595" t="s">
        <v>55</v>
      </c>
      <c r="AX47" s="595"/>
    </row>
    <row r="48" spans="1:51" ht="17.5" x14ac:dyDescent="0.65">
      <c r="AM48" s="124" t="s">
        <v>235</v>
      </c>
      <c r="AN48" s="121">
        <v>0.26</v>
      </c>
      <c r="AO48" s="122">
        <v>0.7</v>
      </c>
      <c r="AP48" s="122">
        <v>0.6</v>
      </c>
      <c r="AQ48" s="122">
        <v>3</v>
      </c>
      <c r="AR48" s="121">
        <v>1.2</v>
      </c>
      <c r="AS48" s="121" t="s">
        <v>11</v>
      </c>
      <c r="AT48" s="121" t="s">
        <v>113</v>
      </c>
      <c r="AU48" s="121" t="s">
        <v>11</v>
      </c>
      <c r="AW48" s="595" t="s">
        <v>56</v>
      </c>
      <c r="AX48" s="595"/>
    </row>
    <row r="49" spans="3:50" ht="17.5" x14ac:dyDescent="0.65">
      <c r="AM49" s="120" t="s">
        <v>236</v>
      </c>
      <c r="AN49" s="121">
        <v>0.03</v>
      </c>
      <c r="AO49" s="122">
        <v>0.12</v>
      </c>
      <c r="AP49" s="122">
        <v>0.15</v>
      </c>
      <c r="AQ49" s="122">
        <v>0.3</v>
      </c>
      <c r="AR49" s="121">
        <v>0.3</v>
      </c>
      <c r="AS49" s="121">
        <v>3</v>
      </c>
      <c r="AT49" s="121">
        <v>1.4</v>
      </c>
      <c r="AU49" s="121">
        <v>8</v>
      </c>
      <c r="AW49" s="595" t="s">
        <v>57</v>
      </c>
      <c r="AX49" s="595"/>
    </row>
    <row r="50" spans="3:50" ht="17.5" x14ac:dyDescent="0.65">
      <c r="C50" s="15"/>
      <c r="AM50" s="124" t="s">
        <v>237</v>
      </c>
      <c r="AN50" s="121">
        <v>1.6</v>
      </c>
      <c r="AO50" s="122">
        <v>1.6</v>
      </c>
      <c r="AP50" s="122">
        <v>1.9</v>
      </c>
      <c r="AQ50" s="122">
        <v>1.3</v>
      </c>
      <c r="AR50" s="121">
        <v>1.9</v>
      </c>
      <c r="AS50" s="121" t="s">
        <v>114</v>
      </c>
      <c r="AT50" s="121" t="s">
        <v>115</v>
      </c>
      <c r="AU50" s="121" t="s">
        <v>114</v>
      </c>
      <c r="AW50" s="595" t="s">
        <v>58</v>
      </c>
      <c r="AX50" s="595"/>
    </row>
    <row r="51" spans="3:50" x14ac:dyDescent="0.65">
      <c r="C51" s="15"/>
      <c r="AW51" s="595" t="s">
        <v>59</v>
      </c>
      <c r="AX51" s="595"/>
    </row>
    <row r="52" spans="3:50" ht="18" customHeight="1" x14ac:dyDescent="0.65">
      <c r="C52" s="15"/>
      <c r="AM52" s="596" t="s">
        <v>255</v>
      </c>
      <c r="AN52" s="597" t="s">
        <v>256</v>
      </c>
      <c r="AO52" s="597" t="s">
        <v>257</v>
      </c>
      <c r="AP52" s="597" t="s">
        <v>258</v>
      </c>
      <c r="AQ52" s="596" t="s">
        <v>259</v>
      </c>
      <c r="AR52" s="597" t="s">
        <v>260</v>
      </c>
      <c r="AS52" s="597" t="s">
        <v>261</v>
      </c>
      <c r="AT52" s="596" t="s">
        <v>263</v>
      </c>
      <c r="AU52" s="597" t="s">
        <v>262</v>
      </c>
      <c r="AW52" s="595" t="s">
        <v>60</v>
      </c>
      <c r="AX52" s="595"/>
    </row>
    <row r="53" spans="3:50" ht="18.75" customHeight="1" x14ac:dyDescent="0.65">
      <c r="C53" s="15"/>
      <c r="AM53" s="596"/>
      <c r="AN53" s="597"/>
      <c r="AO53" s="597"/>
      <c r="AP53" s="597"/>
      <c r="AQ53" s="596"/>
      <c r="AR53" s="597"/>
      <c r="AS53" s="597"/>
      <c r="AT53" s="596"/>
      <c r="AU53" s="597"/>
      <c r="AW53" s="598" t="s">
        <v>61</v>
      </c>
      <c r="AX53" s="598"/>
    </row>
    <row r="54" spans="3:50" ht="18.75" customHeight="1" thickBot="1" x14ac:dyDescent="0.7">
      <c r="AM54" s="125">
        <v>0.1</v>
      </c>
      <c r="AN54" s="126">
        <v>779</v>
      </c>
      <c r="AO54" s="126">
        <v>10.5</v>
      </c>
      <c r="AP54" s="126">
        <v>9.8800000000000008</v>
      </c>
      <c r="AQ54" s="127">
        <v>10</v>
      </c>
      <c r="AR54" s="126">
        <v>7.68</v>
      </c>
      <c r="AS54" s="126">
        <v>2.3199999999999998</v>
      </c>
      <c r="AT54" s="128">
        <v>0.35</v>
      </c>
      <c r="AU54" s="126">
        <v>35.799999999999997</v>
      </c>
      <c r="AW54" s="129"/>
      <c r="AX54" s="129"/>
    </row>
    <row r="55" spans="3:50" ht="15.5" thickBot="1" x14ac:dyDescent="0.7">
      <c r="AM55" s="125">
        <v>0.2</v>
      </c>
      <c r="AN55" s="126">
        <v>757</v>
      </c>
      <c r="AO55" s="126">
        <v>11.1</v>
      </c>
      <c r="AP55" s="126">
        <v>10.3</v>
      </c>
      <c r="AQ55" s="127">
        <v>19.3</v>
      </c>
      <c r="AR55" s="126">
        <v>14.5</v>
      </c>
      <c r="AS55" s="126">
        <v>4.8</v>
      </c>
      <c r="AT55" s="128">
        <v>0.68</v>
      </c>
      <c r="AU55" s="126">
        <v>37.4</v>
      </c>
    </row>
    <row r="56" spans="3:50" ht="15.5" thickBot="1" x14ac:dyDescent="0.7">
      <c r="AM56" s="125">
        <v>0.3</v>
      </c>
      <c r="AN56" s="126">
        <v>746</v>
      </c>
      <c r="AO56" s="126">
        <v>11.2</v>
      </c>
      <c r="AP56" s="126">
        <v>10.3</v>
      </c>
      <c r="AQ56" s="127">
        <v>27.5</v>
      </c>
      <c r="AR56" s="126">
        <v>20.2</v>
      </c>
      <c r="AS56" s="126">
        <v>7.3</v>
      </c>
      <c r="AT56" s="128">
        <v>0.97</v>
      </c>
      <c r="AU56" s="126">
        <v>39.299999999999997</v>
      </c>
    </row>
    <row r="57" spans="3:50" ht="15.5" thickBot="1" x14ac:dyDescent="0.7">
      <c r="AM57" s="151">
        <v>0.4</v>
      </c>
      <c r="AN57" s="152">
        <v>741</v>
      </c>
      <c r="AO57" s="152">
        <v>11.7</v>
      </c>
      <c r="AP57" s="152">
        <v>10.6</v>
      </c>
      <c r="AQ57" s="153">
        <v>34</v>
      </c>
      <c r="AR57" s="152">
        <v>24</v>
      </c>
      <c r="AS57" s="152">
        <v>10</v>
      </c>
      <c r="AT57" s="154">
        <v>1.21</v>
      </c>
      <c r="AU57" s="152">
        <v>40.1</v>
      </c>
    </row>
    <row r="58" spans="3:50" ht="15.5" thickBot="1" x14ac:dyDescent="0.7">
      <c r="AM58" s="130">
        <v>0.5</v>
      </c>
      <c r="AN58" s="131">
        <v>715</v>
      </c>
      <c r="AO58" s="131">
        <v>11.8</v>
      </c>
      <c r="AP58" s="131">
        <v>10.6</v>
      </c>
      <c r="AQ58" s="132">
        <v>37.9</v>
      </c>
      <c r="AR58" s="131">
        <v>25.4</v>
      </c>
      <c r="AS58" s="131">
        <v>12.5</v>
      </c>
      <c r="AT58" s="133">
        <v>1.34</v>
      </c>
      <c r="AU58" s="131">
        <v>42.1</v>
      </c>
    </row>
    <row r="59" spans="3:50" ht="15.5" thickBot="1" x14ac:dyDescent="0.7">
      <c r="AM59" s="134">
        <v>0.6</v>
      </c>
      <c r="AN59" s="135">
        <v>725</v>
      </c>
      <c r="AO59" s="135">
        <v>11.9</v>
      </c>
      <c r="AP59" s="135">
        <v>10.5</v>
      </c>
      <c r="AQ59" s="136">
        <v>41.1</v>
      </c>
      <c r="AR59" s="135">
        <v>24.5</v>
      </c>
      <c r="AS59" s="135">
        <v>16.600000000000001</v>
      </c>
      <c r="AT59" s="137">
        <v>1.46</v>
      </c>
      <c r="AU59" s="135">
        <v>41.8</v>
      </c>
    </row>
    <row r="60" spans="3:50" ht="15.5" thickBot="1" x14ac:dyDescent="0.7">
      <c r="AM60" s="138">
        <v>0.7</v>
      </c>
      <c r="AN60" s="139">
        <v>750</v>
      </c>
      <c r="AO60" s="139">
        <v>12.4</v>
      </c>
      <c r="AP60" s="139">
        <v>10.9</v>
      </c>
      <c r="AQ60" s="140">
        <v>41.5</v>
      </c>
      <c r="AR60" s="139">
        <v>22.3</v>
      </c>
      <c r="AS60" s="139">
        <v>19.2</v>
      </c>
      <c r="AT60" s="141">
        <v>1.47</v>
      </c>
      <c r="AU60" s="139">
        <v>40.4</v>
      </c>
    </row>
    <row r="61" spans="3:50" ht="15.5" thickBot="1" x14ac:dyDescent="0.7">
      <c r="AM61" s="134">
        <v>0.8</v>
      </c>
      <c r="AN61" s="135">
        <v>746</v>
      </c>
      <c r="AO61" s="135">
        <v>12.2</v>
      </c>
      <c r="AP61" s="135">
        <v>10.8</v>
      </c>
      <c r="AQ61" s="136">
        <v>40.299999999999997</v>
      </c>
      <c r="AR61" s="135">
        <v>16.8</v>
      </c>
      <c r="AS61" s="135">
        <v>23.5</v>
      </c>
      <c r="AT61" s="137">
        <v>1.43</v>
      </c>
      <c r="AU61" s="135">
        <v>41</v>
      </c>
    </row>
    <row r="62" spans="3:50" ht="15.5" thickBot="1" x14ac:dyDescent="0.7">
      <c r="AM62" s="130">
        <v>0.9</v>
      </c>
      <c r="AN62" s="131">
        <v>796</v>
      </c>
      <c r="AO62" s="131">
        <v>12.3</v>
      </c>
      <c r="AP62" s="131">
        <v>10.9</v>
      </c>
      <c r="AQ62" s="132">
        <v>33.9</v>
      </c>
      <c r="AR62" s="131">
        <v>9.41</v>
      </c>
      <c r="AS62" s="131">
        <v>24.49</v>
      </c>
      <c r="AT62" s="133">
        <v>1.2</v>
      </c>
      <c r="AU62" s="131">
        <v>38.700000000000003</v>
      </c>
    </row>
    <row r="63" spans="3:50" ht="24" customHeight="1" x14ac:dyDescent="0.6">
      <c r="AM63" s="47" t="s">
        <v>284</v>
      </c>
    </row>
    <row r="64" spans="3:50" x14ac:dyDescent="0.65">
      <c r="AM64" s="148">
        <v>0.5</v>
      </c>
      <c r="AN64" s="149">
        <v>737</v>
      </c>
      <c r="AO64" s="149">
        <v>11.6</v>
      </c>
      <c r="AP64" s="149">
        <v>10.5</v>
      </c>
      <c r="AQ64" s="150" t="s">
        <v>283</v>
      </c>
      <c r="AR64" s="149">
        <v>26.2</v>
      </c>
      <c r="AS64" s="149">
        <v>15.1</v>
      </c>
      <c r="AT64" s="148">
        <v>1.46</v>
      </c>
      <c r="AU64" s="149">
        <v>41.3</v>
      </c>
    </row>
    <row r="66" spans="7:49" x14ac:dyDescent="0.65">
      <c r="AM66" s="52" t="s">
        <v>268</v>
      </c>
      <c r="AQ66" s="44" t="s">
        <v>267</v>
      </c>
      <c r="AU66" s="10" t="s">
        <v>266</v>
      </c>
      <c r="AW66" s="22" t="s">
        <v>305</v>
      </c>
    </row>
    <row r="67" spans="7:49" x14ac:dyDescent="0.65">
      <c r="AU67" s="10" t="s">
        <v>264</v>
      </c>
    </row>
    <row r="68" spans="7:49" x14ac:dyDescent="0.65">
      <c r="AU68" s="10" t="s">
        <v>265</v>
      </c>
    </row>
    <row r="69" spans="7:49" ht="21" customHeight="1" x14ac:dyDescent="0.65"/>
    <row r="70" spans="7:49" x14ac:dyDescent="0.65">
      <c r="G70" s="8"/>
    </row>
    <row r="71" spans="7:49" x14ac:dyDescent="0.65">
      <c r="G71" s="8"/>
    </row>
    <row r="72" spans="7:49" x14ac:dyDescent="0.65">
      <c r="G72" s="8"/>
    </row>
    <row r="73" spans="7:49" ht="23.25" customHeight="1" x14ac:dyDescent="0.65">
      <c r="G73" s="8"/>
    </row>
    <row r="74" spans="7:49" ht="22.5" customHeight="1" x14ac:dyDescent="0.65">
      <c r="G74" s="8"/>
    </row>
    <row r="75" spans="7:49" x14ac:dyDescent="0.65">
      <c r="G75" s="8"/>
    </row>
    <row r="76" spans="7:49" x14ac:dyDescent="0.65">
      <c r="G76" s="8"/>
    </row>
    <row r="77" spans="7:49" x14ac:dyDescent="0.65">
      <c r="G77" s="8"/>
    </row>
  </sheetData>
  <mergeCells count="67">
    <mergeCell ref="C25:C27"/>
    <mergeCell ref="A29:B31"/>
    <mergeCell ref="AV3:AV4"/>
    <mergeCell ref="AM8:AP8"/>
    <mergeCell ref="AM9:AP9"/>
    <mergeCell ref="AM10:AP10"/>
    <mergeCell ref="AM11:AP11"/>
    <mergeCell ref="AM4:AP4"/>
    <mergeCell ref="AM5:AP7"/>
    <mergeCell ref="AM3:AP3"/>
    <mergeCell ref="AM12:AP12"/>
    <mergeCell ref="AM26:AP26"/>
    <mergeCell ref="AM27:AP27"/>
    <mergeCell ref="AM13:AP13"/>
    <mergeCell ref="AM14:AP14"/>
    <mergeCell ref="AM15:AP15"/>
    <mergeCell ref="AW3:AW4"/>
    <mergeCell ref="AX3:AX4"/>
    <mergeCell ref="AY3:AY4"/>
    <mergeCell ref="AQ5:AQ7"/>
    <mergeCell ref="AS5:AS7"/>
    <mergeCell ref="AM16:AP16"/>
    <mergeCell ref="AM17:AP17"/>
    <mergeCell ref="AM28:AP28"/>
    <mergeCell ref="AQ24:AQ25"/>
    <mergeCell ref="AR24:AR25"/>
    <mergeCell ref="AM22:AP22"/>
    <mergeCell ref="AM23:AP23"/>
    <mergeCell ref="AM24:AP25"/>
    <mergeCell ref="AM29:AP29"/>
    <mergeCell ref="AM30:AP30"/>
    <mergeCell ref="AM31:AP31"/>
    <mergeCell ref="AM32:AP32"/>
    <mergeCell ref="AM33:AP33"/>
    <mergeCell ref="AW41:AX41"/>
    <mergeCell ref="AM34:AP34"/>
    <mergeCell ref="AM35:AP35"/>
    <mergeCell ref="AN40:AN41"/>
    <mergeCell ref="AT40:AT41"/>
    <mergeCell ref="AU40:AU41"/>
    <mergeCell ref="AO40:AO41"/>
    <mergeCell ref="AP40:AP41"/>
    <mergeCell ref="AQ40:AQ41"/>
    <mergeCell ref="AR40:AR41"/>
    <mergeCell ref="AW40:AX40"/>
    <mergeCell ref="AS40:AS41"/>
    <mergeCell ref="AW43:AX43"/>
    <mergeCell ref="AW44:AX44"/>
    <mergeCell ref="AW45:AX45"/>
    <mergeCell ref="AW46:AX46"/>
    <mergeCell ref="AW47:AX47"/>
    <mergeCell ref="AW42:AX42"/>
    <mergeCell ref="AW51:AX51"/>
    <mergeCell ref="AW52:AX52"/>
    <mergeCell ref="AM52:AM53"/>
    <mergeCell ref="AN52:AN53"/>
    <mergeCell ref="AO52:AO53"/>
    <mergeCell ref="AP52:AP53"/>
    <mergeCell ref="AQ52:AQ53"/>
    <mergeCell ref="AR52:AR53"/>
    <mergeCell ref="AS52:AS53"/>
    <mergeCell ref="AT52:AT53"/>
    <mergeCell ref="AU52:AU53"/>
    <mergeCell ref="AW53:AX53"/>
    <mergeCell ref="AW48:AX48"/>
    <mergeCell ref="AW49:AX49"/>
    <mergeCell ref="AW50:AX50"/>
  </mergeCells>
  <pageMargins left="0.7" right="0.7" top="0.75" bottom="0.75" header="0.3" footer="0.3"/>
  <pageSetup paperSize="9" scale="34" orientation="landscape" r:id="rId1"/>
  <colBreaks count="1" manualBreakCount="1">
    <brk id="3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85" zoomScaleNormal="85" workbookViewId="0">
      <selection activeCell="D22" sqref="D22"/>
    </sheetView>
  </sheetViews>
  <sheetFormatPr defaultRowHeight="14.25" x14ac:dyDescent="0.65"/>
  <cols>
    <col min="1" max="1" width="45.1796875" customWidth="1"/>
    <col min="14" max="14" width="10.7265625" customWidth="1"/>
    <col min="15" max="15" width="28.26953125" customWidth="1"/>
    <col min="16" max="16" width="10.54296875" bestFit="1" customWidth="1"/>
  </cols>
  <sheetData>
    <row r="1" spans="1:21" ht="17.5" x14ac:dyDescent="0.85">
      <c r="A1" s="180" t="s">
        <v>436</v>
      </c>
      <c r="B1" s="247">
        <f>'параметры для расчета'!C21</f>
        <v>50</v>
      </c>
      <c r="C1" s="28" t="s">
        <v>16</v>
      </c>
      <c r="D1" s="156" t="s">
        <v>325</v>
      </c>
      <c r="E1" s="261">
        <f>'параметры для расчета'!F19</f>
        <v>0</v>
      </c>
      <c r="G1" s="38" t="s">
        <v>406</v>
      </c>
      <c r="H1" s="40">
        <f>'параметры для расчета'!Q14</f>
        <v>149.25110155577391</v>
      </c>
      <c r="I1" s="40">
        <f>'параметры для расчета'!R14</f>
        <v>149.25110155577391</v>
      </c>
      <c r="J1" s="40">
        <f>'параметры для расчета'!S14</f>
        <v>149.25110155577389</v>
      </c>
      <c r="K1" s="260">
        <f>'параметры для расчета'!T14</f>
        <v>1426.9362634400413</v>
      </c>
      <c r="L1" s="14" t="s">
        <v>409</v>
      </c>
      <c r="O1" s="35"/>
      <c r="P1" s="262" t="s">
        <v>451</v>
      </c>
      <c r="Q1" s="262"/>
      <c r="R1" s="263" t="s">
        <v>451</v>
      </c>
      <c r="S1" s="264"/>
      <c r="T1" s="265" t="s">
        <v>451</v>
      </c>
      <c r="U1" s="266"/>
    </row>
    <row r="2" spans="1:21" ht="16" x14ac:dyDescent="0.8">
      <c r="A2" s="50" t="s">
        <v>435</v>
      </c>
      <c r="B2" s="247">
        <f>'параметры для расчета'!C22</f>
        <v>50</v>
      </c>
      <c r="C2" s="2" t="s">
        <v>16</v>
      </c>
      <c r="D2" s="248" t="s">
        <v>445</v>
      </c>
      <c r="E2" s="253">
        <f>'параметры для расчета'!T26</f>
        <v>793.60798040603436</v>
      </c>
      <c r="G2" s="38" t="s">
        <v>398</v>
      </c>
      <c r="H2" s="40">
        <f>'параметры для расчета'!Q15</f>
        <v>406.72080896898592</v>
      </c>
      <c r="I2" s="40">
        <f>'параметры для расчета'!R15</f>
        <v>406.72080896898592</v>
      </c>
      <c r="J2" s="40">
        <f>'параметры для расчета'!S15</f>
        <v>406.72080896898592</v>
      </c>
      <c r="K2" s="189">
        <f>'параметры для расчета'!T15</f>
        <v>553.59804407495835</v>
      </c>
      <c r="L2" s="14"/>
      <c r="O2" s="8"/>
      <c r="P2" s="267" t="s">
        <v>452</v>
      </c>
      <c r="Q2" s="267" t="s">
        <v>453</v>
      </c>
      <c r="R2" s="267" t="s">
        <v>452</v>
      </c>
      <c r="S2" s="267" t="s">
        <v>363</v>
      </c>
      <c r="T2" s="267" t="s">
        <v>452</v>
      </c>
      <c r="U2" s="267" t="s">
        <v>363</v>
      </c>
    </row>
    <row r="3" spans="1:21" ht="15.5" x14ac:dyDescent="0.35">
      <c r="G3" s="238" t="s">
        <v>397</v>
      </c>
      <c r="H3" s="200">
        <f>'параметры для расчета'!Q16</f>
        <v>555.97191052475978</v>
      </c>
      <c r="I3" s="201">
        <f>'параметры для расчета'!R16</f>
        <v>555.97191052475978</v>
      </c>
      <c r="J3" s="202">
        <f>'параметры для расчета'!S16</f>
        <v>555.97191052475978</v>
      </c>
      <c r="K3" s="258">
        <f>'параметры для расчета'!T16</f>
        <v>1980.5343075149997</v>
      </c>
      <c r="L3" s="14" t="s">
        <v>407</v>
      </c>
      <c r="O3" s="83" t="s">
        <v>454</v>
      </c>
      <c r="P3" s="207">
        <f>[1]результаты!AC8</f>
        <v>1.0775846647743346</v>
      </c>
      <c r="Q3" s="207">
        <f>[1]результаты!AD8</f>
        <v>1.077584664774337</v>
      </c>
      <c r="R3" s="207">
        <f>[1]результаты!AE8</f>
        <v>1.0775846647743346</v>
      </c>
      <c r="S3" s="207">
        <f>[1]результаты!AF8</f>
        <v>1.077584664774337</v>
      </c>
      <c r="T3" s="207">
        <f>[1]результаты!AG8</f>
        <v>1.0775846647743346</v>
      </c>
      <c r="U3" s="207">
        <f>[1]результаты!AH8</f>
        <v>1.0775846647743352</v>
      </c>
    </row>
    <row r="4" spans="1:21" ht="15.25" x14ac:dyDescent="0.65">
      <c r="A4" s="4" t="s">
        <v>297</v>
      </c>
      <c r="B4" s="173">
        <f>'параметры для расчета'!C61</f>
        <v>100</v>
      </c>
      <c r="C4" s="2" t="s">
        <v>16</v>
      </c>
      <c r="E4" s="260" t="e">
        <f>'параметры для расчета'!#REF!</f>
        <v>#REF!</v>
      </c>
      <c r="G4" s="8"/>
      <c r="H4" s="8"/>
      <c r="I4" s="8"/>
      <c r="J4" s="8"/>
      <c r="K4" s="8"/>
      <c r="L4" s="14"/>
      <c r="O4" s="221" t="s">
        <v>455</v>
      </c>
      <c r="P4" s="268">
        <f>[1]результаты!AC9</f>
        <v>1.0775846647743346</v>
      </c>
      <c r="Q4" s="268">
        <f>[1]результаты!AD9</f>
        <v>1.077584664774337</v>
      </c>
      <c r="R4" s="268">
        <f>[1]результаты!AE9</f>
        <v>1.0775846647743346</v>
      </c>
      <c r="S4" s="268">
        <f>[1]результаты!AF9</f>
        <v>1.077584664774337</v>
      </c>
      <c r="T4" s="268">
        <f>[1]результаты!AG9</f>
        <v>1.0775846647743346</v>
      </c>
      <c r="U4" s="268">
        <f>[1]результаты!AH9</f>
        <v>1.0775846647743352</v>
      </c>
    </row>
    <row r="5" spans="1:21" ht="15.5" x14ac:dyDescent="0.35">
      <c r="G5" s="238" t="s">
        <v>397</v>
      </c>
      <c r="H5" s="200">
        <f>'параметры для расчета'!Q18</f>
        <v>555.8018353713835</v>
      </c>
      <c r="I5" s="201">
        <f>'параметры для расчета'!R18</f>
        <v>555.8018353713835</v>
      </c>
      <c r="J5" s="202">
        <f>'параметры для расчета'!S18</f>
        <v>555.8018353713835</v>
      </c>
      <c r="K5" s="189">
        <f>'параметры для расчета'!T18</f>
        <v>726.18</v>
      </c>
      <c r="L5" s="14" t="s">
        <v>418</v>
      </c>
      <c r="O5" s="83" t="s">
        <v>456</v>
      </c>
      <c r="P5" s="207">
        <f>[1]результаты!AC10</f>
        <v>18.75</v>
      </c>
      <c r="Q5" s="207">
        <f>[1]результаты!AD10</f>
        <v>18.75</v>
      </c>
      <c r="R5" s="207">
        <f>[1]результаты!AE10</f>
        <v>18.75</v>
      </c>
      <c r="S5" s="207">
        <f>[1]результаты!AF10</f>
        <v>18.75</v>
      </c>
      <c r="T5" s="207">
        <f>[1]результаты!AG10</f>
        <v>0</v>
      </c>
      <c r="U5" s="207">
        <f>[1]результаты!AH10</f>
        <v>0</v>
      </c>
    </row>
    <row r="6" spans="1:21" ht="15.25" x14ac:dyDescent="0.65">
      <c r="A6" s="3" t="s">
        <v>340</v>
      </c>
      <c r="B6" s="183">
        <f>'параметры для расчета'!C45</f>
        <v>0.19183310501153925</v>
      </c>
      <c r="C6" s="55" t="s">
        <v>291</v>
      </c>
      <c r="G6" s="8"/>
      <c r="H6" s="8"/>
      <c r="I6" s="8"/>
      <c r="J6" s="8"/>
      <c r="K6" s="8"/>
      <c r="L6" s="14" t="s">
        <v>417</v>
      </c>
      <c r="O6" s="221" t="s">
        <v>457</v>
      </c>
      <c r="P6" s="268">
        <f>[1]результаты!AC11</f>
        <v>18.75</v>
      </c>
      <c r="Q6" s="268">
        <f>[1]результаты!AD11</f>
        <v>18.75</v>
      </c>
      <c r="R6" s="268">
        <f>[1]результаты!AE11</f>
        <v>18.75</v>
      </c>
      <c r="S6" s="268">
        <f>[1]результаты!AF11</f>
        <v>18.75</v>
      </c>
      <c r="T6" s="268">
        <f>[1]результаты!AG11</f>
        <v>37.5</v>
      </c>
      <c r="U6" s="268">
        <f>[1]результаты!AH11</f>
        <v>37.5</v>
      </c>
    </row>
    <row r="7" spans="1:21" ht="15.5" x14ac:dyDescent="0.35">
      <c r="A7" s="2"/>
      <c r="B7" s="178">
        <f>'параметры для расчета'!C46</f>
        <v>0.19183310501153925</v>
      </c>
      <c r="C7" s="2"/>
      <c r="G7" s="8"/>
      <c r="H7" s="241">
        <f>'параметры для расчета'!Q20</f>
        <v>1.0003059996253207</v>
      </c>
      <c r="I7" s="241">
        <f>'параметры для расчета'!R20</f>
        <v>1.0003059996253207</v>
      </c>
      <c r="J7" s="241">
        <f>'параметры для расчета'!S20</f>
        <v>1.0003059996253207</v>
      </c>
      <c r="K7" s="241">
        <f>'параметры для расчета'!T20</f>
        <v>2.7273324898991982</v>
      </c>
      <c r="L7" s="8"/>
      <c r="O7" s="83" t="s">
        <v>458</v>
      </c>
      <c r="P7" s="207">
        <f>[1]результаты!AC12</f>
        <v>31.986357555121462</v>
      </c>
      <c r="Q7" s="207">
        <f>[1]результаты!AD12</f>
        <v>31.986357555121462</v>
      </c>
      <c r="R7" s="207">
        <f>[1]результаты!AE12</f>
        <v>31.986357555121462</v>
      </c>
      <c r="S7" s="207">
        <f>[1]результаты!AF12</f>
        <v>31.986357555121462</v>
      </c>
      <c r="T7" s="207">
        <f>[1]результаты!AG12</f>
        <v>35.890062857734634</v>
      </c>
      <c r="U7" s="207">
        <f>[1]результаты!AH12</f>
        <v>35.890062857734634</v>
      </c>
    </row>
    <row r="8" spans="1:21" ht="17.5" x14ac:dyDescent="0.45">
      <c r="A8" s="2"/>
      <c r="B8" s="171">
        <f>'параметры для расчета'!C47</f>
        <v>0.21524495826678408</v>
      </c>
      <c r="C8" s="2"/>
      <c r="D8" s="252" t="s">
        <v>449</v>
      </c>
      <c r="F8" s="276" t="s">
        <v>450</v>
      </c>
      <c r="G8" s="8"/>
      <c r="H8" s="2"/>
      <c r="I8" s="2"/>
      <c r="J8" s="2"/>
      <c r="K8" s="2"/>
      <c r="L8" s="2"/>
      <c r="O8" s="221" t="s">
        <v>459</v>
      </c>
      <c r="P8" s="268">
        <f>[1]результаты!AC13</f>
        <v>31.986357555121462</v>
      </c>
      <c r="Q8" s="268">
        <f>[1]результаты!AD13</f>
        <v>31.986357555121462</v>
      </c>
      <c r="R8" s="268">
        <f>[1]результаты!AE13</f>
        <v>31.986357555121462</v>
      </c>
      <c r="S8" s="268">
        <f>[1]результаты!AF13</f>
        <v>31.986357555121462</v>
      </c>
      <c r="T8" s="268">
        <f>[1]результаты!AG13</f>
        <v>28.082652252508275</v>
      </c>
      <c r="U8" s="268">
        <f>[1]результаты!AH13</f>
        <v>28.082652252508275</v>
      </c>
    </row>
    <row r="9" spans="1:21" ht="17.75" x14ac:dyDescent="0.65">
      <c r="A9" s="3" t="s">
        <v>339</v>
      </c>
      <c r="B9" s="184">
        <f>'параметры для расчета'!C48</f>
        <v>0.1918331050115393</v>
      </c>
      <c r="C9" s="55" t="s">
        <v>291</v>
      </c>
      <c r="D9" s="177">
        <f>'параметры для расчета'!H48</f>
        <v>0.38366621002307855</v>
      </c>
      <c r="F9" s="177">
        <f>'параметры для расчета'!H55</f>
        <v>0.38366621002307855</v>
      </c>
      <c r="G9" s="8"/>
      <c r="H9" s="8"/>
      <c r="I9" s="8"/>
      <c r="J9" s="8"/>
      <c r="K9" s="14"/>
      <c r="L9" s="223" t="s">
        <v>415</v>
      </c>
      <c r="O9" s="83" t="s">
        <v>460</v>
      </c>
      <c r="P9" s="269">
        <f>[1]результаты!AC14</f>
        <v>910.88742892719972</v>
      </c>
      <c r="Q9" s="269">
        <f>[1]результаты!AD14</f>
        <v>910.88742892719972</v>
      </c>
      <c r="R9" s="269">
        <f>[1]результаты!AE14</f>
        <v>910.88742892719972</v>
      </c>
      <c r="S9" s="269">
        <f>[1]результаты!AF14</f>
        <v>910.88742892719972</v>
      </c>
      <c r="T9" s="269">
        <f>[1]результаты!AG14</f>
        <v>927.38331192429621</v>
      </c>
      <c r="U9" s="269">
        <f>[1]результаты!AH14</f>
        <v>927.38331192429621</v>
      </c>
    </row>
    <row r="10" spans="1:21" ht="17.5" x14ac:dyDescent="0.35">
      <c r="A10" s="2"/>
      <c r="B10" s="170">
        <f>'параметры для расчета'!C49</f>
        <v>0.1918331050115393</v>
      </c>
      <c r="C10" s="2"/>
      <c r="D10" s="177">
        <f>'параметры для расчета'!H49</f>
        <v>0.38366621002307855</v>
      </c>
      <c r="F10" s="177">
        <f>'параметры для расчета'!H56</f>
        <v>0.38366621002307855</v>
      </c>
      <c r="G10" s="38" t="s">
        <v>393</v>
      </c>
      <c r="H10" s="200">
        <f>'параметры для расчета'!Q23</f>
        <v>37.5</v>
      </c>
      <c r="I10" s="201">
        <f>'параметры для расчета'!R23</f>
        <v>37.5</v>
      </c>
      <c r="J10" s="202">
        <f>'параметры для расчета'!S23</f>
        <v>37.5</v>
      </c>
      <c r="K10" s="257">
        <f>'параметры для расчета'!T23</f>
        <v>36.940597539775922</v>
      </c>
      <c r="L10" s="8"/>
      <c r="O10" s="221" t="s">
        <v>461</v>
      </c>
      <c r="P10" s="270">
        <f>[1]результаты!AC15</f>
        <v>910.88742892719972</v>
      </c>
      <c r="Q10" s="270">
        <f>[1]результаты!AD15</f>
        <v>910.88742892719972</v>
      </c>
      <c r="R10" s="270">
        <f>[1]результаты!AE15</f>
        <v>910.88742892719972</v>
      </c>
      <c r="S10" s="270">
        <f>[1]результаты!AF15</f>
        <v>910.88742892719972</v>
      </c>
      <c r="T10" s="270">
        <f>[1]результаты!AG15</f>
        <v>894.39154593010323</v>
      </c>
      <c r="U10" s="270">
        <f>[1]результаты!AH15</f>
        <v>894.39154593010323</v>
      </c>
    </row>
    <row r="11" spans="1:21" ht="15.5" x14ac:dyDescent="0.35">
      <c r="A11" s="2"/>
      <c r="B11" s="171">
        <f>'параметры для расчета'!C50</f>
        <v>0.16842125175629441</v>
      </c>
      <c r="C11" s="2"/>
      <c r="D11" s="177">
        <f>'параметры для расчета'!H50</f>
        <v>0.38366621002307849</v>
      </c>
      <c r="F11" s="177">
        <f>'параметры для расчета'!H57</f>
        <v>0.38366621002307849</v>
      </c>
      <c r="G11" s="38" t="s">
        <v>443</v>
      </c>
      <c r="H11" s="203">
        <f>'параметры для расчета'!Q24</f>
        <v>63.972715110242923</v>
      </c>
      <c r="I11" s="203">
        <f>'параметры для расчета'!R24</f>
        <v>63.972715110242923</v>
      </c>
      <c r="J11" s="203">
        <f>'параметры для расчета'!S24</f>
        <v>63.972715110242909</v>
      </c>
      <c r="K11" s="257">
        <f>'параметры для расчета'!T24</f>
        <v>533.0290021070914</v>
      </c>
      <c r="L11" s="14"/>
      <c r="O11" s="83" t="s">
        <v>462</v>
      </c>
      <c r="P11" s="207">
        <f>[1]результаты!AC16</f>
        <v>111.864205682997</v>
      </c>
      <c r="Q11" s="207">
        <f>[1]результаты!AD16</f>
        <v>111.864205682997</v>
      </c>
      <c r="R11" s="207">
        <f>[1]результаты!AE16</f>
        <v>111.864205682997</v>
      </c>
      <c r="S11" s="207">
        <f>[1]результаты!AF16</f>
        <v>111.864205682997</v>
      </c>
      <c r="T11" s="207">
        <f>[1]результаты!AG16</f>
        <v>111.864205682997</v>
      </c>
      <c r="U11" s="207">
        <f>[1]результаты!AH16</f>
        <v>111.864205682997</v>
      </c>
    </row>
    <row r="12" spans="1:21" ht="15.5" x14ac:dyDescent="0.35">
      <c r="G12" s="38" t="s">
        <v>394</v>
      </c>
      <c r="H12" s="204">
        <f>'параметры для расчета'!Q25</f>
        <v>223.72841136599399</v>
      </c>
      <c r="I12" s="40">
        <f>'параметры для расчета'!R25</f>
        <v>223.72841136599399</v>
      </c>
      <c r="J12" s="204">
        <f>'параметры для расчета'!S25</f>
        <v>223.72841136599399</v>
      </c>
      <c r="K12" s="257">
        <f>'параметры для расчета'!T25</f>
        <v>223.63838075916701</v>
      </c>
      <c r="L12" s="8"/>
      <c r="O12" s="221" t="s">
        <v>463</v>
      </c>
      <c r="P12" s="268">
        <f>[1]результаты!AC17</f>
        <v>111.864205682997</v>
      </c>
      <c r="Q12" s="268">
        <f>[1]результаты!AD17</f>
        <v>111.864205682997</v>
      </c>
      <c r="R12" s="268">
        <f>[1]результаты!AE17</f>
        <v>111.864205682997</v>
      </c>
      <c r="S12" s="268">
        <f>[1]результаты!AF17</f>
        <v>111.864205682997</v>
      </c>
      <c r="T12" s="268">
        <f>[1]результаты!AG17</f>
        <v>111.864205682997</v>
      </c>
      <c r="U12" s="268">
        <f>[1]результаты!AH17</f>
        <v>111.864205682997</v>
      </c>
    </row>
    <row r="13" spans="1:21" ht="15.25" x14ac:dyDescent="0.65">
      <c r="A13" s="3" t="s">
        <v>340</v>
      </c>
      <c r="B13" s="13">
        <f>'параметры для расчета'!C51</f>
        <v>2.5373114388444984</v>
      </c>
      <c r="C13" s="55" t="s">
        <v>168</v>
      </c>
      <c r="D13" s="60" t="s">
        <v>8</v>
      </c>
      <c r="E13" s="160">
        <f>3.14*(B13/2)^2*B13</f>
        <v>12.823039760321695</v>
      </c>
      <c r="F13" s="1" t="s">
        <v>360</v>
      </c>
      <c r="G13" s="38" t="s">
        <v>395</v>
      </c>
      <c r="H13" s="40">
        <f>'параметры для расчета'!Q26</f>
        <v>323.04595714668824</v>
      </c>
      <c r="I13" s="40">
        <f>'параметры для расчета'!R26</f>
        <v>323.04595714668824</v>
      </c>
      <c r="J13" s="40">
        <f>'параметры для расчета'!S26</f>
        <v>323.04595714668824</v>
      </c>
      <c r="K13" s="8"/>
      <c r="L13" s="2"/>
      <c r="O13" s="10" t="s">
        <v>469</v>
      </c>
      <c r="P13" s="271">
        <f>[1]результаты!AC18</f>
        <v>916.52480198887986</v>
      </c>
      <c r="Q13" s="271">
        <f>[1]результаты!AD18</f>
        <v>916.52480198887986</v>
      </c>
      <c r="R13" s="271">
        <f>[1]результаты!AE18</f>
        <v>916.52480198887986</v>
      </c>
      <c r="S13" s="271">
        <f>[1]результаты!AF18</f>
        <v>916.52480198887986</v>
      </c>
      <c r="T13" s="271">
        <f>[1]результаты!AG18</f>
        <v>931.3710966862667</v>
      </c>
      <c r="U13" s="271">
        <f>[1]результаты!AH18</f>
        <v>931.3710966862667</v>
      </c>
    </row>
    <row r="14" spans="1:21" ht="15.25" x14ac:dyDescent="0.65">
      <c r="A14" s="3" t="s">
        <v>339</v>
      </c>
      <c r="B14" s="13">
        <f>'параметры для расчета'!C52</f>
        <v>2.5268265612292273</v>
      </c>
      <c r="C14" s="55" t="s">
        <v>168</v>
      </c>
      <c r="D14" s="67" t="s">
        <v>8</v>
      </c>
      <c r="E14" s="160">
        <f>3.14*(B14/2)^2*B14</f>
        <v>12.664730627478212</v>
      </c>
      <c r="F14" s="1" t="s">
        <v>360</v>
      </c>
      <c r="G14" s="38" t="s">
        <v>396</v>
      </c>
      <c r="H14" s="206">
        <f>'параметры для расчета'!Q27</f>
        <v>325.20112647623694</v>
      </c>
      <c r="I14" s="206">
        <f>'параметры для расчета'!R27</f>
        <v>325.20112647623694</v>
      </c>
      <c r="J14" s="206">
        <f>'параметры для расчета'!S27</f>
        <v>325.20112647623694</v>
      </c>
      <c r="K14" s="258">
        <f>'параметры для расчета'!T27</f>
        <v>793.60798040603436</v>
      </c>
      <c r="L14" s="83"/>
      <c r="O14" s="272" t="s">
        <v>470</v>
      </c>
      <c r="P14" s="273">
        <f>[1]результаты!AC19</f>
        <v>916.52480198887986</v>
      </c>
      <c r="Q14" s="273">
        <f>[1]результаты!AD19</f>
        <v>916.52480198887986</v>
      </c>
      <c r="R14" s="273">
        <f>[1]результаты!AE19</f>
        <v>916.52480198887986</v>
      </c>
      <c r="S14" s="273">
        <f>[1]результаты!AF19</f>
        <v>916.52480198887986</v>
      </c>
      <c r="T14" s="273">
        <f>[1]результаты!AG19</f>
        <v>901.67850729149302</v>
      </c>
      <c r="U14" s="273">
        <f>[1]результаты!AH19</f>
        <v>901.67850729149302</v>
      </c>
    </row>
    <row r="15" spans="1:21" ht="15.5" x14ac:dyDescent="0.35">
      <c r="G15" s="8"/>
      <c r="H15" s="205">
        <f>'параметры для расчета'!Q28</f>
        <v>325.20112647623694</v>
      </c>
      <c r="I15" s="205">
        <f>'параметры для расчета'!R28</f>
        <v>325.20112647623694</v>
      </c>
      <c r="J15" s="205">
        <f>'параметры для расчета'!S28</f>
        <v>325.20112647623694</v>
      </c>
      <c r="K15" s="254">
        <f>'параметры для расчета'!T28</f>
        <v>793.60798040603436</v>
      </c>
      <c r="L15" s="39" t="s">
        <v>408</v>
      </c>
      <c r="O15" s="10" t="s">
        <v>464</v>
      </c>
      <c r="P15" s="207">
        <f>[1]результаты!AC20</f>
        <v>161.52297857334412</v>
      </c>
      <c r="Q15" s="207">
        <f>[1]результаты!AD20</f>
        <v>161.52297857334412</v>
      </c>
      <c r="R15" s="207">
        <f>[1]результаты!AE20</f>
        <v>161.52297857334412</v>
      </c>
      <c r="S15" s="207">
        <f>[1]результаты!AF20</f>
        <v>161.52297857334412</v>
      </c>
      <c r="T15" s="207">
        <f>[1]результаты!AG20</f>
        <v>146.67668387595728</v>
      </c>
      <c r="U15" s="207">
        <f>[1]результаты!AH20</f>
        <v>146.67668387595728</v>
      </c>
    </row>
    <row r="16" spans="1:21" ht="15.25" x14ac:dyDescent="0.65">
      <c r="B16" s="168" t="str">
        <f>IF('[1]баланс тритий'!A45&lt;1, "ПРЕВЫЩЕНИЕ", "НОРМ")</f>
        <v>ПРЕВЫЩЕНИЕ</v>
      </c>
      <c r="E16" s="169">
        <f>'[1]баланс тритий'!$E$81</f>
        <v>12.823039760321693</v>
      </c>
      <c r="F16" s="1" t="s">
        <v>360</v>
      </c>
      <c r="G16" s="251"/>
      <c r="H16" s="249">
        <f>'параметры для расчета'!Q29</f>
        <v>1.7091018146027148</v>
      </c>
      <c r="I16" s="249">
        <f>'параметры для расчета'!R29</f>
        <v>1.7091018146027148</v>
      </c>
      <c r="J16" s="249">
        <f>'параметры для расчета'!S29</f>
        <v>1.7091018146027148</v>
      </c>
      <c r="K16" s="259">
        <f>'параметры для расчета'!T29</f>
        <v>0.91503616134059518</v>
      </c>
      <c r="L16" s="33" t="s">
        <v>446</v>
      </c>
      <c r="O16" s="272" t="s">
        <v>465</v>
      </c>
      <c r="P16" s="268">
        <f>[1]результаты!AC21</f>
        <v>161.52297857334412</v>
      </c>
      <c r="Q16" s="268">
        <f>[1]результаты!AD21</f>
        <v>161.52297857334412</v>
      </c>
      <c r="R16" s="268">
        <f>[1]результаты!AE21</f>
        <v>161.52297857334412</v>
      </c>
      <c r="S16" s="268">
        <f>[1]результаты!AF21</f>
        <v>161.52297857334412</v>
      </c>
      <c r="T16" s="268">
        <f>[1]результаты!AG21</f>
        <v>176.36927327073093</v>
      </c>
      <c r="U16" s="268">
        <f>[1]результаты!AH21</f>
        <v>176.36927327073093</v>
      </c>
    </row>
    <row r="17" spans="1:33" ht="15.25" x14ac:dyDescent="0.65">
      <c r="B17" s="168" t="str">
        <f>IF('[1]баланс дейтерий'!A45&lt;1, "ПРЕВЫЩЕНИЕ", "НОРМ")</f>
        <v>ПРЕВЫЩЕНИЕ</v>
      </c>
      <c r="E17" s="169">
        <f>'[1]баланс дейтерий'!$E$81</f>
        <v>12.664730627478217</v>
      </c>
      <c r="F17" s="1" t="s">
        <v>360</v>
      </c>
      <c r="G17" s="38" t="s">
        <v>399</v>
      </c>
      <c r="H17" s="207">
        <f>'параметры для расчета'!Q30</f>
        <v>1.7210303928128245</v>
      </c>
      <c r="I17" s="207">
        <f>'параметры для расчета'!R30</f>
        <v>1.7210303928128245</v>
      </c>
      <c r="J17" s="207">
        <f>'параметры для расчета'!S30</f>
        <v>1.7210303928128245</v>
      </c>
      <c r="K17" s="207">
        <f>'параметры для расчета'!T30</f>
        <v>2.4956078522568501</v>
      </c>
      <c r="L17" s="14" t="s">
        <v>400</v>
      </c>
      <c r="O17" s="10" t="s">
        <v>466</v>
      </c>
      <c r="P17" s="274">
        <f>[1]результаты!AC22</f>
        <v>161.52297857334415</v>
      </c>
      <c r="Q17" s="274">
        <f>[1]результаты!AD22</f>
        <v>161.52297857334412</v>
      </c>
      <c r="R17" s="274">
        <f>[1]результаты!AE22</f>
        <v>161.52297857334415</v>
      </c>
      <c r="S17" s="274">
        <f>[1]результаты!AF22</f>
        <v>161.52297857334412</v>
      </c>
      <c r="T17" s="274">
        <f>[1]результаты!AG22</f>
        <v>146.67668387595731</v>
      </c>
      <c r="U17" s="274">
        <f>[1]результаты!AH22</f>
        <v>146.67668387595728</v>
      </c>
    </row>
    <row r="18" spans="1:33" ht="15.5" x14ac:dyDescent="0.35">
      <c r="O18" s="272" t="s">
        <v>467</v>
      </c>
      <c r="P18" s="275">
        <f>[1]результаты!AC23</f>
        <v>161.52297857334415</v>
      </c>
      <c r="Q18" s="275">
        <f>[1]результаты!AD23</f>
        <v>161.52297857334412</v>
      </c>
      <c r="R18" s="275">
        <f>[1]результаты!AE23</f>
        <v>161.52297857334415</v>
      </c>
      <c r="S18" s="275">
        <f>[1]результаты!AF23</f>
        <v>161.52297857334412</v>
      </c>
      <c r="T18" s="275">
        <f>[1]результаты!AG23</f>
        <v>176.36927327073093</v>
      </c>
      <c r="U18" s="275">
        <f>[1]результаты!AH23</f>
        <v>176.3692732707309</v>
      </c>
    </row>
    <row r="19" spans="1:33" ht="15.25" x14ac:dyDescent="0.65">
      <c r="A19" s="3" t="s">
        <v>341</v>
      </c>
      <c r="B19" s="13">
        <f>'параметры для расчета'!C58</f>
        <v>1.3657989661467536</v>
      </c>
      <c r="C19" s="55" t="s">
        <v>168</v>
      </c>
      <c r="D19" s="60" t="s">
        <v>8</v>
      </c>
      <c r="E19" s="186">
        <f>3.14*(B19/2)^2*B19</f>
        <v>2</v>
      </c>
      <c r="F19" s="1" t="s">
        <v>360</v>
      </c>
    </row>
    <row r="20" spans="1:33" ht="15.25" x14ac:dyDescent="0.65">
      <c r="A20" s="3" t="s">
        <v>342</v>
      </c>
      <c r="B20" s="13">
        <f>'параметры для расчета'!C59</f>
        <v>1.3657989661467536</v>
      </c>
      <c r="C20" s="55" t="s">
        <v>168</v>
      </c>
      <c r="D20" s="67" t="s">
        <v>8</v>
      </c>
      <c r="E20" s="186">
        <f>3.14*(B20/2)^2*B20</f>
        <v>2</v>
      </c>
      <c r="F20" s="1" t="s">
        <v>360</v>
      </c>
    </row>
    <row r="23" spans="1:33" ht="15.5" x14ac:dyDescent="0.35">
      <c r="B23" s="282"/>
      <c r="C23" s="282"/>
      <c r="D23" s="282"/>
      <c r="E23" s="344"/>
      <c r="F23" s="344"/>
      <c r="G23" s="344"/>
      <c r="H23" s="282"/>
      <c r="I23" s="282"/>
      <c r="J23" s="282"/>
      <c r="K23" s="282"/>
      <c r="L23" s="345"/>
      <c r="M23" s="345"/>
      <c r="N23" s="345"/>
      <c r="O23" s="346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</row>
    <row r="24" spans="1:33" ht="14.5" x14ac:dyDescent="0.35">
      <c r="B24" s="346"/>
      <c r="C24" s="346"/>
      <c r="D24" s="346"/>
      <c r="E24" s="346"/>
      <c r="F24" s="346"/>
      <c r="G24" s="346"/>
      <c r="H24" s="346"/>
      <c r="I24" s="346"/>
      <c r="J24" s="346"/>
      <c r="K24" s="346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46"/>
      <c r="AD24" s="346"/>
      <c r="AE24" s="346"/>
      <c r="AF24" s="346"/>
      <c r="AG24" s="346"/>
    </row>
    <row r="25" spans="1:33" x14ac:dyDescent="0.65">
      <c r="B25" s="346"/>
      <c r="C25" s="347"/>
      <c r="D25" s="348"/>
      <c r="E25" s="348"/>
      <c r="F25" s="348"/>
      <c r="G25" s="346"/>
      <c r="H25" s="346"/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6"/>
      <c r="AE25" s="346"/>
      <c r="AF25" s="346"/>
      <c r="AG25" s="346"/>
    </row>
    <row r="26" spans="1:33" ht="15.25" x14ac:dyDescent="0.65">
      <c r="B26" s="346"/>
      <c r="C26" s="285"/>
      <c r="D26" s="285"/>
      <c r="E26" s="285"/>
      <c r="F26" s="285"/>
      <c r="G26" s="346"/>
      <c r="H26" s="346"/>
      <c r="I26" s="346"/>
      <c r="J26" s="346"/>
      <c r="K26" s="346"/>
      <c r="L26" s="346"/>
      <c r="M26" s="346"/>
      <c r="N26" s="346"/>
      <c r="O26" s="349"/>
      <c r="P26" s="277"/>
      <c r="Q26" s="277"/>
      <c r="R26" s="277"/>
      <c r="S26" s="277"/>
      <c r="T26" s="277"/>
      <c r="U26" s="277"/>
      <c r="V26" s="277"/>
      <c r="W26" s="277"/>
      <c r="X26" s="346"/>
      <c r="Y26" s="346"/>
      <c r="Z26" s="346"/>
      <c r="AA26" s="346"/>
      <c r="AB26" s="346"/>
      <c r="AC26" s="346"/>
      <c r="AD26" s="346"/>
      <c r="AE26" s="346"/>
      <c r="AF26" s="346"/>
      <c r="AG26" s="346"/>
    </row>
    <row r="27" spans="1:33" ht="15.25" x14ac:dyDescent="0.65">
      <c r="B27" s="346"/>
      <c r="C27" s="284"/>
      <c r="D27" s="284"/>
      <c r="E27" s="284"/>
      <c r="F27" s="284"/>
      <c r="G27" s="346"/>
      <c r="H27" s="346"/>
      <c r="I27" s="346"/>
      <c r="J27" s="346"/>
      <c r="K27" s="346"/>
      <c r="L27" s="346"/>
      <c r="M27" s="346"/>
      <c r="N27" s="346"/>
      <c r="O27" s="346"/>
      <c r="P27" s="23"/>
      <c r="Q27" s="23"/>
      <c r="R27" s="23"/>
      <c r="S27" s="23"/>
      <c r="T27" s="23"/>
      <c r="U27" s="23"/>
      <c r="V27" s="23"/>
      <c r="W27" s="23"/>
      <c r="X27" s="346"/>
      <c r="Y27" s="346"/>
      <c r="Z27" s="346"/>
      <c r="AA27" s="346"/>
      <c r="AB27" s="346"/>
      <c r="AC27" s="346"/>
      <c r="AD27" s="346"/>
      <c r="AE27" s="346"/>
      <c r="AF27" s="346"/>
      <c r="AG27" s="346"/>
    </row>
    <row r="28" spans="1:33" ht="15.25" x14ac:dyDescent="0.65">
      <c r="B28" s="346"/>
      <c r="C28" s="286"/>
      <c r="D28" s="286"/>
      <c r="E28" s="286"/>
      <c r="F28" s="286"/>
      <c r="G28" s="346"/>
      <c r="H28" s="346"/>
      <c r="I28" s="346"/>
      <c r="J28" s="346"/>
      <c r="K28" s="346"/>
      <c r="L28" s="346"/>
      <c r="M28" s="346"/>
      <c r="N28" s="346"/>
      <c r="O28" s="346"/>
      <c r="P28" s="277"/>
      <c r="Q28" s="277"/>
      <c r="R28" s="277"/>
      <c r="S28" s="277"/>
      <c r="T28" s="277"/>
      <c r="U28" s="277"/>
      <c r="V28" s="277"/>
      <c r="W28" s="277"/>
      <c r="X28" s="346"/>
      <c r="Y28" s="346"/>
      <c r="Z28" s="346"/>
      <c r="AA28" s="346"/>
      <c r="AB28" s="346"/>
      <c r="AC28" s="346"/>
      <c r="AD28" s="346"/>
      <c r="AE28" s="346"/>
      <c r="AF28" s="346"/>
      <c r="AG28" s="346"/>
    </row>
    <row r="29" spans="1:33" x14ac:dyDescent="0.65"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</row>
    <row r="30" spans="1:33" ht="15" x14ac:dyDescent="0.65">
      <c r="B30" s="350"/>
      <c r="C30" s="347"/>
      <c r="D30" s="348"/>
      <c r="E30" s="348"/>
      <c r="F30" s="348"/>
      <c r="G30" s="346"/>
      <c r="H30" s="346"/>
      <c r="I30" s="346"/>
      <c r="J30" s="346"/>
      <c r="K30" s="346"/>
      <c r="L30" s="346"/>
      <c r="M30" s="346"/>
      <c r="N30" s="346"/>
      <c r="O30" s="346"/>
      <c r="P30" s="351"/>
      <c r="Q30" s="351"/>
      <c r="R30" s="351"/>
      <c r="S30" s="351"/>
      <c r="T30" s="351"/>
      <c r="U30" s="351"/>
      <c r="V30" s="351"/>
      <c r="W30" s="351"/>
      <c r="X30" s="346"/>
      <c r="Y30" s="346"/>
      <c r="Z30" s="346"/>
      <c r="AA30" s="346"/>
      <c r="AB30" s="346"/>
      <c r="AC30" s="346"/>
      <c r="AD30" s="346"/>
      <c r="AE30" s="346"/>
      <c r="AF30" s="346"/>
      <c r="AG30" s="346"/>
    </row>
    <row r="31" spans="1:33" ht="15.25" x14ac:dyDescent="0.65">
      <c r="B31" s="346"/>
      <c r="C31" s="285"/>
      <c r="D31" s="285"/>
      <c r="E31" s="285"/>
      <c r="F31" s="285"/>
      <c r="G31" s="346"/>
      <c r="H31" s="346"/>
      <c r="I31" s="346"/>
      <c r="J31" s="346"/>
      <c r="K31" s="346"/>
      <c r="L31" s="346"/>
      <c r="M31" s="346"/>
      <c r="N31" s="346"/>
      <c r="O31" s="346"/>
      <c r="P31" s="346"/>
      <c r="Q31" s="346"/>
      <c r="R31" s="346"/>
      <c r="S31" s="346"/>
      <c r="T31" s="346"/>
      <c r="U31" s="346"/>
      <c r="V31" s="346"/>
      <c r="W31" s="346"/>
      <c r="X31" s="346"/>
      <c r="Y31" s="346"/>
      <c r="Z31" s="346"/>
      <c r="AA31" s="346"/>
      <c r="AB31" s="346"/>
      <c r="AC31" s="346"/>
      <c r="AD31" s="346"/>
      <c r="AE31" s="346"/>
      <c r="AF31" s="346"/>
      <c r="AG31" s="346"/>
    </row>
    <row r="32" spans="1:33" ht="15.25" x14ac:dyDescent="0.65">
      <c r="B32" s="346"/>
      <c r="C32" s="284"/>
      <c r="D32" s="284"/>
      <c r="E32" s="284"/>
      <c r="F32" s="284"/>
      <c r="G32" s="346"/>
      <c r="H32" s="346"/>
      <c r="I32" s="346"/>
      <c r="J32" s="346"/>
      <c r="K32" s="346"/>
      <c r="L32" s="346"/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346"/>
      <c r="X32" s="346"/>
      <c r="Y32" s="346"/>
      <c r="Z32" s="346"/>
      <c r="AA32" s="346"/>
      <c r="AB32" s="346"/>
      <c r="AC32" s="346"/>
      <c r="AD32" s="346"/>
      <c r="AE32" s="346"/>
      <c r="AF32" s="346"/>
      <c r="AG32" s="346"/>
    </row>
    <row r="33" spans="2:33" ht="15.25" x14ac:dyDescent="0.65">
      <c r="B33" s="346"/>
      <c r="C33" s="286"/>
      <c r="D33" s="286"/>
      <c r="E33" s="286"/>
      <c r="F33" s="286"/>
      <c r="G33" s="346"/>
      <c r="H33" s="346"/>
      <c r="I33" s="346"/>
      <c r="J33" s="346"/>
      <c r="K33" s="346"/>
      <c r="L33" s="346"/>
      <c r="M33" s="346"/>
      <c r="N33" s="346"/>
      <c r="O33" s="346"/>
      <c r="P33" s="346"/>
      <c r="Q33" s="346"/>
      <c r="R33" s="346"/>
      <c r="S33" s="346"/>
      <c r="T33" s="346"/>
      <c r="U33" s="346"/>
      <c r="V33" s="346"/>
      <c r="W33" s="346"/>
      <c r="X33" s="346"/>
      <c r="Y33" s="346"/>
      <c r="Z33" s="346"/>
      <c r="AA33" s="346"/>
      <c r="AB33" s="346"/>
      <c r="AC33" s="346"/>
      <c r="AD33" s="346"/>
      <c r="AE33" s="346"/>
      <c r="AF33" s="346"/>
      <c r="AG33" s="346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параметры для расчета</vt:lpstr>
      <vt:lpstr>скан параметров</vt:lpstr>
      <vt:lpstr>ASTRA</vt:lpstr>
      <vt:lpstr>параметры установок</vt:lpstr>
      <vt:lpstr>выдача</vt:lpstr>
      <vt:lpstr>Лист2</vt:lpstr>
      <vt:lpstr>'параметры для расчета'!Область_печати</vt:lpstr>
      <vt:lpstr>'параметры установок'!Область_печати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serega</cp:lastModifiedBy>
  <cp:lastPrinted>2023-12-22T16:43:34Z</cp:lastPrinted>
  <dcterms:created xsi:type="dcterms:W3CDTF">2013-07-10T08:25:06Z</dcterms:created>
  <dcterms:modified xsi:type="dcterms:W3CDTF">2023-12-23T00:15:40Z</dcterms:modified>
</cp:coreProperties>
</file>