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/>
  <bookViews>
    <workbookView xWindow="830" yWindow="15820" windowWidth="17810" windowHeight="2720" activeTab="3"/>
  </bookViews>
  <sheets>
    <sheet name="Sheet1" sheetId="1" r:id="rId1"/>
    <sheet name="Сценарий D+T" sheetId="2" r:id="rId2"/>
    <sheet name="Сценарий D+T(loop)" sheetId="3" r:id="rId3"/>
    <sheet name="Сценарий D" sheetId="4" r:id="rId4"/>
  </sheets>
  <externalReferences>
    <externalReference r:id="rId5"/>
    <externalReference r:id="rId6"/>
    <externalReference r:id="rId7"/>
  </externalReferences>
  <calcPr calcId="145621"/>
  <fileRecoveryPr repairLoad="1"/>
</workbook>
</file>

<file path=xl/calcChain.xml><?xml version="1.0" encoding="utf-8"?>
<calcChain xmlns="http://schemas.openxmlformats.org/spreadsheetml/2006/main">
  <c r="B11" i="4" l="1"/>
  <c r="B11" i="3"/>
  <c r="F3" i="3" l="1"/>
  <c r="F4" i="3" s="1"/>
  <c r="F5" i="3" s="1"/>
  <c r="F3" i="2"/>
  <c r="F4" i="2" s="1"/>
  <c r="F5" i="2" s="1"/>
  <c r="F9" i="3"/>
  <c r="D9" i="3"/>
  <c r="F9" i="4"/>
  <c r="D9" i="4"/>
  <c r="B11" i="2" l="1"/>
  <c r="F9" i="2" l="1"/>
  <c r="D9" i="2"/>
  <c r="D16" i="2"/>
  <c r="F31" i="4" l="1"/>
  <c r="B31" i="4"/>
  <c r="N26" i="4"/>
  <c r="N23" i="4"/>
  <c r="N22" i="4"/>
  <c r="N21" i="4"/>
  <c r="F18" i="4"/>
  <c r="F25" i="4" s="1"/>
  <c r="B18" i="4"/>
  <c r="B25" i="4" s="1"/>
  <c r="N16" i="4"/>
  <c r="D16" i="4"/>
  <c r="N12" i="4"/>
  <c r="F12" i="4"/>
  <c r="B12" i="4"/>
  <c r="D11" i="4"/>
  <c r="N10" i="4"/>
  <c r="D10" i="4"/>
  <c r="N7" i="4"/>
  <c r="N5" i="4"/>
  <c r="N3" i="4"/>
  <c r="N2" i="4"/>
  <c r="F31" i="3"/>
  <c r="B31" i="3"/>
  <c r="N26" i="3"/>
  <c r="N23" i="3"/>
  <c r="N22" i="3"/>
  <c r="N21" i="3"/>
  <c r="F18" i="3"/>
  <c r="F25" i="3" s="1"/>
  <c r="B18" i="3"/>
  <c r="B25" i="3" s="1"/>
  <c r="N16" i="3"/>
  <c r="F16" i="3"/>
  <c r="D16" i="3"/>
  <c r="N12" i="3"/>
  <c r="F12" i="3"/>
  <c r="B12" i="3"/>
  <c r="D11" i="3"/>
  <c r="N10" i="3"/>
  <c r="D10" i="3"/>
  <c r="N7" i="3"/>
  <c r="N5" i="3"/>
  <c r="N3" i="3"/>
  <c r="N2" i="3"/>
  <c r="D18" i="3" l="1"/>
  <c r="D25" i="3" s="1"/>
  <c r="F10" i="3"/>
  <c r="F13" i="3" s="1"/>
  <c r="B10" i="3"/>
  <c r="B13" i="3" s="1"/>
  <c r="D31" i="4"/>
  <c r="B10" i="4"/>
  <c r="B30" i="4" s="1"/>
  <c r="F10" i="4"/>
  <c r="F30" i="4" s="1"/>
  <c r="B17" i="3"/>
  <c r="B24" i="3" s="1"/>
  <c r="D31" i="3"/>
  <c r="N24" i="3"/>
  <c r="N6" i="3"/>
  <c r="N8" i="3" s="1"/>
  <c r="N24" i="4"/>
  <c r="N6" i="4"/>
  <c r="N8" i="4" s="1"/>
  <c r="D14" i="3"/>
  <c r="B17" i="4"/>
  <c r="B24" i="4" s="1"/>
  <c r="D13" i="4"/>
  <c r="D17" i="3"/>
  <c r="D24" i="3" s="1"/>
  <c r="B32" i="4"/>
  <c r="B34" i="4" s="1"/>
  <c r="F32" i="4"/>
  <c r="F34" i="4" s="1"/>
  <c r="D17" i="4"/>
  <c r="D24" i="4" s="1"/>
  <c r="F17" i="4"/>
  <c r="F24" i="4" s="1"/>
  <c r="F33" i="4" s="1"/>
  <c r="F35" i="4" s="1"/>
  <c r="D30" i="4"/>
  <c r="D14" i="4"/>
  <c r="D15" i="4" s="1"/>
  <c r="D12" i="4"/>
  <c r="D18" i="4"/>
  <c r="D25" i="4" s="1"/>
  <c r="D32" i="4" s="1"/>
  <c r="D34" i="4" s="1"/>
  <c r="B32" i="3"/>
  <c r="B34" i="3" s="1"/>
  <c r="F32" i="3"/>
  <c r="F34" i="3" s="1"/>
  <c r="D30" i="3"/>
  <c r="D12" i="3"/>
  <c r="D13" i="3"/>
  <c r="F30" i="3" l="1"/>
  <c r="F14" i="3"/>
  <c r="F20" i="3" s="1"/>
  <c r="F23" i="3" s="1"/>
  <c r="F27" i="3" s="1"/>
  <c r="F29" i="3" s="1"/>
  <c r="F36" i="3" s="1"/>
  <c r="F37" i="3" s="1"/>
  <c r="F40" i="3" s="1"/>
  <c r="F17" i="3"/>
  <c r="F24" i="3" s="1"/>
  <c r="B13" i="4"/>
  <c r="F13" i="4"/>
  <c r="D20" i="3"/>
  <c r="D23" i="3" s="1"/>
  <c r="D27" i="3" s="1"/>
  <c r="D29" i="3" s="1"/>
  <c r="D36" i="3" s="1"/>
  <c r="D37" i="3" s="1"/>
  <c r="D40" i="3" s="1"/>
  <c r="D32" i="3"/>
  <c r="D34" i="3" s="1"/>
  <c r="D15" i="3"/>
  <c r="D19" i="3" s="1"/>
  <c r="D22" i="3" s="1"/>
  <c r="D26" i="3" s="1"/>
  <c r="D28" i="3" s="1"/>
  <c r="D38" i="3" s="1"/>
  <c r="D39" i="3" s="1"/>
  <c r="D41" i="3" s="1"/>
  <c r="B33" i="4"/>
  <c r="B35" i="4" s="1"/>
  <c r="B30" i="3"/>
  <c r="B33" i="3" s="1"/>
  <c r="B35" i="3" s="1"/>
  <c r="D20" i="4"/>
  <c r="D23" i="4" s="1"/>
  <c r="D27" i="4" s="1"/>
  <c r="D29" i="4" s="1"/>
  <c r="D36" i="4" s="1"/>
  <c r="D37" i="4" s="1"/>
  <c r="D40" i="4" s="1"/>
  <c r="D33" i="3"/>
  <c r="D35" i="3" s="1"/>
  <c r="D33" i="4"/>
  <c r="D35" i="4" s="1"/>
  <c r="D19" i="4"/>
  <c r="D22" i="4" s="1"/>
  <c r="D26" i="4" s="1"/>
  <c r="D28" i="4" s="1"/>
  <c r="D38" i="4" s="1"/>
  <c r="D39" i="4" s="1"/>
  <c r="D41" i="4" s="1"/>
  <c r="F33" i="3"/>
  <c r="F35" i="3" s="1"/>
  <c r="F15" i="3" l="1"/>
  <c r="F19" i="3" s="1"/>
  <c r="F22" i="3" s="1"/>
  <c r="F26" i="3" s="1"/>
  <c r="F28" i="3" s="1"/>
  <c r="F38" i="3" s="1"/>
  <c r="F39" i="3" s="1"/>
  <c r="F41" i="3" s="1"/>
  <c r="F42" i="3" s="1"/>
  <c r="F43" i="3" s="1"/>
  <c r="F49" i="3" s="1"/>
  <c r="F51" i="3" s="1"/>
  <c r="D42" i="3"/>
  <c r="D43" i="3" s="1"/>
  <c r="D49" i="3" s="1"/>
  <c r="D51" i="3" s="1"/>
  <c r="D42" i="4"/>
  <c r="D43" i="4" s="1"/>
  <c r="F59" i="3" l="1"/>
  <c r="F61" i="3" s="1"/>
  <c r="F45" i="3"/>
  <c r="F47" i="3" s="1"/>
  <c r="F53" i="3" s="1"/>
  <c r="F57" i="3" s="1"/>
  <c r="F44" i="3"/>
  <c r="F50" i="3" s="1"/>
  <c r="F52" i="3" s="1"/>
  <c r="D44" i="3"/>
  <c r="D50" i="3" s="1"/>
  <c r="D52" i="3" s="1"/>
  <c r="D59" i="3"/>
  <c r="D61" i="3" s="1"/>
  <c r="D45" i="3"/>
  <c r="D47" i="3" s="1"/>
  <c r="D53" i="3" s="1"/>
  <c r="D57" i="3" s="1"/>
  <c r="D44" i="4"/>
  <c r="D59" i="4"/>
  <c r="D49" i="4"/>
  <c r="D51" i="4" s="1"/>
  <c r="D45" i="4"/>
  <c r="D47" i="4" s="1"/>
  <c r="F63" i="3" l="1"/>
  <c r="F60" i="3"/>
  <c r="F64" i="3" s="1"/>
  <c r="F46" i="3"/>
  <c r="F48" i="3" s="1"/>
  <c r="F54" i="3" s="1"/>
  <c r="F56" i="3" s="1"/>
  <c r="D46" i="3"/>
  <c r="D48" i="3" s="1"/>
  <c r="D54" i="3" s="1"/>
  <c r="D58" i="3" s="1"/>
  <c r="D60" i="3"/>
  <c r="D62" i="3" s="1"/>
  <c r="D63" i="3"/>
  <c r="F55" i="3"/>
  <c r="D55" i="3"/>
  <c r="D63" i="4"/>
  <c r="D61" i="4"/>
  <c r="D60" i="4"/>
  <c r="D50" i="4"/>
  <c r="D52" i="4" s="1"/>
  <c r="D46" i="4"/>
  <c r="D48" i="4" s="1"/>
  <c r="D53" i="4"/>
  <c r="F62" i="3" l="1"/>
  <c r="D64" i="3"/>
  <c r="D67" i="3" s="1"/>
  <c r="D56" i="3"/>
  <c r="D66" i="3" s="1"/>
  <c r="F58" i="3"/>
  <c r="F67" i="3" s="1"/>
  <c r="F66" i="3"/>
  <c r="D57" i="4"/>
  <c r="D55" i="4"/>
  <c r="D54" i="4"/>
  <c r="D64" i="4"/>
  <c r="D62" i="4"/>
  <c r="D58" i="4" l="1"/>
  <c r="D67" i="4" s="1"/>
  <c r="D56" i="4"/>
  <c r="D66" i="4" s="1"/>
  <c r="D11" i="2" l="1"/>
  <c r="F16" i="2"/>
  <c r="B10" i="2" l="1"/>
  <c r="F10" i="2"/>
  <c r="F14" i="2" s="1"/>
  <c r="D18" i="2"/>
  <c r="N12" i="2"/>
  <c r="D3" i="1"/>
  <c r="D22" i="1" s="1"/>
  <c r="D5" i="1"/>
  <c r="N22" i="2"/>
  <c r="F31" i="2"/>
  <c r="F18" i="2"/>
  <c r="F25" i="2" s="1"/>
  <c r="F12" i="2"/>
  <c r="D10" i="2"/>
  <c r="D14" i="2" s="1"/>
  <c r="N21" i="2"/>
  <c r="B12" i="2"/>
  <c r="N26" i="2"/>
  <c r="B31" i="2"/>
  <c r="N10" i="2"/>
  <c r="B30" i="2"/>
  <c r="N5" i="2"/>
  <c r="N7" i="2"/>
  <c r="N23" i="2"/>
  <c r="N16" i="2"/>
  <c r="B18" i="2"/>
  <c r="B25" i="2" s="1"/>
  <c r="N3" i="2"/>
  <c r="N2" i="2"/>
  <c r="B79" i="1"/>
  <c r="B82" i="1" s="1"/>
  <c r="B85" i="1" s="1"/>
  <c r="B86" i="1" s="1"/>
  <c r="D78" i="1"/>
  <c r="D33" i="1"/>
  <c r="N20" i="1"/>
  <c r="N19" i="1"/>
  <c r="R17" i="1"/>
  <c r="R18" i="1"/>
  <c r="N17" i="1" s="1"/>
  <c r="B34" i="1"/>
  <c r="B37" i="1" s="1"/>
  <c r="B39" i="1" s="1"/>
  <c r="H8" i="1"/>
  <c r="H13" i="1" s="1"/>
  <c r="H15" i="1" s="1"/>
  <c r="B9" i="1"/>
  <c r="H7" i="1" s="1"/>
  <c r="H9" i="1" s="1"/>
  <c r="K8" i="1" s="1"/>
  <c r="F11" i="1"/>
  <c r="D19" i="1"/>
  <c r="B20" i="1"/>
  <c r="F20" i="1" s="1"/>
  <c r="F19" i="1" s="1"/>
  <c r="F21" i="1" s="1"/>
  <c r="F22" i="1"/>
  <c r="N14" i="1"/>
  <c r="P17" i="1"/>
  <c r="B52" i="1"/>
  <c r="B36" i="1"/>
  <c r="B38" i="1" s="1"/>
  <c r="F36" i="1"/>
  <c r="H33" i="1"/>
  <c r="N7" i="1"/>
  <c r="N3" i="1"/>
  <c r="N2" i="1"/>
  <c r="N5" i="1"/>
  <c r="N21" i="1" l="1"/>
  <c r="N24" i="2"/>
  <c r="F32" i="2"/>
  <c r="F34" i="2" s="1"/>
  <c r="B13" i="2"/>
  <c r="D17" i="2"/>
  <c r="D10" i="1"/>
  <c r="F7" i="1" s="1"/>
  <c r="B32" i="2"/>
  <c r="B34" i="2" s="1"/>
  <c r="F15" i="2"/>
  <c r="N6" i="2"/>
  <c r="N8" i="2" s="1"/>
  <c r="F17" i="2"/>
  <c r="F24" i="2" s="1"/>
  <c r="F30" i="2"/>
  <c r="F13" i="2"/>
  <c r="F20" i="2"/>
  <c r="F23" i="2" s="1"/>
  <c r="F27" i="2" s="1"/>
  <c r="F29" i="2" s="1"/>
  <c r="F36" i="2" s="1"/>
  <c r="F37" i="2" s="1"/>
  <c r="F40" i="2" s="1"/>
  <c r="B17" i="2"/>
  <c r="D80" i="1"/>
  <c r="B92" i="1"/>
  <c r="B93" i="1" s="1"/>
  <c r="B87" i="1"/>
  <c r="F9" i="1"/>
  <c r="F8" i="1" s="1"/>
  <c r="F10" i="1" s="1"/>
  <c r="P18" i="1"/>
  <c r="H10" i="1"/>
  <c r="K7" i="1" s="1"/>
  <c r="K9" i="1" s="1"/>
  <c r="B51" i="1"/>
  <c r="D53" i="1"/>
  <c r="F34" i="1"/>
  <c r="F33" i="1" s="1"/>
  <c r="F35" i="1" s="1"/>
  <c r="H32" i="1"/>
  <c r="H34" i="1" s="1"/>
  <c r="K33" i="1" s="1"/>
  <c r="D35" i="1"/>
  <c r="D34" i="1" s="1"/>
  <c r="H38" i="1"/>
  <c r="H40" i="1" s="1"/>
  <c r="H42" i="1" s="1"/>
  <c r="H35" i="1"/>
  <c r="K32" i="1" s="1"/>
  <c r="K34" i="1" s="1"/>
  <c r="N6" i="1"/>
  <c r="B5" i="1" s="1"/>
  <c r="D4" i="1"/>
  <c r="D9" i="1" l="1"/>
  <c r="H12" i="1" s="1"/>
  <c r="H14" i="1" s="1"/>
  <c r="H16" i="1" s="1"/>
  <c r="J16" i="1" s="1"/>
  <c r="F33" i="2"/>
  <c r="F35" i="2" s="1"/>
  <c r="H17" i="1"/>
  <c r="J17" i="1" s="1"/>
  <c r="K11" i="1" s="1"/>
  <c r="K12" i="1" s="1"/>
  <c r="F19" i="2"/>
  <c r="F22" i="2" s="1"/>
  <c r="F26" i="2" s="1"/>
  <c r="F28" i="2" s="1"/>
  <c r="F38" i="2" s="1"/>
  <c r="F39" i="2" s="1"/>
  <c r="F41" i="2" s="1"/>
  <c r="F42" i="2" s="1"/>
  <c r="B24" i="2"/>
  <c r="B33" i="2" s="1"/>
  <c r="B35" i="2" s="1"/>
  <c r="D79" i="1"/>
  <c r="B83" i="1"/>
  <c r="B94" i="1" s="1"/>
  <c r="B89" i="1"/>
  <c r="F52" i="1"/>
  <c r="F51" i="1" s="1"/>
  <c r="F53" i="1" s="1"/>
  <c r="H37" i="1"/>
  <c r="D51" i="1" s="1"/>
  <c r="F32" i="1"/>
  <c r="H44" i="1"/>
  <c r="H46" i="1" s="1"/>
  <c r="K36" i="1" s="1"/>
  <c r="K37" i="1" s="1"/>
  <c r="K35" i="1"/>
  <c r="N8" i="1"/>
  <c r="B4" i="1" s="1"/>
  <c r="B3" i="1" s="1"/>
  <c r="B88" i="1" l="1"/>
  <c r="B96" i="1" s="1"/>
  <c r="B95" i="1"/>
  <c r="B97" i="1" s="1"/>
  <c r="B22" i="1"/>
  <c r="H19" i="1" s="1"/>
  <c r="B53" i="1"/>
  <c r="F50" i="1" s="1"/>
  <c r="F43" i="2"/>
  <c r="F44" i="2"/>
  <c r="F3" i="1"/>
  <c r="K40" i="1"/>
  <c r="K42" i="1" s="1"/>
  <c r="H39" i="1"/>
  <c r="H41" i="1" s="1"/>
  <c r="D52" i="1"/>
  <c r="D20" i="1" l="1"/>
  <c r="D21" i="1" s="1"/>
  <c r="N36" i="1"/>
  <c r="N38" i="1" s="1"/>
  <c r="N44" i="1"/>
  <c r="N46" i="1" s="1"/>
  <c r="F49" i="2"/>
  <c r="F51" i="2" s="1"/>
  <c r="F59" i="2"/>
  <c r="F46" i="2"/>
  <c r="F48" i="2" s="1"/>
  <c r="F50" i="2"/>
  <c r="F52" i="2" s="1"/>
  <c r="F60" i="2"/>
  <c r="H18" i="1"/>
  <c r="H20" i="1" s="1"/>
  <c r="K19" i="1" s="1"/>
  <c r="D31" i="2"/>
  <c r="D24" i="2"/>
  <c r="D12" i="2"/>
  <c r="D25" i="2"/>
  <c r="D30" i="2"/>
  <c r="D13" i="2"/>
  <c r="F45" i="2"/>
  <c r="F47" i="2" s="1"/>
  <c r="H24" i="1"/>
  <c r="H26" i="1" s="1"/>
  <c r="H21" i="1"/>
  <c r="K18" i="1" s="1"/>
  <c r="H43" i="1"/>
  <c r="H45" i="1" s="1"/>
  <c r="K38" i="1" s="1"/>
  <c r="K39" i="1" s="1"/>
  <c r="K41" i="1" s="1"/>
  <c r="K43" i="1" s="1"/>
  <c r="H50" i="1"/>
  <c r="H52" i="1" s="1"/>
  <c r="K51" i="1" s="1"/>
  <c r="K53" i="1" s="1"/>
  <c r="B55" i="1"/>
  <c r="B57" i="1" s="1"/>
  <c r="H51" i="1"/>
  <c r="B54" i="1"/>
  <c r="B56" i="1" s="1"/>
  <c r="F54" i="1"/>
  <c r="K44" i="1"/>
  <c r="K46" i="1" s="1"/>
  <c r="F54" i="2" l="1"/>
  <c r="F56" i="2" s="1"/>
  <c r="H23" i="1"/>
  <c r="H25" i="1" s="1"/>
  <c r="H27" i="1" s="1"/>
  <c r="J27" i="1" s="1"/>
  <c r="D32" i="2"/>
  <c r="D34" i="2" s="1"/>
  <c r="D33" i="2"/>
  <c r="D35" i="2" s="1"/>
  <c r="F61" i="2"/>
  <c r="F63" i="2"/>
  <c r="F62" i="2"/>
  <c r="F64" i="2"/>
  <c r="D15" i="2"/>
  <c r="D19" i="2" s="1"/>
  <c r="D22" i="2" s="1"/>
  <c r="D26" i="2" s="1"/>
  <c r="D28" i="2" s="1"/>
  <c r="D38" i="2" s="1"/>
  <c r="D39" i="2" s="1"/>
  <c r="D41" i="2" s="1"/>
  <c r="D20" i="2"/>
  <c r="D23" i="2" s="1"/>
  <c r="D27" i="2" s="1"/>
  <c r="D29" i="2" s="1"/>
  <c r="D36" i="2" s="1"/>
  <c r="D37" i="2" s="1"/>
  <c r="D40" i="2" s="1"/>
  <c r="F53" i="2"/>
  <c r="N45" i="1"/>
  <c r="N35" i="1"/>
  <c r="N37" i="1" s="1"/>
  <c r="N42" i="1"/>
  <c r="N40" i="1"/>
  <c r="H28" i="1"/>
  <c r="J28" i="1" s="1"/>
  <c r="K21" i="1" s="1"/>
  <c r="K20" i="1"/>
  <c r="D23" i="1"/>
  <c r="F18" i="1"/>
  <c r="H53" i="1"/>
  <c r="K50" i="1" s="1"/>
  <c r="K52" i="1" s="1"/>
  <c r="H56" i="1"/>
  <c r="H58" i="1" s="1"/>
  <c r="H60" i="1" s="1"/>
  <c r="H55" i="1"/>
  <c r="H57" i="1" s="1"/>
  <c r="H59" i="1" s="1"/>
  <c r="K48" i="1"/>
  <c r="N48" i="1"/>
  <c r="K45" i="1"/>
  <c r="K47" i="1" s="1"/>
  <c r="F58" i="2" l="1"/>
  <c r="F57" i="2"/>
  <c r="F55" i="2"/>
  <c r="D42" i="2"/>
  <c r="D44" i="2" s="1"/>
  <c r="D46" i="2" s="1"/>
  <c r="D48" i="2" s="1"/>
  <c r="N41" i="1"/>
  <c r="N39" i="1"/>
  <c r="H61" i="1"/>
  <c r="H63" i="1" s="1"/>
  <c r="K56" i="1" s="1"/>
  <c r="K57" i="1" s="1"/>
  <c r="K59" i="1" s="1"/>
  <c r="K61" i="1" s="1"/>
  <c r="H62" i="1"/>
  <c r="H64" i="1" s="1"/>
  <c r="K54" i="1" s="1"/>
  <c r="K55" i="1" s="1"/>
  <c r="K58" i="1" s="1"/>
  <c r="K60" i="1" s="1"/>
  <c r="N54" i="1" s="1"/>
  <c r="K22" i="1"/>
  <c r="K23" i="1"/>
  <c r="P46" i="1"/>
  <c r="K49" i="1"/>
  <c r="N47" i="1"/>
  <c r="N49" i="1"/>
  <c r="D43" i="2" l="1"/>
  <c r="D59" i="2" s="1"/>
  <c r="D60" i="2"/>
  <c r="D64" i="2" s="1"/>
  <c r="D50" i="2"/>
  <c r="D52" i="2" s="1"/>
  <c r="D54" i="2" s="1"/>
  <c r="F67" i="2"/>
  <c r="F66" i="2"/>
  <c r="K63" i="1"/>
  <c r="K65" i="1" s="1"/>
  <c r="K67" i="1" s="1"/>
  <c r="N53" i="1"/>
  <c r="N55" i="1" s="1"/>
  <c r="N50" i="1"/>
  <c r="N51" i="1"/>
  <c r="N63" i="1"/>
  <c r="N67" i="1" s="1"/>
  <c r="N56" i="1"/>
  <c r="K24" i="1"/>
  <c r="K25" i="1"/>
  <c r="N62" i="1"/>
  <c r="K62" i="1"/>
  <c r="K64" i="1" s="1"/>
  <c r="K66" i="1" s="1"/>
  <c r="P47" i="1"/>
  <c r="D49" i="2" l="1"/>
  <c r="D51" i="2" s="1"/>
  <c r="D62" i="2"/>
  <c r="D45" i="2"/>
  <c r="D47" i="2" s="1"/>
  <c r="D58" i="2"/>
  <c r="D56" i="2"/>
  <c r="D63" i="2"/>
  <c r="D61" i="2"/>
  <c r="N65" i="1"/>
  <c r="P65" i="1" s="1"/>
  <c r="N58" i="1"/>
  <c r="N60" i="1"/>
  <c r="N59" i="1"/>
  <c r="N57" i="1"/>
  <c r="K26" i="1"/>
  <c r="N66" i="1"/>
  <c r="N64" i="1"/>
  <c r="D53" i="2" l="1"/>
  <c r="D55" i="2" s="1"/>
  <c r="D66" i="2" s="1"/>
  <c r="N69" i="1"/>
  <c r="N72" i="1" s="1"/>
  <c r="N68" i="1"/>
  <c r="N71" i="1" s="1"/>
  <c r="P64" i="1"/>
  <c r="D57" i="2" l="1"/>
  <c r="D67" i="2" s="1"/>
  <c r="B2" i="2" l="1"/>
  <c r="B3" i="2" s="1"/>
  <c r="B4" i="2" l="1"/>
  <c r="B5" i="2" s="1"/>
  <c r="B16" i="2" s="1"/>
  <c r="B14" i="2" s="1"/>
  <c r="B20" i="2" s="1"/>
  <c r="B23" i="2" s="1"/>
  <c r="B27" i="2" s="1"/>
  <c r="B29" i="2" s="1"/>
  <c r="B36" i="2" s="1"/>
  <c r="B37" i="2" s="1"/>
  <c r="B40" i="2" s="1"/>
  <c r="B2" i="4"/>
  <c r="B3" i="4" s="1"/>
  <c r="B6" i="2" l="1"/>
  <c r="B4" i="4"/>
  <c r="B5" i="4" s="1"/>
  <c r="B15" i="2"/>
  <c r="B19" i="2" s="1"/>
  <c r="B22" i="2" s="1"/>
  <c r="B26" i="2" s="1"/>
  <c r="B28" i="2" s="1"/>
  <c r="B38" i="2" s="1"/>
  <c r="B39" i="2" s="1"/>
  <c r="B41" i="2" s="1"/>
  <c r="B42" i="2" s="1"/>
  <c r="B44" i="2" s="1"/>
  <c r="B2" i="3"/>
  <c r="B3" i="3" s="1"/>
  <c r="B4" i="3" l="1"/>
  <c r="B5" i="3" s="1"/>
  <c r="B16" i="3" s="1"/>
  <c r="B6" i="3" s="1"/>
  <c r="B43" i="2"/>
  <c r="B59" i="2" s="1"/>
  <c r="B50" i="2"/>
  <c r="B52" i="2" s="1"/>
  <c r="B46" i="2"/>
  <c r="B48" i="2" s="1"/>
  <c r="B60" i="2"/>
  <c r="B14" i="3" l="1"/>
  <c r="B20" i="3" s="1"/>
  <c r="B23" i="3" s="1"/>
  <c r="B27" i="3" s="1"/>
  <c r="B29" i="3" s="1"/>
  <c r="B36" i="3" s="1"/>
  <c r="B37" i="3" s="1"/>
  <c r="B40" i="3" s="1"/>
  <c r="B45" i="2"/>
  <c r="B47" i="2" s="1"/>
  <c r="B49" i="2"/>
  <c r="B51" i="2" s="1"/>
  <c r="B54" i="2"/>
  <c r="B56" i="2" s="1"/>
  <c r="B63" i="2"/>
  <c r="B61" i="2"/>
  <c r="B64" i="2"/>
  <c r="B62" i="2"/>
  <c r="B15" i="3" l="1"/>
  <c r="B19" i="3" s="1"/>
  <c r="B22" i="3" s="1"/>
  <c r="B26" i="3" s="1"/>
  <c r="B28" i="3" s="1"/>
  <c r="B38" i="3" s="1"/>
  <c r="B39" i="3" s="1"/>
  <c r="B41" i="3" s="1"/>
  <c r="B42" i="3" s="1"/>
  <c r="B44" i="3" s="1"/>
  <c r="B50" i="3" s="1"/>
  <c r="B52" i="3" s="1"/>
  <c r="B53" i="2"/>
  <c r="B55" i="2" s="1"/>
  <c r="B66" i="2" s="1"/>
  <c r="I66" i="2" s="1"/>
  <c r="B58" i="2"/>
  <c r="B46" i="3" l="1"/>
  <c r="B48" i="3" s="1"/>
  <c r="B54" i="3" s="1"/>
  <c r="B58" i="3" s="1"/>
  <c r="B60" i="3"/>
  <c r="B64" i="3" s="1"/>
  <c r="B43" i="3"/>
  <c r="B45" i="3" s="1"/>
  <c r="B47" i="3" s="1"/>
  <c r="B57" i="2"/>
  <c r="B67" i="2" s="1"/>
  <c r="I67" i="2" s="1"/>
  <c r="B62" i="3" l="1"/>
  <c r="B49" i="3"/>
  <c r="B51" i="3" s="1"/>
  <c r="B53" i="3" s="1"/>
  <c r="B55" i="3" s="1"/>
  <c r="B59" i="3"/>
  <c r="B61" i="3" s="1"/>
  <c r="B56" i="3"/>
  <c r="B57" i="3" l="1"/>
  <c r="B63" i="3"/>
  <c r="B66" i="3"/>
  <c r="I66" i="3" s="1"/>
  <c r="B67" i="3" l="1"/>
  <c r="I67" i="3" s="1"/>
  <c r="F2" i="4" l="1"/>
  <c r="F3" i="4" s="1"/>
  <c r="F4" i="4" s="1"/>
  <c r="F5" i="4" s="1"/>
  <c r="F16" i="4" s="1"/>
  <c r="F14" i="4" l="1"/>
  <c r="F15" i="4" s="1"/>
  <c r="F19" i="4" s="1"/>
  <c r="F22" i="4" s="1"/>
  <c r="F26" i="4" s="1"/>
  <c r="F28" i="4" s="1"/>
  <c r="F38" i="4" s="1"/>
  <c r="F39" i="4" s="1"/>
  <c r="F41" i="4" s="1"/>
  <c r="F20" i="4" l="1"/>
  <c r="F23" i="4" s="1"/>
  <c r="F27" i="4" s="1"/>
  <c r="F29" i="4" s="1"/>
  <c r="F36" i="4" s="1"/>
  <c r="F37" i="4" s="1"/>
  <c r="F40" i="4" s="1"/>
  <c r="F42" i="4" s="1"/>
  <c r="B16" i="4"/>
  <c r="B6" i="4" l="1"/>
  <c r="B14" i="4"/>
  <c r="F44" i="4"/>
  <c r="F43" i="4"/>
  <c r="F59" i="4" l="1"/>
  <c r="F49" i="4"/>
  <c r="F51" i="4" s="1"/>
  <c r="F45" i="4"/>
  <c r="F47" i="4" s="1"/>
  <c r="B20" i="4"/>
  <c r="B23" i="4" s="1"/>
  <c r="B27" i="4" s="1"/>
  <c r="B29" i="4" s="1"/>
  <c r="B36" i="4" s="1"/>
  <c r="B37" i="4" s="1"/>
  <c r="B40" i="4" s="1"/>
  <c r="F50" i="4"/>
  <c r="F52" i="4" s="1"/>
  <c r="F60" i="4"/>
  <c r="F46" i="4"/>
  <c r="F48" i="4" s="1"/>
  <c r="B15" i="4"/>
  <c r="F61" i="4" l="1"/>
  <c r="F63" i="4"/>
  <c r="F64" i="4"/>
  <c r="F62" i="4"/>
  <c r="B19" i="4"/>
  <c r="B22" i="4" s="1"/>
  <c r="B26" i="4" s="1"/>
  <c r="B28" i="4" s="1"/>
  <c r="B38" i="4" s="1"/>
  <c r="B39" i="4" s="1"/>
  <c r="B41" i="4" s="1"/>
  <c r="B42" i="4" s="1"/>
  <c r="F54" i="4"/>
  <c r="F53" i="4"/>
  <c r="B44" i="4" l="1"/>
  <c r="B43" i="4"/>
  <c r="F57" i="4"/>
  <c r="F55" i="4"/>
  <c r="F58" i="4"/>
  <c r="F56" i="4"/>
  <c r="F67" i="4" l="1"/>
  <c r="B59" i="4"/>
  <c r="B49" i="4"/>
  <c r="B51" i="4" s="1"/>
  <c r="B45" i="4"/>
  <c r="B47" i="4" s="1"/>
  <c r="F66" i="4"/>
  <c r="B50" i="4"/>
  <c r="B52" i="4" s="1"/>
  <c r="B60" i="4"/>
  <c r="B46" i="4"/>
  <c r="B48" i="4" s="1"/>
  <c r="B53" i="4" l="1"/>
  <c r="B55" i="4" s="1"/>
  <c r="B54" i="4"/>
  <c r="B56" i="4" s="1"/>
  <c r="B61" i="4"/>
  <c r="B63" i="4"/>
  <c r="B62" i="4"/>
  <c r="B64" i="4"/>
  <c r="B57" i="4" l="1"/>
  <c r="B58" i="4"/>
  <c r="B66" i="4"/>
  <c r="I66" i="4" s="1"/>
  <c r="B67" i="4" l="1"/>
  <c r="I67" i="4" s="1"/>
</calcChain>
</file>

<file path=xl/sharedStrings.xml><?xml version="1.0" encoding="utf-8"?>
<sst xmlns="http://schemas.openxmlformats.org/spreadsheetml/2006/main" count="1211" uniqueCount="187">
  <si>
    <t>xb</t>
  </si>
  <si>
    <t>по тритию</t>
  </si>
  <si>
    <t>xp</t>
  </si>
  <si>
    <t>x0</t>
  </si>
  <si>
    <t>B</t>
  </si>
  <si>
    <t>P</t>
  </si>
  <si>
    <t>F</t>
  </si>
  <si>
    <t>без CECE</t>
  </si>
  <si>
    <t>c CECE</t>
  </si>
  <si>
    <t>F*</t>
  </si>
  <si>
    <t>𝞴Трития</t>
  </si>
  <si>
    <t>Na</t>
  </si>
  <si>
    <t>М T2O</t>
  </si>
  <si>
    <t>A</t>
  </si>
  <si>
    <t>xf масс</t>
  </si>
  <si>
    <t>DF</t>
  </si>
  <si>
    <t>xp масс</t>
  </si>
  <si>
    <t>CECE</t>
  </si>
  <si>
    <t>моль/час</t>
  </si>
  <si>
    <t>масс доля</t>
  </si>
  <si>
    <t>xf CECE</t>
  </si>
  <si>
    <t>F общ</t>
  </si>
  <si>
    <t>ЧТСР</t>
  </si>
  <si>
    <t>α D2-DT</t>
  </si>
  <si>
    <t>K</t>
  </si>
  <si>
    <t>Безотборный режим</t>
  </si>
  <si>
    <t>Режим с отбором</t>
  </si>
  <si>
    <t>hтср</t>
  </si>
  <si>
    <t>высота</t>
  </si>
  <si>
    <t>Концентрация Т</t>
  </si>
  <si>
    <t>Потоки в системе</t>
  </si>
  <si>
    <t>Высота колонны</t>
  </si>
  <si>
    <t>Г</t>
  </si>
  <si>
    <t>Г степень извлечения</t>
  </si>
  <si>
    <t>K степень разделения</t>
  </si>
  <si>
    <t>𝞴исч.max</t>
  </si>
  <si>
    <t>𝞴 конц.max</t>
  </si>
  <si>
    <t>θ колонны</t>
  </si>
  <si>
    <t>Lисч.max</t>
  </si>
  <si>
    <t>Lконц.max</t>
  </si>
  <si>
    <t>Lисч</t>
  </si>
  <si>
    <t>Lконц</t>
  </si>
  <si>
    <t>𝞴исч</t>
  </si>
  <si>
    <t>𝞴 конц</t>
  </si>
  <si>
    <t>Gисч</t>
  </si>
  <si>
    <t>Gконц</t>
  </si>
  <si>
    <t>Потоки в колонне</t>
  </si>
  <si>
    <t>n конц</t>
  </si>
  <si>
    <t>K конц.</t>
  </si>
  <si>
    <t>n исч</t>
  </si>
  <si>
    <t>Диаметр колонны</t>
  </si>
  <si>
    <t>Сечение колонны</t>
  </si>
  <si>
    <t>Газовая постоянная</t>
  </si>
  <si>
    <t>Температура колонны</t>
  </si>
  <si>
    <t>Давление в колонне</t>
  </si>
  <si>
    <t>скорость газа</t>
  </si>
  <si>
    <t>м/с</t>
  </si>
  <si>
    <t>м3/с</t>
  </si>
  <si>
    <t>м2</t>
  </si>
  <si>
    <t>Пи</t>
  </si>
  <si>
    <t>м</t>
  </si>
  <si>
    <t>Объем колонны</t>
  </si>
  <si>
    <t>м3</t>
  </si>
  <si>
    <t>Количество газа в колонне</t>
  </si>
  <si>
    <t>Количество жидкости в колонне</t>
  </si>
  <si>
    <t>г</t>
  </si>
  <si>
    <t>Количество трития в колонне</t>
  </si>
  <si>
    <t>c CECE каскад из двух колонн (только тритий и дейтерий)</t>
  </si>
  <si>
    <t>первая колонна</t>
  </si>
  <si>
    <t>Вторая колонна</t>
  </si>
  <si>
    <t>xf</t>
  </si>
  <si>
    <t>ЧТСР конц</t>
  </si>
  <si>
    <t>ЧТСР исч</t>
  </si>
  <si>
    <t>Диаметр колонны конц</t>
  </si>
  <si>
    <t>Диаметр колонны исч</t>
  </si>
  <si>
    <t>Свободное сечение колонны конц</t>
  </si>
  <si>
    <t>Свободное сечение колонны исч</t>
  </si>
  <si>
    <t>Свободный диаметр колонны конц</t>
  </si>
  <si>
    <t>Свободный диаметр колонны исч</t>
  </si>
  <si>
    <t>м3/час</t>
  </si>
  <si>
    <t>Коэф. свободного сечения насадки</t>
  </si>
  <si>
    <t>Объем колонны конц</t>
  </si>
  <si>
    <t>Объем колонны исч</t>
  </si>
  <si>
    <t>Высота колонны конц</t>
  </si>
  <si>
    <t>Высота колонны исч</t>
  </si>
  <si>
    <t>Количество водорода конц</t>
  </si>
  <si>
    <t>Количество водорода исч</t>
  </si>
  <si>
    <t>Количество трития конц</t>
  </si>
  <si>
    <t>Количество трития исч</t>
  </si>
  <si>
    <t>Количество дейтрия конц</t>
  </si>
  <si>
    <t>Количество дейтерия исч</t>
  </si>
  <si>
    <t xml:space="preserve">Задержка жидкого водорода </t>
  </si>
  <si>
    <t>г/м3</t>
  </si>
  <si>
    <t>xср конц</t>
  </si>
  <si>
    <t>xср исч</t>
  </si>
  <si>
    <t>моль</t>
  </si>
  <si>
    <t>Количество водорода газ конц</t>
  </si>
  <si>
    <t>Количество водорода газ исч</t>
  </si>
  <si>
    <t>Количество трития газ конц</t>
  </si>
  <si>
    <t>Количество трития газ исч</t>
  </si>
  <si>
    <t>Количество дейтрия газ конц</t>
  </si>
  <si>
    <t>Количество дейтерия газ исч</t>
  </si>
  <si>
    <t>Общее количество трития</t>
  </si>
  <si>
    <t>Общее количество дейтерия</t>
  </si>
  <si>
    <t>Количество ж.водорода конц</t>
  </si>
  <si>
    <t>Количество ж.водорода исч</t>
  </si>
  <si>
    <t>Суммарно для двух колонн тритий</t>
  </si>
  <si>
    <t>Суммарно для двух колонн дейтерий</t>
  </si>
  <si>
    <t>плотность ж.водорода</t>
  </si>
  <si>
    <t xml:space="preserve"> г/м³</t>
  </si>
  <si>
    <t>ср. моль. масса конц</t>
  </si>
  <si>
    <t>ср. моль. масса исч</t>
  </si>
  <si>
    <t>Время,кот. поток в колонне исч</t>
  </si>
  <si>
    <t>Время,кот. поток в колонне конц</t>
  </si>
  <si>
    <t>Количество водорода в потоке конц</t>
  </si>
  <si>
    <t>Количество водорода в потоке исч</t>
  </si>
  <si>
    <t>плотность газ. водорода</t>
  </si>
  <si>
    <t>Количество трития в потоке исч</t>
  </si>
  <si>
    <t>Количество трития в потоке конц</t>
  </si>
  <si>
    <t>Количество дейтерий в потоке исч</t>
  </si>
  <si>
    <t>Количество дейтерий в потоке конц</t>
  </si>
  <si>
    <t>Баланс в каскаде</t>
  </si>
  <si>
    <t>Сумарная степень извлечения: Г∑</t>
  </si>
  <si>
    <t>Если принять равенство степени разделения по колоннам, то:</t>
  </si>
  <si>
    <t>σI = 1 / КI</t>
  </si>
  <si>
    <t>Оптимальная степень сокращения потоков:</t>
  </si>
  <si>
    <t>Примем θ</t>
  </si>
  <si>
    <t>σI</t>
  </si>
  <si>
    <t>LII = B×xb / ГII × xbI</t>
  </si>
  <si>
    <r>
      <t>Суммарная степень разделения: К</t>
    </r>
    <r>
      <rPr>
        <vertAlign val="subscript"/>
        <sz val="12"/>
        <color theme="1"/>
        <rFont val="Calibri"/>
        <family val="2"/>
        <scheme val="minor"/>
      </rPr>
      <t>∑</t>
    </r>
    <r>
      <rPr>
        <sz val="12"/>
        <color theme="1"/>
        <rFont val="Calibri"/>
        <family val="2"/>
        <scheme val="minor"/>
      </rPr>
      <t xml:space="preserve"> </t>
    </r>
  </si>
  <si>
    <r>
      <t>К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К</t>
    </r>
    <r>
      <rPr>
        <vertAlign val="subscript"/>
        <sz val="12"/>
        <color theme="1"/>
        <rFont val="Calibri"/>
        <family val="2"/>
        <scheme val="minor"/>
      </rPr>
      <t>II</t>
    </r>
    <r>
      <rPr>
        <sz val="12"/>
        <color theme="1"/>
        <rFont val="Calibri"/>
        <family val="2"/>
        <scheme val="minor"/>
      </rPr>
      <t xml:space="preserve"> = (К</t>
    </r>
    <r>
      <rPr>
        <vertAlign val="subscript"/>
        <sz val="12"/>
        <color theme="1"/>
        <rFont val="Calibri"/>
        <family val="2"/>
        <scheme val="minor"/>
      </rPr>
      <t>∑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0,5</t>
    </r>
  </si>
  <si>
    <r>
      <t>Так как К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x</t>
    </r>
    <r>
      <rPr>
        <vertAlign val="subscript"/>
        <sz val="12"/>
        <color theme="1"/>
        <rFont val="Calibri"/>
        <family val="2"/>
        <scheme val="minor"/>
      </rPr>
      <t xml:space="preserve">bI </t>
    </r>
    <r>
      <rPr>
        <sz val="12"/>
        <color theme="1"/>
        <rFont val="Calibri"/>
        <family val="2"/>
        <scheme val="minor"/>
      </rPr>
      <t>/ x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, тогда x</t>
    </r>
    <r>
      <rPr>
        <vertAlign val="subscript"/>
        <sz val="12"/>
        <color theme="1"/>
        <rFont val="Calibri"/>
        <family val="2"/>
        <scheme val="minor"/>
      </rPr>
      <t xml:space="preserve">bI </t>
    </r>
  </si>
  <si>
    <r>
      <t>L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B×xb / ГI ×xp</t>
    </r>
  </si>
  <si>
    <r>
      <t>1/σ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(K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/ θ) – 1</t>
    </r>
  </si>
  <si>
    <r>
      <t>λ</t>
    </r>
    <r>
      <rPr>
        <vertAlign val="superscript"/>
        <sz val="14"/>
        <color theme="1"/>
        <rFont val="MS PGothic"/>
        <family val="2"/>
        <charset val="128"/>
      </rPr>
      <t>II</t>
    </r>
    <r>
      <rPr>
        <sz val="14"/>
        <color theme="1"/>
        <rFont val="MS PGothic"/>
        <family val="2"/>
        <charset val="128"/>
      </rPr>
      <t xml:space="preserve"> = 1 - </t>
    </r>
    <r>
      <rPr>
        <sz val="14"/>
        <color theme="1"/>
        <rFont val="Times New Roman"/>
        <family val="1"/>
      </rPr>
      <t>Г</t>
    </r>
    <r>
      <rPr>
        <vertAlign val="subscript"/>
        <sz val="14"/>
        <color theme="1"/>
        <rFont val="Times New Roman"/>
        <family val="1"/>
      </rPr>
      <t>∑</t>
    </r>
    <r>
      <rPr>
        <sz val="14"/>
        <color theme="1"/>
        <rFont val="Times New Roman"/>
        <family val="1"/>
      </rPr>
      <t>/ (К</t>
    </r>
    <r>
      <rPr>
        <vertAlign val="subscript"/>
        <sz val="14"/>
        <color theme="1"/>
        <rFont val="Times New Roman"/>
        <family val="1"/>
      </rPr>
      <t>∑</t>
    </r>
    <r>
      <rPr>
        <sz val="14"/>
        <color theme="1"/>
        <rFont val="Times New Roman"/>
        <family val="1"/>
      </rPr>
      <t xml:space="preserve"> ×σ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)</t>
    </r>
  </si>
  <si>
    <r>
      <t>λ</t>
    </r>
    <r>
      <rPr>
        <vertAlign val="superscript"/>
        <sz val="14"/>
        <color theme="1"/>
        <rFont val="MS PGothic"/>
        <family val="2"/>
        <charset val="128"/>
      </rPr>
      <t xml:space="preserve">I  </t>
    </r>
    <r>
      <rPr>
        <sz val="14"/>
        <color theme="1"/>
        <rFont val="MS PGothic"/>
        <family val="2"/>
        <charset val="128"/>
      </rPr>
      <t xml:space="preserve">= 1 - </t>
    </r>
    <r>
      <rPr>
        <sz val="14"/>
        <color theme="1"/>
        <rFont val="Times New Roman"/>
        <family val="1"/>
      </rPr>
      <t>Г</t>
    </r>
    <r>
      <rPr>
        <vertAlign val="subscript"/>
        <sz val="14"/>
        <color theme="1"/>
        <rFont val="Times New Roman"/>
        <family val="1"/>
      </rPr>
      <t>∑</t>
    </r>
    <r>
      <rPr>
        <sz val="14"/>
        <color theme="1"/>
        <rFont val="Times New Roman"/>
        <family val="1"/>
      </rPr>
      <t>/ К</t>
    </r>
    <r>
      <rPr>
        <vertAlign val="subscript"/>
        <sz val="14"/>
        <color theme="1"/>
        <rFont val="Times New Roman"/>
        <family val="1"/>
      </rPr>
      <t>∑</t>
    </r>
  </si>
  <si>
    <t>GI = λI × LI</t>
  </si>
  <si>
    <t>GII = λII × LII</t>
  </si>
  <si>
    <t>Диапазон B</t>
  </si>
  <si>
    <t>1/c</t>
  </si>
  <si>
    <t>моль/с</t>
  </si>
  <si>
    <t>—</t>
  </si>
  <si>
    <t>ℇ D2-DT</t>
  </si>
  <si>
    <t>Lисч.min</t>
  </si>
  <si>
    <t>Lконц.min</t>
  </si>
  <si>
    <t>K исч.</t>
  </si>
  <si>
    <t>Основная колонна</t>
  </si>
  <si>
    <t>Колонна на выходе СЕСЕ</t>
  </si>
  <si>
    <t>Колонна на выходе хроматографии</t>
  </si>
  <si>
    <t>Высота колонны конц.</t>
  </si>
  <si>
    <t>Высота колонны исч.</t>
  </si>
  <si>
    <t>Насадка СПН 2х2х0.2 сталь</t>
  </si>
  <si>
    <t>Свободный объем доля</t>
  </si>
  <si>
    <t xml:space="preserve">Удельная поверхность </t>
  </si>
  <si>
    <t>м2/м3</t>
  </si>
  <si>
    <t>Наминальный размер насадки</t>
  </si>
  <si>
    <t>Статическая задержка конц. (водород)</t>
  </si>
  <si>
    <t>Статическая задержка исч. (водород)</t>
  </si>
  <si>
    <t>Динамическая задержка конц. (водород)</t>
  </si>
  <si>
    <t>Динамическая задержка исч. (водород)</t>
  </si>
  <si>
    <t>Общая задержка конц. (водород)</t>
  </si>
  <si>
    <t>Общая задержка исч. (водород)</t>
  </si>
  <si>
    <t>x ср. исч.</t>
  </si>
  <si>
    <t>x ср. конц.</t>
  </si>
  <si>
    <t>Общая задержка конц. (тритий)</t>
  </si>
  <si>
    <t>Общая задержка исч. (тритий)</t>
  </si>
  <si>
    <t>Водород в газовой фазе конц.</t>
  </si>
  <si>
    <t>Водород в газовой фазе исч.</t>
  </si>
  <si>
    <t>Тритий в газовой фазе конц.</t>
  </si>
  <si>
    <t>Тритий в газовой фазе исч.</t>
  </si>
  <si>
    <t>Дейтерий в газовой фазе конц.</t>
  </si>
  <si>
    <t>Дейтерий в газовой фазе исч.</t>
  </si>
  <si>
    <t>Общая задержка конц. (дейтерий)</t>
  </si>
  <si>
    <t>Общая задержка исч. (дейтерий)</t>
  </si>
  <si>
    <t>Всего трития</t>
  </si>
  <si>
    <t>Всего дейтерия</t>
  </si>
  <si>
    <t>шт.</t>
  </si>
  <si>
    <t>плотность ж. DT</t>
  </si>
  <si>
    <t>плотность ж. HT</t>
  </si>
  <si>
    <t>α H2-HT</t>
  </si>
  <si>
    <t>ℇ H2-HT</t>
  </si>
  <si>
    <t>xf (доляТ)</t>
  </si>
  <si>
    <t>B (выход Т)</t>
  </si>
  <si>
    <t>P (выход D)</t>
  </si>
  <si>
    <t>F (входной поток)</t>
  </si>
  <si>
    <t>м3 Па/с</t>
  </si>
  <si>
    <t>вход/выход ISS сумма D+T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</si>
</sst>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E+00"/>
    <numFmt numFmtId="167" formatCode="0.00000E+00"/>
    <numFmt numFmtId="168" formatCode="0.00000"/>
    <numFmt numFmtId="169" formatCode="0.0000000"/>
    <numFmt numFmtId="170" formatCode="0.00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4"/>
      <color theme="1"/>
      <name val="MS PGothic"/>
      <family val="2"/>
      <charset val="128"/>
    </font>
    <font>
      <vertAlign val="superscript"/>
      <sz val="14"/>
      <color theme="1"/>
      <name val="MS PGothic"/>
      <family val="2"/>
      <charset val="128"/>
    </font>
    <font>
      <sz val="12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3" borderId="1" xfId="0" applyNumberFormat="1" applyFill="1" applyBorder="1"/>
    <xf numFmtId="165" fontId="0" fillId="3" borderId="1" xfId="0" applyNumberFormat="1" applyFill="1" applyBorder="1"/>
    <xf numFmtId="169" fontId="0" fillId="3" borderId="1" xfId="0" applyNumberFormat="1" applyFill="1" applyBorder="1"/>
    <xf numFmtId="2" fontId="0" fillId="0" borderId="1" xfId="0" applyNumberFormat="1" applyBorder="1" applyAlignment="1">
      <alignment horizontal="left"/>
    </xf>
    <xf numFmtId="166" fontId="0" fillId="2" borderId="1" xfId="0" applyNumberFormat="1" applyFill="1" applyBorder="1" applyAlignment="1">
      <alignment horizontal="left"/>
    </xf>
    <xf numFmtId="166" fontId="0" fillId="0" borderId="1" xfId="1" applyNumberFormat="1" applyFont="1" applyBorder="1" applyAlignment="1">
      <alignment horizontal="left"/>
    </xf>
    <xf numFmtId="2" fontId="0" fillId="0" borderId="1" xfId="0" applyNumberFormat="1" applyBorder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/>
    <xf numFmtId="166" fontId="0" fillId="5" borderId="1" xfId="0" applyNumberFormat="1" applyFill="1" applyBorder="1"/>
    <xf numFmtId="166" fontId="0" fillId="6" borderId="1" xfId="0" applyNumberFormat="1" applyFill="1" applyBorder="1"/>
    <xf numFmtId="0" fontId="0" fillId="6" borderId="1" xfId="0" applyFill="1" applyBorder="1"/>
    <xf numFmtId="165" fontId="0" fillId="6" borderId="1" xfId="0" applyNumberFormat="1" applyFill="1" applyBorder="1"/>
    <xf numFmtId="169" fontId="0" fillId="6" borderId="1" xfId="0" applyNumberFormat="1" applyFill="1" applyBorder="1"/>
    <xf numFmtId="2" fontId="0" fillId="6" borderId="1" xfId="0" applyNumberFormat="1" applyFill="1" applyBorder="1"/>
    <xf numFmtId="168" fontId="0" fillId="6" borderId="1" xfId="0" applyNumberFormat="1" applyFill="1" applyBorder="1"/>
    <xf numFmtId="164" fontId="0" fillId="6" borderId="1" xfId="0" applyNumberFormat="1" applyFill="1" applyBorder="1"/>
    <xf numFmtId="167" fontId="0" fillId="6" borderId="1" xfId="0" applyNumberFormat="1" applyFill="1" applyBorder="1"/>
    <xf numFmtId="2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66" fontId="0" fillId="7" borderId="1" xfId="0" applyNumberFormat="1" applyFill="1" applyBorder="1" applyAlignment="1">
      <alignment horizontal="left"/>
    </xf>
    <xf numFmtId="166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69" fontId="0" fillId="8" borderId="1" xfId="0" applyNumberFormat="1" applyFill="1" applyBorder="1"/>
    <xf numFmtId="2" fontId="0" fillId="8" borderId="1" xfId="0" applyNumberFormat="1" applyFill="1" applyBorder="1"/>
    <xf numFmtId="164" fontId="0" fillId="8" borderId="1" xfId="0" applyNumberFormat="1" applyFill="1" applyBorder="1"/>
    <xf numFmtId="11" fontId="0" fillId="8" borderId="1" xfId="0" applyNumberFormat="1" applyFill="1" applyBorder="1"/>
    <xf numFmtId="165" fontId="0" fillId="9" borderId="1" xfId="0" applyNumberFormat="1" applyFill="1" applyBorder="1"/>
    <xf numFmtId="166" fontId="0" fillId="9" borderId="1" xfId="0" applyNumberFormat="1" applyFill="1" applyBorder="1"/>
    <xf numFmtId="0" fontId="0" fillId="10" borderId="1" xfId="0" applyFill="1" applyBorder="1"/>
    <xf numFmtId="169" fontId="0" fillId="10" borderId="1" xfId="0" applyNumberFormat="1" applyFill="1" applyBorder="1"/>
    <xf numFmtId="165" fontId="0" fillId="10" borderId="1" xfId="0" applyNumberFormat="1" applyFill="1" applyBorder="1"/>
    <xf numFmtId="2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1" fontId="0" fillId="10" borderId="1" xfId="0" applyNumberFormat="1" applyFill="1" applyBorder="1"/>
    <xf numFmtId="170" fontId="0" fillId="10" borderId="1" xfId="0" applyNumberFormat="1" applyFill="1" applyBorder="1"/>
    <xf numFmtId="0" fontId="0" fillId="11" borderId="1" xfId="0" applyFill="1" applyBorder="1"/>
    <xf numFmtId="169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166" fontId="0" fillId="11" borderId="1" xfId="0" applyNumberFormat="1" applyFill="1" applyBorder="1"/>
    <xf numFmtId="164" fontId="0" fillId="11" borderId="1" xfId="0" applyNumberFormat="1" applyFill="1" applyBorder="1"/>
    <xf numFmtId="11" fontId="0" fillId="11" borderId="1" xfId="0" applyNumberFormat="1" applyFill="1" applyBorder="1"/>
    <xf numFmtId="0" fontId="0" fillId="12" borderId="1" xfId="0" applyFill="1" applyBorder="1"/>
    <xf numFmtId="2" fontId="0" fillId="9" borderId="1" xfId="0" applyNumberFormat="1" applyFill="1" applyBorder="1"/>
    <xf numFmtId="166" fontId="0" fillId="8" borderId="1" xfId="0" applyNumberFormat="1" applyFont="1" applyFill="1" applyBorder="1"/>
    <xf numFmtId="0" fontId="0" fillId="8" borderId="1" xfId="0" applyFont="1" applyFill="1" applyBorder="1"/>
    <xf numFmtId="0" fontId="0" fillId="0" borderId="1" xfId="0" applyFont="1" applyBorder="1"/>
    <xf numFmtId="165" fontId="0" fillId="8" borderId="1" xfId="0" applyNumberFormat="1" applyFont="1" applyFill="1" applyBorder="1"/>
    <xf numFmtId="2" fontId="0" fillId="9" borderId="1" xfId="0" applyNumberFormat="1" applyFont="1" applyFill="1" applyBorder="1"/>
    <xf numFmtId="165" fontId="0" fillId="9" borderId="1" xfId="0" applyNumberFormat="1" applyFont="1" applyFill="1" applyBorder="1"/>
    <xf numFmtId="164" fontId="0" fillId="8" borderId="1" xfId="0" applyNumberFormat="1" applyFont="1" applyFill="1" applyBorder="1"/>
    <xf numFmtId="2" fontId="0" fillId="8" borderId="1" xfId="0" applyNumberFormat="1" applyFont="1" applyFill="1" applyBorder="1"/>
    <xf numFmtId="0" fontId="0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/>
    <xf numFmtId="0" fontId="0" fillId="13" borderId="0" xfId="0" applyFill="1"/>
    <xf numFmtId="2" fontId="0" fillId="13" borderId="0" xfId="0" applyNumberFormat="1" applyFill="1"/>
    <xf numFmtId="166" fontId="0" fillId="13" borderId="0" xfId="0" applyNumberFormat="1" applyFill="1"/>
    <xf numFmtId="166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14" borderId="0" xfId="0" applyNumberFormat="1" applyFill="1"/>
    <xf numFmtId="166" fontId="0" fillId="15" borderId="0" xfId="0" applyNumberFormat="1" applyFill="1"/>
    <xf numFmtId="0" fontId="8" fillId="0" borderId="0" xfId="0" applyFont="1" applyFill="1" applyAlignment="1">
      <alignment horizontal="left" vertical="center"/>
    </xf>
    <xf numFmtId="165" fontId="0" fillId="13" borderId="0" xfId="0" applyNumberFormat="1" applyFill="1"/>
    <xf numFmtId="11" fontId="0" fillId="14" borderId="0" xfId="0" applyNumberFormat="1" applyFill="1"/>
    <xf numFmtId="166" fontId="0" fillId="17" borderId="0" xfId="0" applyNumberFormat="1" applyFill="1"/>
    <xf numFmtId="2" fontId="0" fillId="0" borderId="0" xfId="0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72;&#1083;&#1072;&#1085;&#1089;%20&#1095;&#1072;&#1089;&#1090;&#1080;&#1094;%20(&#1053;,%20D,%20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0;&#1089;&#1093;&#1086;&#1076;&#1085;&#1099;&#1077;%20&#1076;&#1072;&#1085;&#1085;&#1099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101;&#1083;&#1077;&#1084;&#1077;&#1085;&#1090;&#1099;&#1081;%20&#1088;&#1072;&#1089;&#1095;&#1077;&#1090;%20&#1089;&#1080;&#1089;&#109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баланс тритий"/>
      <sheetName val="баланс дейтерий"/>
      <sheetName val="баланс протий"/>
      <sheetName val="результаты"/>
    </sheetNames>
    <sheetDataSet>
      <sheetData sheetId="0"/>
      <sheetData sheetId="1">
        <row r="4">
          <cell r="B4">
            <v>3.9163048082686361E+21</v>
          </cell>
        </row>
        <row r="202">
          <cell r="B202">
            <v>7.7444023696546962E+21</v>
          </cell>
        </row>
        <row r="203">
          <cell r="B203">
            <v>7.9527357029880294E+21</v>
          </cell>
        </row>
        <row r="204">
          <cell r="B204">
            <v>8.1095179371166428E+21</v>
          </cell>
        </row>
      </sheetData>
      <sheetData sheetId="2">
        <row r="4">
          <cell r="B4">
            <v>3.9163048082686361E+21</v>
          </cell>
        </row>
        <row r="202">
          <cell r="B202">
            <v>7.7444023696546962E+21</v>
          </cell>
        </row>
        <row r="203">
          <cell r="B203">
            <v>7.9527357029880294E+21</v>
          </cell>
        </row>
        <row r="204">
          <cell r="B204">
            <v>8.1095179371166428E+21</v>
          </cell>
        </row>
      </sheetData>
      <sheetData sheetId="3">
        <row r="128">
          <cell r="B128">
            <v>3.5555555555555565E+17</v>
          </cell>
        </row>
      </sheetData>
      <sheetData sheetId="4">
        <row r="8">
          <cell r="AC8">
            <v>1.1784920981299063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скан параметров"/>
      <sheetName val="ASTRA"/>
      <sheetName val="параметры установок"/>
      <sheetName val="выдача"/>
      <sheetName val="Лист2"/>
    </sheetNames>
    <sheetDataSet>
      <sheetData sheetId="0">
        <row r="22">
          <cell r="C22">
            <v>50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поэлементый расчет систем"/>
    </sheetNames>
    <sheetDataSet>
      <sheetData sheetId="0"/>
      <sheetData sheetId="1">
        <row r="14">
          <cell r="L14">
            <v>17.05049934999278</v>
          </cell>
        </row>
        <row r="358">
          <cell r="G358">
            <v>3.8063720025560916E+19</v>
          </cell>
          <cell r="I358">
            <v>1.2338631532293902E+22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zoomScale="110" workbookViewId="0">
      <selection activeCell="N6" sqref="N6"/>
    </sheetView>
  </sheetViews>
  <sheetFormatPr defaultColWidth="10.83203125" defaultRowHeight="15.5" x14ac:dyDescent="0.35"/>
  <cols>
    <col min="1" max="1" width="32.83203125" style="2" customWidth="1"/>
    <col min="2" max="2" width="9.83203125" style="2" customWidth="1"/>
    <col min="3" max="3" width="17.08203125" style="2" customWidth="1"/>
    <col min="4" max="4" width="9.83203125" style="2" customWidth="1"/>
    <col min="5" max="5" width="15.5" style="2" customWidth="1"/>
    <col min="6" max="6" width="20.5" style="2" customWidth="1"/>
    <col min="7" max="7" width="16.33203125" style="2" customWidth="1"/>
    <col min="8" max="8" width="10.83203125" style="2"/>
    <col min="9" max="9" width="11.5" style="2" bestFit="1" customWidth="1"/>
    <col min="10" max="10" width="31" style="2" customWidth="1"/>
    <col min="11" max="11" width="15.33203125" style="2" bestFit="1" customWidth="1"/>
    <col min="12" max="12" width="15" style="2" customWidth="1"/>
    <col min="13" max="13" width="32.08203125" style="2" customWidth="1"/>
    <col min="14" max="14" width="12.58203125" style="2" customWidth="1"/>
    <col min="15" max="17" width="10.83203125" style="2"/>
    <col min="18" max="18" width="15.33203125" style="2" customWidth="1"/>
    <col min="19" max="16384" width="10.83203125" style="2"/>
  </cols>
  <sheetData>
    <row r="1" spans="1:15" x14ac:dyDescent="0.35">
      <c r="A1" s="1" t="s">
        <v>17</v>
      </c>
      <c r="B1" s="1"/>
      <c r="C1" s="1"/>
      <c r="D1" s="1"/>
      <c r="E1" s="1"/>
      <c r="F1" s="1" t="s">
        <v>25</v>
      </c>
      <c r="G1" s="2" t="s">
        <v>26</v>
      </c>
    </row>
    <row r="2" spans="1:15" x14ac:dyDescent="0.35">
      <c r="A2" s="1" t="s">
        <v>29</v>
      </c>
      <c r="B2" s="1" t="s">
        <v>19</v>
      </c>
      <c r="C2" s="1" t="s">
        <v>30</v>
      </c>
      <c r="D2" s="1" t="s">
        <v>18</v>
      </c>
      <c r="E2" s="1" t="s">
        <v>31</v>
      </c>
      <c r="F2" s="1"/>
      <c r="H2" s="2" t="s">
        <v>46</v>
      </c>
      <c r="J2" s="2" t="s">
        <v>22</v>
      </c>
      <c r="M2" s="3" t="s">
        <v>10</v>
      </c>
      <c r="N2" s="4">
        <f>LN(2)/(4500*24*3600)</f>
        <v>1.782785958230312E-9</v>
      </c>
      <c r="O2" s="3"/>
    </row>
    <row r="3" spans="1:15" x14ac:dyDescent="0.35">
      <c r="A3" s="1" t="s">
        <v>0</v>
      </c>
      <c r="B3" s="5">
        <f>(D5*B5-D4*B4)/D3</f>
        <v>8.1965722739563184E-4</v>
      </c>
      <c r="C3" s="1" t="s">
        <v>4</v>
      </c>
      <c r="D3" s="6">
        <f>500/18</f>
        <v>27.777777777777779</v>
      </c>
      <c r="E3" s="1" t="s">
        <v>33</v>
      </c>
      <c r="F3" s="7">
        <f>(D3*B3)/(D5*B5)</f>
        <v>0.99999932692307703</v>
      </c>
      <c r="M3" s="3" t="s">
        <v>11</v>
      </c>
      <c r="N3" s="4">
        <f>6.02214076*10^23</f>
        <v>6.0221407599999999E+23</v>
      </c>
      <c r="O3" s="3"/>
    </row>
    <row r="4" spans="1:15" x14ac:dyDescent="0.35">
      <c r="A4" s="1" t="s">
        <v>2</v>
      </c>
      <c r="B4" s="5">
        <f>N8</f>
        <v>7.8813247989266128E-11</v>
      </c>
      <c r="C4" s="1" t="s">
        <v>5</v>
      </c>
      <c r="D4" s="6">
        <f>D5-D3</f>
        <v>194.44444444444446</v>
      </c>
      <c r="E4" s="1"/>
      <c r="F4" s="1"/>
      <c r="M4" s="3" t="s">
        <v>12</v>
      </c>
      <c r="N4" s="8">
        <v>22</v>
      </c>
      <c r="O4" s="3"/>
    </row>
    <row r="5" spans="1:15" x14ac:dyDescent="0.35">
      <c r="A5" s="1" t="s">
        <v>3</v>
      </c>
      <c r="B5" s="5">
        <f>N6</f>
        <v>1.0245722238604596E-4</v>
      </c>
      <c r="C5" s="1" t="s">
        <v>6</v>
      </c>
      <c r="D5" s="6">
        <f>4000/18</f>
        <v>222.22222222222223</v>
      </c>
      <c r="E5" s="1"/>
      <c r="F5" s="1"/>
      <c r="M5" s="3" t="s">
        <v>13</v>
      </c>
      <c r="N5" s="9">
        <f>10^10</f>
        <v>10000000000</v>
      </c>
      <c r="O5" s="3"/>
    </row>
    <row r="6" spans="1:15" x14ac:dyDescent="0.35">
      <c r="A6" s="14" t="s">
        <v>7</v>
      </c>
      <c r="B6" s="14"/>
      <c r="C6" s="14"/>
      <c r="D6" s="14"/>
      <c r="E6" s="14"/>
      <c r="F6" s="14"/>
      <c r="M6" s="3" t="s">
        <v>14</v>
      </c>
      <c r="N6" s="10">
        <f>N5*N4/N2/N3/2</f>
        <v>1.0245722238604596E-4</v>
      </c>
      <c r="O6" s="3"/>
    </row>
    <row r="7" spans="1:15" x14ac:dyDescent="0.35">
      <c r="A7" s="14" t="s">
        <v>1</v>
      </c>
      <c r="B7" s="14"/>
      <c r="C7" s="45"/>
      <c r="D7" s="45"/>
      <c r="E7" s="45" t="s">
        <v>32</v>
      </c>
      <c r="F7" s="46">
        <f>(D8*B8)/(D10*B10)</f>
        <v>0.99999901010001013</v>
      </c>
      <c r="G7" s="45" t="s">
        <v>35</v>
      </c>
      <c r="H7" s="47">
        <f>1+($N$9-1)*(1-B10)/(1-$N$9*(B9/B10)+($N$9-1)*B9)</f>
        <v>1.1240002787526266</v>
      </c>
      <c r="I7" s="45"/>
      <c r="J7" s="45" t="s">
        <v>47</v>
      </c>
      <c r="K7" s="48">
        <f>LN((F11-H11)/(1-H11))/LN($N$9/H10)</f>
        <v>5.8014110797219383</v>
      </c>
      <c r="M7" s="3" t="s">
        <v>15</v>
      </c>
      <c r="N7" s="9">
        <f>1.3*10^6</f>
        <v>1300000</v>
      </c>
      <c r="O7" s="3"/>
    </row>
    <row r="8" spans="1:15" x14ac:dyDescent="0.35">
      <c r="A8" s="14" t="s">
        <v>0</v>
      </c>
      <c r="B8" s="15">
        <v>0.99</v>
      </c>
      <c r="C8" s="45" t="s">
        <v>4</v>
      </c>
      <c r="D8" s="47">
        <v>1.5</v>
      </c>
      <c r="E8" s="45" t="s">
        <v>22</v>
      </c>
      <c r="F8" s="48">
        <f>LN(F9)/LN($N$9)</f>
        <v>62.31524225782637</v>
      </c>
      <c r="G8" s="45" t="s">
        <v>36</v>
      </c>
      <c r="H8" s="47">
        <f>1-($N$9-1)*(1-B10)/((B8*$N$9/B10)-1-(($N$9-1)*B8))</f>
        <v>0.89881846073503491</v>
      </c>
      <c r="I8" s="45"/>
      <c r="J8" s="45" t="s">
        <v>49</v>
      </c>
      <c r="K8" s="48">
        <f>LN((B10 /$N$9)/B9)/LN($N$9/H9)</f>
        <v>101.61373328265776</v>
      </c>
      <c r="M8" s="3" t="s">
        <v>16</v>
      </c>
      <c r="N8" s="4">
        <f>N6/N7</f>
        <v>7.8813247989266128E-11</v>
      </c>
      <c r="O8" s="3"/>
    </row>
    <row r="9" spans="1:15" x14ac:dyDescent="0.35">
      <c r="A9" s="14" t="s">
        <v>2</v>
      </c>
      <c r="B9" s="15">
        <f>10^-6</f>
        <v>9.9999999999999995E-7</v>
      </c>
      <c r="C9" s="45" t="s">
        <v>5</v>
      </c>
      <c r="D9" s="47">
        <f>D10-D8</f>
        <v>1.4700029400058798</v>
      </c>
      <c r="E9" s="45" t="s">
        <v>34</v>
      </c>
      <c r="F9" s="49">
        <f>B8/B9</f>
        <v>990000</v>
      </c>
      <c r="G9" s="45" t="s">
        <v>42</v>
      </c>
      <c r="H9" s="47">
        <f>H11*(H7-1)+1</f>
        <v>1.0992002230021014</v>
      </c>
      <c r="I9" s="45"/>
      <c r="J9" s="45" t="s">
        <v>31</v>
      </c>
      <c r="K9" s="48">
        <f>(K7+K8)*$N$11</f>
        <v>6.4449086617427822</v>
      </c>
      <c r="M9" s="3" t="s">
        <v>23</v>
      </c>
      <c r="N9" s="8">
        <v>1.248</v>
      </c>
      <c r="O9" s="3"/>
    </row>
    <row r="10" spans="1:15" x14ac:dyDescent="0.35">
      <c r="A10" s="14" t="s">
        <v>3</v>
      </c>
      <c r="B10" s="15">
        <v>0.5</v>
      </c>
      <c r="C10" s="45" t="s">
        <v>6</v>
      </c>
      <c r="D10" s="47">
        <f>D8*(B8-B9)/(B10-B9)</f>
        <v>2.9700029400058798</v>
      </c>
      <c r="E10" s="50" t="s">
        <v>28</v>
      </c>
      <c r="F10" s="45">
        <f>F8*N11</f>
        <v>3.7389145354695819</v>
      </c>
      <c r="G10" s="45" t="s">
        <v>43</v>
      </c>
      <c r="H10" s="47">
        <f>1-H11*(1-H8)</f>
        <v>0.91905476858802793</v>
      </c>
      <c r="I10" s="45"/>
      <c r="J10" s="45"/>
      <c r="K10" s="45"/>
      <c r="M10" s="3"/>
      <c r="N10" s="8"/>
      <c r="O10" s="3"/>
    </row>
    <row r="11" spans="1:15" x14ac:dyDescent="0.35">
      <c r="C11" s="45"/>
      <c r="D11" s="45"/>
      <c r="E11" s="45" t="s">
        <v>48</v>
      </c>
      <c r="F11" s="49">
        <f>B8/B10</f>
        <v>1.98</v>
      </c>
      <c r="G11" s="45" t="s">
        <v>37</v>
      </c>
      <c r="H11" s="47">
        <v>0.8</v>
      </c>
      <c r="I11" s="45"/>
      <c r="J11" s="45" t="s">
        <v>51</v>
      </c>
      <c r="K11" s="49">
        <f>J17/$N$15</f>
        <v>3.8799246675103269E-5</v>
      </c>
      <c r="M11" s="3" t="s">
        <v>27</v>
      </c>
      <c r="N11" s="4">
        <v>0.06</v>
      </c>
      <c r="O11" s="3"/>
    </row>
    <row r="12" spans="1:15" x14ac:dyDescent="0.35">
      <c r="C12" s="45"/>
      <c r="D12" s="45"/>
      <c r="E12" s="45"/>
      <c r="F12" s="45"/>
      <c r="G12" s="45" t="s">
        <v>38</v>
      </c>
      <c r="H12" s="47">
        <f>D9/(H7-1)</f>
        <v>11.854835769671537</v>
      </c>
      <c r="I12" s="45" t="s">
        <v>18</v>
      </c>
      <c r="J12" s="45" t="s">
        <v>50</v>
      </c>
      <c r="K12" s="50">
        <f>2*(K11/$N$16)^(0.5)</f>
        <v>7.0303479247336483E-3</v>
      </c>
      <c r="M12" s="3" t="s">
        <v>52</v>
      </c>
      <c r="N12" s="8">
        <v>8.31</v>
      </c>
      <c r="O12" s="3"/>
    </row>
    <row r="13" spans="1:15" x14ac:dyDescent="0.35">
      <c r="C13" s="45"/>
      <c r="D13" s="45"/>
      <c r="E13" s="45"/>
      <c r="F13" s="45"/>
      <c r="G13" s="45" t="s">
        <v>39</v>
      </c>
      <c r="H13" s="47">
        <f>D8/(1-H8)</f>
        <v>14.824838709677417</v>
      </c>
      <c r="I13" s="45" t="s">
        <v>18</v>
      </c>
      <c r="J13" s="45"/>
      <c r="K13" s="45"/>
      <c r="M13" s="3" t="s">
        <v>53</v>
      </c>
      <c r="N13" s="8">
        <v>20</v>
      </c>
      <c r="O13" s="3"/>
    </row>
    <row r="14" spans="1:15" x14ac:dyDescent="0.35">
      <c r="C14" s="45"/>
      <c r="D14" s="45"/>
      <c r="E14" s="45"/>
      <c r="F14" s="45"/>
      <c r="G14" s="45" t="s">
        <v>40</v>
      </c>
      <c r="H14" s="47">
        <f>H12/H11</f>
        <v>14.81854471208942</v>
      </c>
      <c r="I14" s="45" t="s">
        <v>18</v>
      </c>
      <c r="J14" s="45"/>
      <c r="K14" s="45"/>
      <c r="M14" s="3" t="s">
        <v>54</v>
      </c>
      <c r="N14" s="27">
        <f>101325</f>
        <v>101325</v>
      </c>
      <c r="O14" s="3"/>
    </row>
    <row r="15" spans="1:15" x14ac:dyDescent="0.35">
      <c r="C15" s="45"/>
      <c r="D15" s="45"/>
      <c r="E15" s="45"/>
      <c r="F15" s="45"/>
      <c r="G15" s="45" t="s">
        <v>41</v>
      </c>
      <c r="H15" s="47">
        <f>H13/H11</f>
        <v>18.531048387096771</v>
      </c>
      <c r="I15" s="45" t="s">
        <v>18</v>
      </c>
      <c r="J15" s="45"/>
      <c r="K15" s="45"/>
      <c r="M15" s="3" t="s">
        <v>55</v>
      </c>
      <c r="N15" s="8">
        <v>0.2</v>
      </c>
      <c r="O15" s="3" t="s">
        <v>56</v>
      </c>
    </row>
    <row r="16" spans="1:15" x14ac:dyDescent="0.35">
      <c r="C16" s="45"/>
      <c r="D16" s="45"/>
      <c r="E16" s="45"/>
      <c r="F16" s="45"/>
      <c r="G16" s="45" t="s">
        <v>44</v>
      </c>
      <c r="H16" s="47">
        <f>H9*H14</f>
        <v>16.2885476520953</v>
      </c>
      <c r="I16" s="45" t="s">
        <v>18</v>
      </c>
      <c r="J16" s="51">
        <f>(H16*$N$12*$N$13/$N$14)/3600</f>
        <v>7.4215440408428296E-6</v>
      </c>
      <c r="K16" s="45"/>
      <c r="M16" s="3" t="s">
        <v>59</v>
      </c>
      <c r="N16" s="8">
        <v>3.14</v>
      </c>
      <c r="O16" s="3"/>
    </row>
    <row r="17" spans="1:18" x14ac:dyDescent="0.35">
      <c r="A17" s="16" t="s">
        <v>8</v>
      </c>
      <c r="B17" s="17"/>
      <c r="C17" s="45"/>
      <c r="D17" s="47"/>
      <c r="E17" s="45"/>
      <c r="F17" s="45"/>
      <c r="G17" s="45" t="s">
        <v>45</v>
      </c>
      <c r="H17" s="47">
        <f>H10*H15</f>
        <v>17.031048387096771</v>
      </c>
      <c r="I17" s="45" t="s">
        <v>18</v>
      </c>
      <c r="J17" s="51">
        <f>(H17*$N$12*$N$13/$N$14)/3600</f>
        <v>7.7598493350206538E-6</v>
      </c>
      <c r="K17" s="45"/>
      <c r="L17" s="52"/>
      <c r="M17" s="3" t="s">
        <v>91</v>
      </c>
      <c r="N17" s="24">
        <f>R18</f>
        <v>663.8352610606272</v>
      </c>
      <c r="O17" s="25" t="s">
        <v>92</v>
      </c>
      <c r="P17" s="26">
        <f>0.07*100^3</f>
        <v>70000</v>
      </c>
      <c r="Q17" s="26" t="s">
        <v>92</v>
      </c>
      <c r="R17" s="26">
        <f>2.73/(0.0261*3.66)/0.095</f>
        <v>300.8274407518702</v>
      </c>
    </row>
    <row r="18" spans="1:18" x14ac:dyDescent="0.35">
      <c r="A18" s="17" t="s">
        <v>1</v>
      </c>
      <c r="B18" s="16"/>
      <c r="C18" s="17"/>
      <c r="D18" s="18"/>
      <c r="E18" s="17" t="s">
        <v>32</v>
      </c>
      <c r="F18" s="19">
        <f>(D19*B19)/(D22*B22+B21*D21)</f>
        <v>0.99998033553843801</v>
      </c>
      <c r="G18" s="17" t="s">
        <v>35</v>
      </c>
      <c r="H18" s="18">
        <f>1+($N$9-1)*(1-B22)/(1-$N$9*(B20/B22)+($N$9-1)*B20)</f>
        <v>1.2481745309447623</v>
      </c>
      <c r="I18" s="17"/>
      <c r="J18" s="17" t="s">
        <v>47</v>
      </c>
      <c r="K18" s="20">
        <f>LN((F22-H22)/(1-H22))/LN($N$9/H21)</f>
        <v>8.0070425500012021</v>
      </c>
      <c r="L18" s="17"/>
      <c r="M18" s="3" t="s">
        <v>80</v>
      </c>
      <c r="N18" s="24">
        <v>0.5</v>
      </c>
      <c r="P18" s="2">
        <f>P17/N17</f>
        <v>105.44784844384304</v>
      </c>
      <c r="R18" s="2">
        <f>7.39/(0.0102*10.2)/0.107</f>
        <v>663.8352610606272</v>
      </c>
    </row>
    <row r="19" spans="1:18" x14ac:dyDescent="0.35">
      <c r="A19" s="17" t="s">
        <v>0</v>
      </c>
      <c r="B19" s="16">
        <v>0.99</v>
      </c>
      <c r="C19" s="17" t="s">
        <v>4</v>
      </c>
      <c r="D19" s="18">
        <f>D8</f>
        <v>1.5</v>
      </c>
      <c r="E19" s="17" t="s">
        <v>22</v>
      </c>
      <c r="F19" s="20">
        <f>LN(F20)/LN(N9)</f>
        <v>62.31524225782637</v>
      </c>
      <c r="G19" s="17" t="s">
        <v>36</v>
      </c>
      <c r="H19" s="21">
        <f>1-($N$9-1)*(1-B22)/((B19*$N$9/B22)-1-(($N$9-1)*B19))</f>
        <v>0.9998354730461203</v>
      </c>
      <c r="I19" s="17"/>
      <c r="J19" s="17" t="s">
        <v>49</v>
      </c>
      <c r="K19" s="20">
        <f>LN((B22 /$N$9)/B20)/LN($N$9/H20)</f>
        <v>160.42520401827511</v>
      </c>
      <c r="L19" s="17"/>
      <c r="M19" s="2" t="s">
        <v>108</v>
      </c>
      <c r="N19" s="2">
        <f>0.07*100*100*100</f>
        <v>70000.000000000015</v>
      </c>
      <c r="O19" s="2" t="s">
        <v>109</v>
      </c>
    </row>
    <row r="20" spans="1:18" x14ac:dyDescent="0.35">
      <c r="A20" s="17" t="s">
        <v>2</v>
      </c>
      <c r="B20" s="16">
        <f>10^-6</f>
        <v>9.9999999999999995E-7</v>
      </c>
      <c r="C20" s="17" t="s">
        <v>5</v>
      </c>
      <c r="D20" s="18">
        <f>(D19*(B19-B21)+D22*(B21-B22))/(B21-B20)</f>
        <v>29.202299669744022</v>
      </c>
      <c r="E20" s="17" t="s">
        <v>24</v>
      </c>
      <c r="F20" s="16">
        <f>B19/B20</f>
        <v>990000</v>
      </c>
      <c r="G20" s="17" t="s">
        <v>42</v>
      </c>
      <c r="H20" s="18">
        <f>H22*(H18-1)+1</f>
        <v>1.1985396247558098</v>
      </c>
      <c r="I20" s="17"/>
      <c r="J20" s="17" t="s">
        <v>31</v>
      </c>
      <c r="K20" s="20">
        <f>(K18+K19)*$N$11</f>
        <v>10.105934794096578</v>
      </c>
      <c r="L20" s="17"/>
      <c r="M20" s="2" t="s">
        <v>116</v>
      </c>
      <c r="N20" s="2">
        <f>2/0.0224</f>
        <v>89.285714285714292</v>
      </c>
      <c r="O20" s="2" t="s">
        <v>109</v>
      </c>
    </row>
    <row r="21" spans="1:18" x14ac:dyDescent="0.35">
      <c r="A21" s="17" t="s">
        <v>3</v>
      </c>
      <c r="B21" s="16">
        <v>0.5</v>
      </c>
      <c r="C21" s="17" t="s">
        <v>6</v>
      </c>
      <c r="D21" s="18">
        <f>D20+D19-D22</f>
        <v>2.9245218919662435</v>
      </c>
      <c r="E21" s="22" t="s">
        <v>28</v>
      </c>
      <c r="F21" s="17">
        <f>F19*N11</f>
        <v>3.7389145354695819</v>
      </c>
      <c r="G21" s="17" t="s">
        <v>43</v>
      </c>
      <c r="H21" s="21">
        <f>1-H22*(1-H19)</f>
        <v>0.99986837843689624</v>
      </c>
      <c r="I21" s="17"/>
      <c r="J21" s="17" t="s">
        <v>51</v>
      </c>
      <c r="K21" s="20">
        <f>J28/$N$15</f>
        <v>2.595905982543709E-2</v>
      </c>
      <c r="L21" s="17" t="s">
        <v>58</v>
      </c>
      <c r="N21" s="2">
        <f>0.5*N19/N20</f>
        <v>392.00000000000006</v>
      </c>
    </row>
    <row r="22" spans="1:18" x14ac:dyDescent="0.35">
      <c r="A22" s="17" t="s">
        <v>20</v>
      </c>
      <c r="B22" s="16">
        <f>B3</f>
        <v>8.1965722739563184E-4</v>
      </c>
      <c r="C22" s="17" t="s">
        <v>9</v>
      </c>
      <c r="D22" s="18">
        <f>D3</f>
        <v>27.777777777777779</v>
      </c>
      <c r="E22" s="17" t="s">
        <v>48</v>
      </c>
      <c r="F22" s="16">
        <f>B19/B21</f>
        <v>1.98</v>
      </c>
      <c r="G22" s="17" t="s">
        <v>37</v>
      </c>
      <c r="H22" s="18">
        <v>0.8</v>
      </c>
      <c r="I22" s="17"/>
      <c r="J22" s="17" t="s">
        <v>50</v>
      </c>
      <c r="K22" s="20">
        <f>2*(K21/$N$16)^(0.5)</f>
        <v>0.18184846994040144</v>
      </c>
      <c r="L22" s="17" t="s">
        <v>60</v>
      </c>
    </row>
    <row r="23" spans="1:18" x14ac:dyDescent="0.35">
      <c r="A23" s="17"/>
      <c r="B23" s="17"/>
      <c r="C23" s="17" t="s">
        <v>21</v>
      </c>
      <c r="D23" s="18">
        <f>D21+D22</f>
        <v>30.702299669744022</v>
      </c>
      <c r="E23" s="17"/>
      <c r="F23" s="17"/>
      <c r="G23" s="17" t="s">
        <v>38</v>
      </c>
      <c r="H23" s="18">
        <f>D20/(H18-1)</f>
        <v>117.66839876185263</v>
      </c>
      <c r="I23" s="17" t="s">
        <v>18</v>
      </c>
      <c r="J23" s="23" t="s">
        <v>61</v>
      </c>
      <c r="K23" s="20">
        <f>K21*K9</f>
        <v>0.16730376951965859</v>
      </c>
      <c r="L23" s="17" t="s">
        <v>62</v>
      </c>
    </row>
    <row r="24" spans="1:18" x14ac:dyDescent="0.35">
      <c r="A24" s="17"/>
      <c r="B24" s="17"/>
      <c r="C24" s="17"/>
      <c r="D24" s="17"/>
      <c r="E24" s="17"/>
      <c r="F24" s="17"/>
      <c r="G24" s="17" t="s">
        <v>39</v>
      </c>
      <c r="H24" s="18">
        <f>D19/(1-H19)</f>
        <v>9117.0471745123341</v>
      </c>
      <c r="I24" s="17" t="s">
        <v>18</v>
      </c>
      <c r="J24" s="17" t="s">
        <v>63</v>
      </c>
      <c r="K24" s="20">
        <f>2*K23*N14/N12/N13</f>
        <v>203.99584171575697</v>
      </c>
      <c r="L24" s="17" t="s">
        <v>65</v>
      </c>
    </row>
    <row r="25" spans="1:18" x14ac:dyDescent="0.35">
      <c r="A25" s="17"/>
      <c r="B25" s="17"/>
      <c r="C25" s="17"/>
      <c r="D25" s="17"/>
      <c r="E25" s="17"/>
      <c r="F25" s="17"/>
      <c r="G25" s="17" t="s">
        <v>40</v>
      </c>
      <c r="H25" s="18">
        <f>H23/H22</f>
        <v>147.08549845231579</v>
      </c>
      <c r="I25" s="17" t="s">
        <v>18</v>
      </c>
      <c r="J25" s="17" t="s">
        <v>64</v>
      </c>
      <c r="K25" s="20">
        <f>K23*N17</f>
        <v>111.06214151550957</v>
      </c>
      <c r="L25" s="17" t="s">
        <v>65</v>
      </c>
    </row>
    <row r="26" spans="1:18" x14ac:dyDescent="0.35">
      <c r="A26" s="17"/>
      <c r="B26" s="17"/>
      <c r="C26" s="17"/>
      <c r="D26" s="17"/>
      <c r="E26" s="17"/>
      <c r="F26" s="17"/>
      <c r="G26" s="17" t="s">
        <v>41</v>
      </c>
      <c r="H26" s="18">
        <f>H24/H22</f>
        <v>11396.308968140416</v>
      </c>
      <c r="I26" s="17" t="s">
        <v>18</v>
      </c>
      <c r="J26" s="17" t="s">
        <v>66</v>
      </c>
      <c r="K26" s="20">
        <f>K24+K25</f>
        <v>315.05798323126652</v>
      </c>
      <c r="L26" s="17"/>
    </row>
    <row r="27" spans="1:18" x14ac:dyDescent="0.35">
      <c r="A27" s="17"/>
      <c r="B27" s="17"/>
      <c r="C27" s="17"/>
      <c r="D27" s="17"/>
      <c r="E27" s="17"/>
      <c r="F27" s="17"/>
      <c r="G27" s="17" t="s">
        <v>44</v>
      </c>
      <c r="H27" s="18">
        <f>H20*H25</f>
        <v>176.2877981220598</v>
      </c>
      <c r="I27" s="17" t="s">
        <v>18</v>
      </c>
      <c r="J27" s="16">
        <f>(H27*$N$12*$N$13/$N$14)/3600</f>
        <v>8.032193450088094E-5</v>
      </c>
      <c r="K27" s="17" t="s">
        <v>57</v>
      </c>
      <c r="L27" s="17"/>
    </row>
    <row r="28" spans="1:18" x14ac:dyDescent="0.35">
      <c r="A28" s="17"/>
      <c r="B28" s="17"/>
      <c r="C28" s="17"/>
      <c r="D28" s="17"/>
      <c r="E28" s="17"/>
      <c r="F28" s="17"/>
      <c r="G28" s="17" t="s">
        <v>45</v>
      </c>
      <c r="H28" s="18">
        <f>H21*H26</f>
        <v>11394.808968140416</v>
      </c>
      <c r="I28" s="17" t="s">
        <v>18</v>
      </c>
      <c r="J28" s="16">
        <f>(H28*$N$12*$N$13/$N$14)/3600</f>
        <v>5.1918119650874181E-3</v>
      </c>
      <c r="K28" s="17" t="s">
        <v>57</v>
      </c>
      <c r="L28" s="17"/>
    </row>
    <row r="30" spans="1:18" x14ac:dyDescent="0.35">
      <c r="A30" s="28" t="s">
        <v>67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8" x14ac:dyDescent="0.35">
      <c r="A31" s="29" t="s">
        <v>68</v>
      </c>
      <c r="B31" s="29"/>
      <c r="C31" s="29"/>
      <c r="D31" s="30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8" x14ac:dyDescent="0.35">
      <c r="A32" s="29" t="s">
        <v>1</v>
      </c>
      <c r="B32" s="28"/>
      <c r="C32" s="29"/>
      <c r="D32" s="30"/>
      <c r="E32" s="29" t="s">
        <v>32</v>
      </c>
      <c r="F32" s="31">
        <f>(D33*B33)/(D35*B35)</f>
        <v>0.99900910010111221</v>
      </c>
      <c r="G32" s="29" t="s">
        <v>35</v>
      </c>
      <c r="H32" s="30">
        <f>1+($N$9-1)*(1-B35)/(1-$N$9*(B34/B35)+($N$9-1)*B34)</f>
        <v>1.1242793800463442</v>
      </c>
      <c r="I32" s="29"/>
      <c r="J32" s="29" t="s">
        <v>71</v>
      </c>
      <c r="K32" s="32">
        <f>LN((F36-H36)/(1-H36))/LN($N$9/H35)</f>
        <v>5.8014110797219383</v>
      </c>
      <c r="L32" s="29"/>
      <c r="M32" s="29"/>
      <c r="N32" s="29"/>
      <c r="O32" s="29"/>
      <c r="P32" s="29"/>
    </row>
    <row r="33" spans="1:16" x14ac:dyDescent="0.35">
      <c r="A33" s="29" t="s">
        <v>0</v>
      </c>
      <c r="B33" s="53">
        <v>0.99</v>
      </c>
      <c r="C33" s="29" t="s">
        <v>4</v>
      </c>
      <c r="D33" s="35">
        <f>26</f>
        <v>26</v>
      </c>
      <c r="E33" s="29" t="s">
        <v>22</v>
      </c>
      <c r="F33" s="32">
        <f>LN(F34)/LN($N$9)</f>
        <v>31.134938469175395</v>
      </c>
      <c r="G33" s="29" t="s">
        <v>36</v>
      </c>
      <c r="H33" s="30">
        <f>1-($N$9-1)*(1-B35)/((B33*$N$9/B35)-1-(($N$9-1)*B33))</f>
        <v>0.89881846073503491</v>
      </c>
      <c r="I33" s="29"/>
      <c r="J33" s="29" t="s">
        <v>72</v>
      </c>
      <c r="K33" s="32">
        <f>LN((B35 /$N$9)/B34)/LN($N$9/H34)</f>
        <v>47.280215109199972</v>
      </c>
      <c r="L33" s="29"/>
      <c r="M33" s="29"/>
      <c r="N33" s="29"/>
      <c r="O33" s="29"/>
      <c r="P33" s="29"/>
    </row>
    <row r="34" spans="1:16" x14ac:dyDescent="0.35">
      <c r="A34" s="29" t="s">
        <v>2</v>
      </c>
      <c r="B34" s="53">
        <f>10^-3</f>
        <v>1E-3</v>
      </c>
      <c r="C34" s="29" t="s">
        <v>5</v>
      </c>
      <c r="D34" s="30">
        <f>D35-D33</f>
        <v>25.531062124248493</v>
      </c>
      <c r="E34" s="29" t="s">
        <v>34</v>
      </c>
      <c r="F34" s="28">
        <f>B33/B34</f>
        <v>990</v>
      </c>
      <c r="G34" s="29" t="s">
        <v>42</v>
      </c>
      <c r="H34" s="30">
        <f>H36*(H32-1)+1</f>
        <v>1.0994235040370754</v>
      </c>
      <c r="I34" s="29"/>
      <c r="J34" s="29" t="s">
        <v>83</v>
      </c>
      <c r="K34" s="32">
        <f>K32*$N$11</f>
        <v>0.34808466478331629</v>
      </c>
      <c r="L34" s="29" t="s">
        <v>60</v>
      </c>
      <c r="M34" s="29"/>
      <c r="N34" s="29"/>
      <c r="O34" s="29"/>
      <c r="P34" s="29"/>
    </row>
    <row r="35" spans="1:16" x14ac:dyDescent="0.35">
      <c r="A35" s="29" t="s">
        <v>70</v>
      </c>
      <c r="B35" s="53">
        <v>0.5</v>
      </c>
      <c r="C35" s="29" t="s">
        <v>6</v>
      </c>
      <c r="D35" s="30">
        <f>D33*(B33-B34)/(B35-B34)</f>
        <v>51.531062124248493</v>
      </c>
      <c r="E35" s="33" t="s">
        <v>28</v>
      </c>
      <c r="F35" s="28">
        <f>F33*N11</f>
        <v>1.8680963081505237</v>
      </c>
      <c r="G35" s="29" t="s">
        <v>43</v>
      </c>
      <c r="H35" s="30">
        <f>1-H36*(1-H33)</f>
        <v>0.91905476858802793</v>
      </c>
      <c r="I35" s="29"/>
      <c r="J35" s="29" t="s">
        <v>84</v>
      </c>
      <c r="K35" s="32">
        <f>K33*$N$11</f>
        <v>2.836812906551998</v>
      </c>
      <c r="L35" s="29" t="s">
        <v>60</v>
      </c>
      <c r="M35" s="29" t="s">
        <v>112</v>
      </c>
      <c r="N35" s="34">
        <f>K43/H41</f>
        <v>0.44200444868952576</v>
      </c>
      <c r="O35" s="29"/>
      <c r="P35" s="29"/>
    </row>
    <row r="36" spans="1:16" x14ac:dyDescent="0.35">
      <c r="A36" s="29" t="s">
        <v>93</v>
      </c>
      <c r="B36" s="32">
        <f>(B35+B33)/2</f>
        <v>0.745</v>
      </c>
      <c r="C36" s="29"/>
      <c r="D36" s="29"/>
      <c r="E36" s="29" t="s">
        <v>48</v>
      </c>
      <c r="F36" s="28">
        <f>B33/B35</f>
        <v>1.98</v>
      </c>
      <c r="G36" s="29" t="s">
        <v>37</v>
      </c>
      <c r="H36" s="30">
        <v>0.8</v>
      </c>
      <c r="I36" s="29"/>
      <c r="J36" s="29" t="s">
        <v>75</v>
      </c>
      <c r="K36" s="28">
        <f>H46/$N$15</f>
        <v>6.7252027570178976E-4</v>
      </c>
      <c r="L36" s="29" t="s">
        <v>58</v>
      </c>
      <c r="M36" s="29" t="s">
        <v>113</v>
      </c>
      <c r="N36" s="34">
        <f>K42/H42</f>
        <v>3.7170112940359566E-2</v>
      </c>
      <c r="O36" s="29"/>
      <c r="P36" s="29"/>
    </row>
    <row r="37" spans="1:16" x14ac:dyDescent="0.35">
      <c r="A37" s="29" t="s">
        <v>94</v>
      </c>
      <c r="B37" s="32">
        <f>(B35+B34)/2</f>
        <v>0.2505</v>
      </c>
      <c r="C37" s="29"/>
      <c r="D37" s="29"/>
      <c r="E37" s="29"/>
      <c r="F37" s="29"/>
      <c r="G37" s="29" t="s">
        <v>38</v>
      </c>
      <c r="H37" s="30">
        <f>D34/(H32-1)</f>
        <v>205.43280884349338</v>
      </c>
      <c r="I37" s="29" t="s">
        <v>18</v>
      </c>
      <c r="J37" s="29" t="s">
        <v>77</v>
      </c>
      <c r="K37" s="28">
        <f>SQRT(4*K36/$N$16)</f>
        <v>2.9269672478670638E-2</v>
      </c>
      <c r="L37" s="29" t="s">
        <v>60</v>
      </c>
      <c r="M37" s="29" t="s">
        <v>115</v>
      </c>
      <c r="N37" s="32">
        <f>N35*H41*$N$19/N21</f>
        <v>1.3032550114338526</v>
      </c>
      <c r="O37" s="29" t="s">
        <v>65</v>
      </c>
      <c r="P37" s="29"/>
    </row>
    <row r="38" spans="1:16" x14ac:dyDescent="0.35">
      <c r="A38" s="29" t="s">
        <v>110</v>
      </c>
      <c r="B38" s="29">
        <f>B36*6+(1-B36)*4</f>
        <v>5.49</v>
      </c>
      <c r="C38" s="29"/>
      <c r="D38" s="29"/>
      <c r="E38" s="29"/>
      <c r="F38" s="29"/>
      <c r="G38" s="29" t="s">
        <v>39</v>
      </c>
      <c r="H38" s="30">
        <f>D33/(1-H33)</f>
        <v>256.96387096774191</v>
      </c>
      <c r="I38" s="29" t="s">
        <v>18</v>
      </c>
      <c r="J38" s="29" t="s">
        <v>76</v>
      </c>
      <c r="K38" s="28">
        <f>H45/$N$15</f>
        <v>6.4317143079592432E-4</v>
      </c>
      <c r="L38" s="29" t="s">
        <v>58</v>
      </c>
      <c r="M38" s="29" t="s">
        <v>114</v>
      </c>
      <c r="N38" s="32">
        <f>N36*H42*$N$19/N21</f>
        <v>0.16720999623402927</v>
      </c>
      <c r="O38" s="29" t="s">
        <v>65</v>
      </c>
      <c r="P38" s="29"/>
    </row>
    <row r="39" spans="1:16" x14ac:dyDescent="0.35">
      <c r="A39" s="29" t="s">
        <v>111</v>
      </c>
      <c r="B39" s="29">
        <f>B37*6+(1-B37)*4</f>
        <v>4.5010000000000003</v>
      </c>
      <c r="C39" s="29"/>
      <c r="D39" s="29"/>
      <c r="E39" s="29"/>
      <c r="F39" s="29"/>
      <c r="G39" s="29" t="s">
        <v>40</v>
      </c>
      <c r="H39" s="30">
        <f>H37/H36</f>
        <v>256.79101105436672</v>
      </c>
      <c r="I39" s="29" t="s">
        <v>18</v>
      </c>
      <c r="J39" s="29" t="s">
        <v>78</v>
      </c>
      <c r="K39" s="28">
        <f>SQRT(4*K38/$N$16)</f>
        <v>2.8623882745607704E-2</v>
      </c>
      <c r="L39" s="29" t="s">
        <v>60</v>
      </c>
      <c r="M39" s="29" t="s">
        <v>117</v>
      </c>
      <c r="N39" s="32">
        <f>$B$37*N37</f>
        <v>0.32646538036418005</v>
      </c>
      <c r="O39" s="29"/>
      <c r="P39" s="29"/>
    </row>
    <row r="40" spans="1:16" x14ac:dyDescent="0.35">
      <c r="A40" s="29"/>
      <c r="B40" s="29"/>
      <c r="C40" s="29"/>
      <c r="D40" s="29"/>
      <c r="E40" s="29"/>
      <c r="F40" s="29"/>
      <c r="G40" s="29" t="s">
        <v>41</v>
      </c>
      <c r="H40" s="30">
        <f>H38/H36</f>
        <v>321.20483870967735</v>
      </c>
      <c r="I40" s="29" t="s">
        <v>18</v>
      </c>
      <c r="J40" s="29" t="s">
        <v>73</v>
      </c>
      <c r="K40" s="32">
        <f>K37/$N$18</f>
        <v>5.8539344957341276E-2</v>
      </c>
      <c r="L40" s="29" t="s">
        <v>60</v>
      </c>
      <c r="M40" s="29" t="s">
        <v>118</v>
      </c>
      <c r="N40" s="32">
        <f>N38*$B$36</f>
        <v>0.1245714471943518</v>
      </c>
      <c r="O40" s="29"/>
      <c r="P40" s="29"/>
    </row>
    <row r="41" spans="1:16" x14ac:dyDescent="0.35">
      <c r="A41" s="29"/>
      <c r="B41" s="29"/>
      <c r="C41" s="29"/>
      <c r="D41" s="29"/>
      <c r="E41" s="29"/>
      <c r="F41" s="29"/>
      <c r="G41" s="29" t="s">
        <v>40</v>
      </c>
      <c r="H41" s="34">
        <f>H39*B39/N19</f>
        <v>1.6511662010795777E-2</v>
      </c>
      <c r="I41" s="29" t="s">
        <v>79</v>
      </c>
      <c r="J41" s="29" t="s">
        <v>74</v>
      </c>
      <c r="K41" s="32">
        <f>K39/$N$18</f>
        <v>5.7247765491215408E-2</v>
      </c>
      <c r="L41" s="29" t="s">
        <v>60</v>
      </c>
      <c r="M41" s="29" t="s">
        <v>119</v>
      </c>
      <c r="N41" s="32">
        <f>N37*(1-$B$37)</f>
        <v>0.97678963106967254</v>
      </c>
      <c r="O41" s="29"/>
      <c r="P41" s="29"/>
    </row>
    <row r="42" spans="1:16" x14ac:dyDescent="0.35">
      <c r="A42" s="29"/>
      <c r="B42" s="29"/>
      <c r="C42" s="29"/>
      <c r="D42" s="29"/>
      <c r="E42" s="29"/>
      <c r="F42" s="29"/>
      <c r="G42" s="29" t="s">
        <v>41</v>
      </c>
      <c r="H42" s="34">
        <f>H40*B38/N19</f>
        <v>2.5191636635944689E-2</v>
      </c>
      <c r="I42" s="29" t="s">
        <v>79</v>
      </c>
      <c r="J42" s="29" t="s">
        <v>81</v>
      </c>
      <c r="K42" s="29">
        <f>K34*$N$16*K40*K40/4</f>
        <v>9.3637597891056386E-4</v>
      </c>
      <c r="L42" s="29" t="s">
        <v>62</v>
      </c>
      <c r="M42" s="29" t="s">
        <v>120</v>
      </c>
      <c r="N42" s="32">
        <f>N38*(1-$B$36)</f>
        <v>4.2638549039677467E-2</v>
      </c>
      <c r="O42" s="29"/>
      <c r="P42" s="29"/>
    </row>
    <row r="43" spans="1:16" x14ac:dyDescent="0.35">
      <c r="A43" s="29"/>
      <c r="B43" s="29"/>
      <c r="C43" s="29"/>
      <c r="D43" s="29"/>
      <c r="E43" s="29"/>
      <c r="F43" s="29"/>
      <c r="G43" s="29" t="s">
        <v>44</v>
      </c>
      <c r="H43" s="30">
        <f>H34*H39</f>
        <v>282.32207317861526</v>
      </c>
      <c r="I43" s="29" t="s">
        <v>18</v>
      </c>
      <c r="J43" s="29" t="s">
        <v>82</v>
      </c>
      <c r="K43" s="29">
        <f>K35*$N$16*K41*K41/4</f>
        <v>7.2982280640295737E-3</v>
      </c>
      <c r="L43" s="29" t="s">
        <v>62</v>
      </c>
      <c r="M43" s="29"/>
      <c r="N43" s="29"/>
      <c r="O43" s="29"/>
      <c r="P43" s="29"/>
    </row>
    <row r="44" spans="1:16" x14ac:dyDescent="0.35">
      <c r="A44" s="29"/>
      <c r="B44" s="29"/>
      <c r="C44" s="29"/>
      <c r="D44" s="29"/>
      <c r="E44" s="29"/>
      <c r="F44" s="29"/>
      <c r="G44" s="29" t="s">
        <v>45</v>
      </c>
      <c r="H44" s="30">
        <f>H35*H40</f>
        <v>295.20483870967735</v>
      </c>
      <c r="I44" s="29" t="s">
        <v>18</v>
      </c>
      <c r="J44" s="29" t="s">
        <v>104</v>
      </c>
      <c r="K44" s="29">
        <f>K42*N17</f>
        <v>0.62159939241099449</v>
      </c>
      <c r="L44" s="29" t="s">
        <v>65</v>
      </c>
      <c r="M44" s="29" t="s">
        <v>96</v>
      </c>
      <c r="N44" s="32">
        <f>N14*K42/2/$N$12/$N$13</f>
        <v>0.28543410367964162</v>
      </c>
      <c r="O44" s="29" t="s">
        <v>95</v>
      </c>
      <c r="P44" s="29"/>
    </row>
    <row r="45" spans="1:16" x14ac:dyDescent="0.35">
      <c r="A45" s="29"/>
      <c r="B45" s="29"/>
      <c r="C45" s="29"/>
      <c r="D45" s="29"/>
      <c r="E45" s="29"/>
      <c r="F45" s="29"/>
      <c r="G45" s="29" t="s">
        <v>44</v>
      </c>
      <c r="H45" s="34">
        <f>(H43*$N$12*$N$13/$N$14)/3600</f>
        <v>1.2863428615918486E-4</v>
      </c>
      <c r="I45" s="29" t="s">
        <v>79</v>
      </c>
      <c r="J45" s="29" t="s">
        <v>105</v>
      </c>
      <c r="K45" s="29">
        <f>K43*N17</f>
        <v>4.8448211321650678</v>
      </c>
      <c r="L45" s="29" t="s">
        <v>65</v>
      </c>
      <c r="M45" s="29" t="s">
        <v>97</v>
      </c>
      <c r="N45" s="32">
        <f>N14*K43/2/$N$12/$N$13</f>
        <v>2.224708058326704</v>
      </c>
      <c r="O45" s="29" t="s">
        <v>95</v>
      </c>
      <c r="P45" s="29"/>
    </row>
    <row r="46" spans="1:16" x14ac:dyDescent="0.35">
      <c r="A46" s="29"/>
      <c r="B46" s="29"/>
      <c r="C46" s="29"/>
      <c r="D46" s="29"/>
      <c r="E46" s="29"/>
      <c r="F46" s="29"/>
      <c r="G46" s="29" t="s">
        <v>45</v>
      </c>
      <c r="H46" s="34">
        <f>(H44*$N$12*$N$13/$N$14)/3600</f>
        <v>1.3450405514035796E-4</v>
      </c>
      <c r="I46" s="29" t="s">
        <v>79</v>
      </c>
      <c r="J46" s="29" t="s">
        <v>87</v>
      </c>
      <c r="K46" s="32">
        <f>K44*6/(4+6+4/B36)</f>
        <v>0.24266805974472885</v>
      </c>
      <c r="L46" s="29" t="s">
        <v>65</v>
      </c>
      <c r="M46" s="29" t="s">
        <v>98</v>
      </c>
      <c r="N46" s="32">
        <f>N44*B36*6</f>
        <v>1.2758904434479978</v>
      </c>
      <c r="O46" s="29" t="s">
        <v>65</v>
      </c>
      <c r="P46" s="29">
        <f>N46/K46</f>
        <v>5.2577601056774936</v>
      </c>
    </row>
    <row r="47" spans="1:16" x14ac:dyDescent="0.35">
      <c r="A47" s="29"/>
      <c r="B47" s="28"/>
      <c r="C47" s="29"/>
      <c r="D47" s="30"/>
      <c r="E47" s="29"/>
      <c r="F47" s="29"/>
      <c r="G47" s="29"/>
      <c r="H47" s="29"/>
      <c r="I47" s="29"/>
      <c r="J47" s="29" t="s">
        <v>88</v>
      </c>
      <c r="K47" s="32">
        <f>K45*6/(4+6+4/B37)</f>
        <v>1.1194106320744193</v>
      </c>
      <c r="L47" s="29" t="s">
        <v>65</v>
      </c>
      <c r="M47" s="29" t="s">
        <v>99</v>
      </c>
      <c r="N47" s="32">
        <f>N45*B37*6</f>
        <v>3.343736211665036</v>
      </c>
      <c r="O47" s="29" t="s">
        <v>65</v>
      </c>
      <c r="P47" s="29">
        <f>N47/K47</f>
        <v>2.9870506102560781</v>
      </c>
    </row>
    <row r="48" spans="1:16" x14ac:dyDescent="0.35">
      <c r="A48" s="29"/>
      <c r="B48" s="29"/>
      <c r="C48" s="29"/>
      <c r="D48" s="29"/>
      <c r="E48" s="29"/>
      <c r="F48" s="29"/>
      <c r="G48" s="29"/>
      <c r="H48" s="29"/>
      <c r="I48" s="29"/>
      <c r="J48" s="29" t="s">
        <v>89</v>
      </c>
      <c r="K48" s="32">
        <f>4*K46/6*(1+1/B36)</f>
        <v>0.37893133266626561</v>
      </c>
      <c r="L48" s="29" t="s">
        <v>65</v>
      </c>
      <c r="M48" s="29" t="s">
        <v>100</v>
      </c>
      <c r="N48" s="32">
        <f>N44*4*(1-B36)</f>
        <v>0.29114278575323443</v>
      </c>
      <c r="O48" s="29" t="s">
        <v>65</v>
      </c>
      <c r="P48" s="29"/>
    </row>
    <row r="49" spans="1:16" x14ac:dyDescent="0.35">
      <c r="A49" s="29"/>
      <c r="B49" s="29"/>
      <c r="C49" s="29"/>
      <c r="D49" s="29"/>
      <c r="E49" s="29"/>
      <c r="F49" s="29"/>
      <c r="G49" s="29"/>
      <c r="H49" s="29"/>
      <c r="I49" s="29"/>
      <c r="J49" s="29" t="s">
        <v>90</v>
      </c>
      <c r="K49" s="32">
        <f>4*K47/6*(1+1/B37)</f>
        <v>3.725410500090649</v>
      </c>
      <c r="L49" s="29" t="s">
        <v>65</v>
      </c>
      <c r="M49" s="29" t="s">
        <v>101</v>
      </c>
      <c r="N49" s="32">
        <f>N45*4*(1-B37)</f>
        <v>6.6696747588634588</v>
      </c>
      <c r="O49" s="29" t="s">
        <v>65</v>
      </c>
      <c r="P49" s="29"/>
    </row>
    <row r="50" spans="1:16" x14ac:dyDescent="0.35">
      <c r="A50" s="37" t="s">
        <v>69</v>
      </c>
      <c r="B50" s="37"/>
      <c r="C50" s="37"/>
      <c r="D50" s="37"/>
      <c r="E50" s="37" t="s">
        <v>32</v>
      </c>
      <c r="F50" s="38">
        <f>(D51*B51)/(D53*B53)</f>
        <v>0.27068319065023255</v>
      </c>
      <c r="G50" s="37" t="s">
        <v>35</v>
      </c>
      <c r="H50" s="39">
        <f>1+($N$9-1)*(1-B53)/(1-$N$9*(B52/B53)+($N$9-1)*B52)</f>
        <v>1.2481745309447623</v>
      </c>
      <c r="I50" s="37"/>
      <c r="J50" s="37" t="s">
        <v>71</v>
      </c>
      <c r="K50" s="40">
        <f>LN((F54-H54)/(1-H54))/LN($N$9/H53)</f>
        <v>1.0618044166972984</v>
      </c>
      <c r="L50" s="37"/>
      <c r="M50" s="12" t="s">
        <v>102</v>
      </c>
      <c r="N50" s="13">
        <f>N46+N47+K46+K47+N39+N40</f>
        <v>6.4327421744907145</v>
      </c>
      <c r="O50" s="29" t="s">
        <v>65</v>
      </c>
      <c r="P50" s="37"/>
    </row>
    <row r="51" spans="1:16" x14ac:dyDescent="0.35">
      <c r="A51" s="37" t="s">
        <v>0</v>
      </c>
      <c r="B51" s="41">
        <f>B34</f>
        <v>1E-3</v>
      </c>
      <c r="C51" s="37" t="s">
        <v>4</v>
      </c>
      <c r="D51" s="35">
        <f>H37*0.03</f>
        <v>6.162984265304801</v>
      </c>
      <c r="E51" s="37" t="s">
        <v>22</v>
      </c>
      <c r="F51" s="40">
        <f>LN(F52)/LN($N$9)</f>
        <v>31.180303788650974</v>
      </c>
      <c r="G51" s="37" t="s">
        <v>36</v>
      </c>
      <c r="H51" s="39">
        <f>1-($N$9-1)*(1-B53)/((B51*$N$9/B53)-1-(($N$9-1)*B51))</f>
        <v>0.52560233823245461</v>
      </c>
      <c r="I51" s="37"/>
      <c r="J51" s="37" t="s">
        <v>72</v>
      </c>
      <c r="K51" s="40">
        <f>LN((B53 /$N$9)/B52)/LN($N$9/H52)</f>
        <v>160.42520401827511</v>
      </c>
      <c r="L51" s="37"/>
      <c r="M51" s="12" t="s">
        <v>103</v>
      </c>
      <c r="N51" s="13">
        <f>N48+N49+K48+K49+N41+N42</f>
        <v>12.084587557482958</v>
      </c>
      <c r="O51" s="29" t="s">
        <v>65</v>
      </c>
      <c r="P51" s="37"/>
    </row>
    <row r="52" spans="1:16" x14ac:dyDescent="0.35">
      <c r="A52" s="37" t="s">
        <v>2</v>
      </c>
      <c r="B52" s="36">
        <f>10^-6</f>
        <v>9.9999999999999995E-7</v>
      </c>
      <c r="C52" s="37" t="s">
        <v>5</v>
      </c>
      <c r="D52" s="39">
        <f>D53-D51</f>
        <v>21.614793512472978</v>
      </c>
      <c r="E52" s="37" t="s">
        <v>34</v>
      </c>
      <c r="F52" s="41">
        <f>B51/B52</f>
        <v>1000.0000000000001</v>
      </c>
      <c r="G52" s="37" t="s">
        <v>42</v>
      </c>
      <c r="H52" s="39">
        <f>H54*(H50-1)+1</f>
        <v>1.1985396247558098</v>
      </c>
      <c r="I52" s="37"/>
      <c r="J52" s="37" t="s">
        <v>83</v>
      </c>
      <c r="K52" s="40">
        <f>K50*$N$11</f>
        <v>6.3708265001837905E-2</v>
      </c>
      <c r="L52" s="37" t="s">
        <v>60</v>
      </c>
      <c r="M52" s="37"/>
      <c r="N52" s="37"/>
      <c r="O52" s="37"/>
      <c r="P52" s="37"/>
    </row>
    <row r="53" spans="1:16" x14ac:dyDescent="0.35">
      <c r="A53" s="37" t="s">
        <v>20</v>
      </c>
      <c r="B53" s="41">
        <f>B3</f>
        <v>8.1965722739563184E-4</v>
      </c>
      <c r="C53" s="37" t="s">
        <v>6</v>
      </c>
      <c r="D53" s="39">
        <f>D3</f>
        <v>27.777777777777779</v>
      </c>
      <c r="E53" s="42" t="s">
        <v>28</v>
      </c>
      <c r="F53" s="41">
        <f>F51*N11</f>
        <v>1.8708182273190583</v>
      </c>
      <c r="G53" s="37" t="s">
        <v>43</v>
      </c>
      <c r="H53" s="39">
        <f>1-H54*(1-H51)</f>
        <v>0.6204818705859636</v>
      </c>
      <c r="I53" s="37"/>
      <c r="J53" s="37" t="s">
        <v>84</v>
      </c>
      <c r="K53" s="40">
        <f>K51*$N$11</f>
        <v>9.6255122410965068</v>
      </c>
      <c r="L53" s="37" t="s">
        <v>60</v>
      </c>
      <c r="M53" s="29" t="s">
        <v>112</v>
      </c>
      <c r="N53" s="34">
        <f>K61/H59</f>
        <v>1.8393615571462731</v>
      </c>
      <c r="O53" s="29"/>
      <c r="P53" s="37"/>
    </row>
    <row r="54" spans="1:16" x14ac:dyDescent="0.35">
      <c r="A54" s="37" t="s">
        <v>93</v>
      </c>
      <c r="B54" s="41">
        <f>(B53+B51)/2</f>
        <v>9.0982861369781599E-4</v>
      </c>
      <c r="C54" s="37"/>
      <c r="D54" s="37"/>
      <c r="E54" s="37" t="s">
        <v>48</v>
      </c>
      <c r="F54" s="41">
        <f>B51/B53</f>
        <v>1.2200221831476883</v>
      </c>
      <c r="G54" s="37" t="s">
        <v>37</v>
      </c>
      <c r="H54" s="39">
        <v>0.8</v>
      </c>
      <c r="I54" s="37"/>
      <c r="J54" s="37" t="s">
        <v>75</v>
      </c>
      <c r="K54" s="41">
        <f>H64/$N$15</f>
        <v>2.2954589965789293E-5</v>
      </c>
      <c r="L54" s="37" t="s">
        <v>58</v>
      </c>
      <c r="M54" s="29" t="s">
        <v>113</v>
      </c>
      <c r="N54" s="34">
        <f>K60/H60</f>
        <v>6.3009684254044128E-3</v>
      </c>
      <c r="O54" s="29"/>
      <c r="P54" s="37"/>
    </row>
    <row r="55" spans="1:16" x14ac:dyDescent="0.35">
      <c r="A55" s="37" t="s">
        <v>94</v>
      </c>
      <c r="B55" s="41">
        <f>(B53+B52)/2</f>
        <v>4.1032861369781593E-4</v>
      </c>
      <c r="C55" s="37"/>
      <c r="D55" s="37"/>
      <c r="E55" s="37"/>
      <c r="F55" s="37"/>
      <c r="G55" s="37" t="s">
        <v>38</v>
      </c>
      <c r="H55" s="39">
        <f>D52/(H50-1)</f>
        <v>87.095131922638416</v>
      </c>
      <c r="I55" s="37" t="s">
        <v>18</v>
      </c>
      <c r="J55" s="37" t="s">
        <v>77</v>
      </c>
      <c r="K55" s="41">
        <f>SQRT(4*K54/$N$16)</f>
        <v>5.4075424991382511E-3</v>
      </c>
      <c r="L55" s="37" t="s">
        <v>60</v>
      </c>
      <c r="M55" s="29" t="s">
        <v>115</v>
      </c>
      <c r="N55" s="34">
        <f>N53*H59*$N$19/N21</f>
        <v>2.0437793964238651</v>
      </c>
      <c r="O55" s="29" t="s">
        <v>65</v>
      </c>
      <c r="P55" s="37"/>
    </row>
    <row r="56" spans="1:16" x14ac:dyDescent="0.35">
      <c r="A56" s="29" t="s">
        <v>110</v>
      </c>
      <c r="B56" s="29">
        <f>B54*6+(1-B54)*4</f>
        <v>4.0018196572273954</v>
      </c>
      <c r="C56" s="37"/>
      <c r="D56" s="37"/>
      <c r="E56" s="37"/>
      <c r="F56" s="37"/>
      <c r="G56" s="37" t="s">
        <v>39</v>
      </c>
      <c r="H56" s="39">
        <f>D51/(1-H51)</f>
        <v>12.991177575248379</v>
      </c>
      <c r="I56" s="37" t="s">
        <v>18</v>
      </c>
      <c r="J56" s="37" t="s">
        <v>76</v>
      </c>
      <c r="K56" s="41">
        <f>H63/$N$15</f>
        <v>2.9726118291938943E-4</v>
      </c>
      <c r="L56" s="37" t="s">
        <v>58</v>
      </c>
      <c r="M56" s="29" t="s">
        <v>114</v>
      </c>
      <c r="N56" s="34">
        <f>N54*H60*$N$19/N21</f>
        <v>1.0445693575350241E-3</v>
      </c>
      <c r="O56" s="29" t="s">
        <v>65</v>
      </c>
      <c r="P56" s="37"/>
    </row>
    <row r="57" spans="1:16" x14ac:dyDescent="0.35">
      <c r="A57" s="29" t="s">
        <v>111</v>
      </c>
      <c r="B57" s="29">
        <f>B55*6+(1-B55)*4</f>
        <v>4.0008206572273952</v>
      </c>
      <c r="C57" s="37"/>
      <c r="D57" s="37"/>
      <c r="E57" s="37"/>
      <c r="F57" s="37"/>
      <c r="G57" s="37" t="s">
        <v>40</v>
      </c>
      <c r="H57" s="39">
        <f>H55/H54</f>
        <v>108.86891490329802</v>
      </c>
      <c r="I57" s="37" t="s">
        <v>18</v>
      </c>
      <c r="J57" s="37" t="s">
        <v>78</v>
      </c>
      <c r="K57" s="41">
        <f>SQRT(4*K56/$N$16)</f>
        <v>1.945961628962271E-2</v>
      </c>
      <c r="L57" s="37" t="s">
        <v>60</v>
      </c>
      <c r="M57" s="29" t="s">
        <v>117</v>
      </c>
      <c r="N57" s="32">
        <f>$B$37*N55</f>
        <v>0.5119667388041782</v>
      </c>
      <c r="O57" s="37"/>
      <c r="P57" s="37"/>
    </row>
    <row r="58" spans="1:16" x14ac:dyDescent="0.35">
      <c r="A58" s="37"/>
      <c r="B58" s="37"/>
      <c r="C58" s="37"/>
      <c r="D58" s="37"/>
      <c r="E58" s="37"/>
      <c r="F58" s="37"/>
      <c r="G58" s="37" t="s">
        <v>41</v>
      </c>
      <c r="H58" s="39">
        <f>H56/H54</f>
        <v>16.238971969060472</v>
      </c>
      <c r="I58" s="37" t="s">
        <v>18</v>
      </c>
      <c r="J58" s="37" t="s">
        <v>73</v>
      </c>
      <c r="K58" s="40">
        <f>K55/$N$18</f>
        <v>1.0815084998276502E-2</v>
      </c>
      <c r="L58" s="37" t="s">
        <v>60</v>
      </c>
      <c r="M58" s="29" t="s">
        <v>118</v>
      </c>
      <c r="N58" s="32">
        <f>N56*$B$36</f>
        <v>7.7820417136359292E-4</v>
      </c>
      <c r="O58" s="37"/>
      <c r="P58" s="37"/>
    </row>
    <row r="59" spans="1:16" x14ac:dyDescent="0.35">
      <c r="A59" s="37"/>
      <c r="B59" s="37"/>
      <c r="C59" s="37"/>
      <c r="D59" s="37"/>
      <c r="E59" s="37"/>
      <c r="F59" s="37"/>
      <c r="G59" s="37" t="s">
        <v>40</v>
      </c>
      <c r="H59" s="43">
        <f>H57*B57/N19</f>
        <v>6.2223571953578015E-3</v>
      </c>
      <c r="I59" s="37" t="s">
        <v>79</v>
      </c>
      <c r="J59" s="37" t="s">
        <v>74</v>
      </c>
      <c r="K59" s="40">
        <f>K57/$N$18</f>
        <v>3.8919232579245421E-2</v>
      </c>
      <c r="L59" s="37" t="s">
        <v>60</v>
      </c>
      <c r="M59" s="29" t="s">
        <v>119</v>
      </c>
      <c r="N59" s="32">
        <f>N55*(1-$B$37)</f>
        <v>1.5318126576196869</v>
      </c>
      <c r="O59" s="37"/>
      <c r="P59" s="37"/>
    </row>
    <row r="60" spans="1:16" x14ac:dyDescent="0.35">
      <c r="A60" s="37"/>
      <c r="B60" s="37"/>
      <c r="C60" s="37"/>
      <c r="D60" s="37"/>
      <c r="E60" s="37"/>
      <c r="F60" s="37"/>
      <c r="G60" s="37" t="s">
        <v>41</v>
      </c>
      <c r="H60" s="43">
        <f>H58*B56/N19</f>
        <v>9.2836338912786933E-4</v>
      </c>
      <c r="I60" s="37" t="s">
        <v>79</v>
      </c>
      <c r="J60" s="37" t="s">
        <v>81</v>
      </c>
      <c r="K60" s="37">
        <f>K52*$N$16*K58*K58/4</f>
        <v>5.8495884021961346E-6</v>
      </c>
      <c r="L60" s="37" t="s">
        <v>62</v>
      </c>
      <c r="M60" s="29" t="s">
        <v>120</v>
      </c>
      <c r="N60" s="32">
        <f>N56*(1-$B$36)</f>
        <v>2.6636518617143115E-4</v>
      </c>
      <c r="O60" s="37"/>
      <c r="P60" s="37"/>
    </row>
    <row r="61" spans="1:16" x14ac:dyDescent="0.35">
      <c r="A61" s="37"/>
      <c r="B61" s="37"/>
      <c r="C61" s="37"/>
      <c r="D61" s="37"/>
      <c r="E61" s="37"/>
      <c r="F61" s="37"/>
      <c r="G61" s="37" t="s">
        <v>44</v>
      </c>
      <c r="H61" s="39">
        <f>H52*H57</f>
        <v>130.48370841577099</v>
      </c>
      <c r="I61" s="37" t="s">
        <v>18</v>
      </c>
      <c r="J61" s="37" t="s">
        <v>82</v>
      </c>
      <c r="K61" s="37">
        <f>K53*$N$16*K59*K59/4</f>
        <v>1.1445164619973643E-2</v>
      </c>
      <c r="L61" s="37" t="s">
        <v>62</v>
      </c>
      <c r="M61" s="37"/>
      <c r="N61" s="37"/>
      <c r="O61" s="37"/>
      <c r="P61" s="37"/>
    </row>
    <row r="62" spans="1:16" x14ac:dyDescent="0.35">
      <c r="A62" s="37"/>
      <c r="B62" s="37"/>
      <c r="C62" s="37"/>
      <c r="D62" s="37"/>
      <c r="E62" s="37"/>
      <c r="F62" s="37"/>
      <c r="G62" s="37" t="s">
        <v>45</v>
      </c>
      <c r="H62" s="39">
        <f>H53*H58</f>
        <v>10.07598770375567</v>
      </c>
      <c r="I62" s="37" t="s">
        <v>18</v>
      </c>
      <c r="J62" s="37" t="s">
        <v>85</v>
      </c>
      <c r="K62" s="37">
        <f>K60*N17</f>
        <v>3.883163044069088E-3</v>
      </c>
      <c r="L62" s="37" t="s">
        <v>65</v>
      </c>
      <c r="M62" s="37" t="s">
        <v>96</v>
      </c>
      <c r="N62" s="43">
        <f>N14*K60/2/$N$12/$N$13</f>
        <v>1.7831213744059066E-3</v>
      </c>
      <c r="O62" s="37" t="s">
        <v>95</v>
      </c>
      <c r="P62" s="37"/>
    </row>
    <row r="63" spans="1:16" x14ac:dyDescent="0.35">
      <c r="A63" s="37"/>
      <c r="B63" s="37"/>
      <c r="C63" s="37"/>
      <c r="D63" s="37"/>
      <c r="E63" s="37"/>
      <c r="F63" s="37"/>
      <c r="G63" s="37" t="s">
        <v>44</v>
      </c>
      <c r="H63" s="43">
        <f>(H61*$N$12*$N$13/$N$14)/3600</f>
        <v>5.9452236583877888E-5</v>
      </c>
      <c r="I63" s="37" t="s">
        <v>79</v>
      </c>
      <c r="J63" s="37" t="s">
        <v>86</v>
      </c>
      <c r="K63" s="37">
        <f>K61*N17</f>
        <v>7.5977038433820567</v>
      </c>
      <c r="L63" s="37" t="s">
        <v>65</v>
      </c>
      <c r="M63" s="37" t="s">
        <v>97</v>
      </c>
      <c r="N63" s="40">
        <f>N14*K61/2/$N$12/$N$13</f>
        <v>3.488812590610197</v>
      </c>
      <c r="O63" s="37" t="s">
        <v>95</v>
      </c>
      <c r="P63" s="37"/>
    </row>
    <row r="64" spans="1:16" x14ac:dyDescent="0.35">
      <c r="A64" s="37"/>
      <c r="B64" s="37"/>
      <c r="C64" s="37"/>
      <c r="D64" s="37"/>
      <c r="E64" s="37"/>
      <c r="F64" s="37"/>
      <c r="G64" s="37" t="s">
        <v>45</v>
      </c>
      <c r="H64" s="43">
        <f>(H62*$N$12*$N$13/$N$14)/3600</f>
        <v>4.5909179931578589E-6</v>
      </c>
      <c r="I64" s="37" t="s">
        <v>79</v>
      </c>
      <c r="J64" s="37" t="s">
        <v>87</v>
      </c>
      <c r="K64" s="44">
        <f>K62*6/(4+6+4/B54)</f>
        <v>5.2874924938080071E-6</v>
      </c>
      <c r="L64" s="37" t="s">
        <v>65</v>
      </c>
      <c r="M64" s="37" t="s">
        <v>98</v>
      </c>
      <c r="N64" s="43">
        <f>N62*B54*6</f>
        <v>9.7340090887840216E-6</v>
      </c>
      <c r="O64" s="37" t="s">
        <v>65</v>
      </c>
      <c r="P64" s="37">
        <f>N64/K64</f>
        <v>1.84094995882891</v>
      </c>
    </row>
    <row r="65" spans="1:16" x14ac:dyDescent="0.35">
      <c r="A65" s="37"/>
      <c r="B65" s="37"/>
      <c r="C65" s="37"/>
      <c r="D65" s="37"/>
      <c r="E65" s="37"/>
      <c r="F65" s="37"/>
      <c r="G65" s="37"/>
      <c r="H65" s="37"/>
      <c r="I65" s="37"/>
      <c r="J65" s="37" t="s">
        <v>88</v>
      </c>
      <c r="K65" s="44">
        <f>K63*6/(4+6+4/B55)</f>
        <v>4.6715407609016569E-3</v>
      </c>
      <c r="L65" s="37" t="s">
        <v>65</v>
      </c>
      <c r="M65" s="37" t="s">
        <v>99</v>
      </c>
      <c r="N65" s="43">
        <f>N63*B55*6</f>
        <v>8.5893578025394088E-3</v>
      </c>
      <c r="O65" s="37" t="s">
        <v>65</v>
      </c>
      <c r="P65" s="37">
        <f>N65/K65</f>
        <v>1.8386562896823728</v>
      </c>
    </row>
    <row r="66" spans="1:16" x14ac:dyDescent="0.35">
      <c r="A66" s="37"/>
      <c r="B66" s="37"/>
      <c r="C66" s="37"/>
      <c r="D66" s="37"/>
      <c r="E66" s="37"/>
      <c r="F66" s="37"/>
      <c r="G66" s="37"/>
      <c r="H66" s="37"/>
      <c r="I66" s="37"/>
      <c r="J66" s="37" t="s">
        <v>89</v>
      </c>
      <c r="K66" s="42">
        <f>4*K64/6*(1+1/B54)</f>
        <v>3.8778755515752801E-3</v>
      </c>
      <c r="L66" s="37" t="s">
        <v>65</v>
      </c>
      <c r="M66" s="37" t="s">
        <v>100</v>
      </c>
      <c r="N66" s="40">
        <f>N62*4*(1-B54)</f>
        <v>7.1259961582311035E-3</v>
      </c>
      <c r="O66" s="37"/>
      <c r="P66" s="37"/>
    </row>
    <row r="67" spans="1:16" x14ac:dyDescent="0.35">
      <c r="A67" s="37"/>
      <c r="B67" s="37"/>
      <c r="C67" s="37"/>
      <c r="D67" s="37"/>
      <c r="E67" s="37"/>
      <c r="F67" s="37"/>
      <c r="G67" s="37"/>
      <c r="H67" s="37"/>
      <c r="I67" s="37"/>
      <c r="J67" s="37" t="s">
        <v>90</v>
      </c>
      <c r="K67" s="40">
        <f>4*K65/6*(1+1/B55)</f>
        <v>7.5930323026211557</v>
      </c>
      <c r="L67" s="37" t="s">
        <v>65</v>
      </c>
      <c r="M67" s="37" t="s">
        <v>101</v>
      </c>
      <c r="N67" s="40">
        <f>N63*4*(1-B55)</f>
        <v>13.949524123905762</v>
      </c>
      <c r="O67" s="37"/>
      <c r="P67" s="37"/>
    </row>
    <row r="68" spans="1:16" x14ac:dyDescent="0.35">
      <c r="M68" s="12" t="s">
        <v>102</v>
      </c>
      <c r="N68" s="13">
        <f>N64+N65+K64+K65+N57+N58</f>
        <v>0.52602086304056539</v>
      </c>
    </row>
    <row r="69" spans="1:16" x14ac:dyDescent="0.35">
      <c r="M69" s="2" t="s">
        <v>103</v>
      </c>
      <c r="N69" s="11">
        <f>N66+N67+K66+K67+N59+N60</f>
        <v>23.085639321042581</v>
      </c>
    </row>
    <row r="71" spans="1:16" x14ac:dyDescent="0.35">
      <c r="M71" s="2" t="s">
        <v>106</v>
      </c>
      <c r="N71" s="11">
        <f>N50+N68</f>
        <v>6.9587630375312797</v>
      </c>
    </row>
    <row r="72" spans="1:16" x14ac:dyDescent="0.35">
      <c r="M72" s="2" t="s">
        <v>107</v>
      </c>
      <c r="N72" s="11">
        <f>N51+N69</f>
        <v>35.17022687852554</v>
      </c>
    </row>
    <row r="75" spans="1:16" x14ac:dyDescent="0.35">
      <c r="A75" s="54" t="s">
        <v>67</v>
      </c>
      <c r="B75" s="55"/>
      <c r="C75" s="55"/>
      <c r="D75" s="55"/>
      <c r="E75" s="55"/>
      <c r="F75" s="56"/>
    </row>
    <row r="76" spans="1:16" x14ac:dyDescent="0.35">
      <c r="A76" s="55" t="s">
        <v>121</v>
      </c>
      <c r="B76" s="55"/>
      <c r="C76" s="55"/>
      <c r="D76" s="57"/>
      <c r="E76" s="55"/>
      <c r="F76" s="56"/>
    </row>
    <row r="77" spans="1:16" x14ac:dyDescent="0.35">
      <c r="A77" s="55" t="s">
        <v>1</v>
      </c>
      <c r="B77" s="54"/>
      <c r="C77" s="55"/>
      <c r="D77" s="57"/>
      <c r="E77" s="55" t="s">
        <v>32</v>
      </c>
      <c r="F77" s="56"/>
    </row>
    <row r="78" spans="1:16" x14ac:dyDescent="0.35">
      <c r="A78" s="55" t="s">
        <v>0</v>
      </c>
      <c r="B78" s="58">
        <v>0.9</v>
      </c>
      <c r="C78" s="55" t="s">
        <v>4</v>
      </c>
      <c r="D78" s="59">
        <f>26</f>
        <v>26</v>
      </c>
      <c r="E78" s="55" t="s">
        <v>22</v>
      </c>
      <c r="F78" s="56"/>
    </row>
    <row r="79" spans="1:16" x14ac:dyDescent="0.35">
      <c r="A79" s="55" t="s">
        <v>2</v>
      </c>
      <c r="B79" s="58">
        <f>10^-3</f>
        <v>1E-3</v>
      </c>
      <c r="C79" s="55" t="s">
        <v>5</v>
      </c>
      <c r="D79" s="57">
        <f>D80-D78</f>
        <v>20.84168336673347</v>
      </c>
      <c r="E79" s="55" t="s">
        <v>34</v>
      </c>
      <c r="F79" s="56"/>
    </row>
    <row r="80" spans="1:16" x14ac:dyDescent="0.35">
      <c r="A80" s="55" t="s">
        <v>70</v>
      </c>
      <c r="B80" s="58">
        <v>0.5</v>
      </c>
      <c r="C80" s="55" t="s">
        <v>6</v>
      </c>
      <c r="D80" s="57">
        <f>D78*(B78-B79)/(B80-B79)</f>
        <v>46.84168336673347</v>
      </c>
      <c r="E80" s="60" t="s">
        <v>28</v>
      </c>
      <c r="F80" s="56"/>
    </row>
    <row r="81" spans="1:6" x14ac:dyDescent="0.35">
      <c r="A81" s="55"/>
      <c r="B81" s="61"/>
      <c r="C81" s="55"/>
      <c r="D81" s="55"/>
      <c r="E81" s="55" t="s">
        <v>48</v>
      </c>
      <c r="F81" s="56"/>
    </row>
    <row r="82" spans="1:6" ht="17.5" x14ac:dyDescent="0.45">
      <c r="A82" s="55" t="s">
        <v>129</v>
      </c>
      <c r="B82" s="61">
        <f>B78/B79</f>
        <v>900</v>
      </c>
      <c r="C82" s="55"/>
      <c r="D82" s="55"/>
      <c r="E82" s="55"/>
      <c r="F82" s="56"/>
    </row>
    <row r="83" spans="1:6" x14ac:dyDescent="0.35">
      <c r="A83" s="55" t="s">
        <v>122</v>
      </c>
      <c r="B83" s="55">
        <f>B78*D78/(B80*D80)</f>
        <v>0.99911012235817576</v>
      </c>
      <c r="C83" s="55"/>
      <c r="D83" s="55"/>
      <c r="E83" s="55"/>
      <c r="F83" s="56"/>
    </row>
    <row r="84" spans="1:6" x14ac:dyDescent="0.35">
      <c r="A84" s="62" t="s">
        <v>123</v>
      </c>
      <c r="B84" s="55"/>
      <c r="C84" s="55"/>
      <c r="D84" s="55"/>
      <c r="E84" s="55"/>
      <c r="F84" s="56"/>
    </row>
    <row r="85" spans="1:6" ht="18.5" x14ac:dyDescent="0.45">
      <c r="A85" s="63" t="s">
        <v>130</v>
      </c>
      <c r="B85" s="55">
        <f>B82^(1/2)</f>
        <v>30</v>
      </c>
      <c r="C85" s="55"/>
      <c r="D85" s="55"/>
      <c r="E85" s="55"/>
      <c r="F85" s="56"/>
    </row>
    <row r="86" spans="1:6" ht="17.5" x14ac:dyDescent="0.45">
      <c r="A86" s="63" t="s">
        <v>131</v>
      </c>
      <c r="B86" s="56">
        <f>B85*B79</f>
        <v>0.03</v>
      </c>
      <c r="C86" s="56"/>
      <c r="D86" s="56"/>
      <c r="E86" s="56"/>
      <c r="F86" s="56"/>
    </row>
    <row r="87" spans="1:6" x14ac:dyDescent="0.35">
      <c r="A87" s="56" t="s">
        <v>124</v>
      </c>
      <c r="B87" s="56">
        <f>1/B85</f>
        <v>3.3333333333333333E-2</v>
      </c>
      <c r="C87" s="56"/>
      <c r="D87" s="56"/>
      <c r="E87" s="56"/>
      <c r="F87" s="56"/>
    </row>
    <row r="88" spans="1:6" ht="17.5" x14ac:dyDescent="0.35">
      <c r="A88" s="62" t="s">
        <v>132</v>
      </c>
      <c r="B88" s="56">
        <f>D78*B78/(B83*B79)</f>
        <v>23420.841683366736</v>
      </c>
      <c r="C88" s="56"/>
      <c r="D88" s="56"/>
      <c r="E88" s="56"/>
      <c r="F88" s="56"/>
    </row>
    <row r="89" spans="1:6" x14ac:dyDescent="0.35">
      <c r="A89" s="56" t="s">
        <v>128</v>
      </c>
      <c r="B89" s="56">
        <f>D78*B78/(B83*B86)</f>
        <v>780.69472277889122</v>
      </c>
      <c r="C89" s="56"/>
      <c r="D89" s="56"/>
      <c r="E89" s="56"/>
      <c r="F89" s="56"/>
    </row>
    <row r="90" spans="1:6" x14ac:dyDescent="0.35">
      <c r="A90" s="56" t="s">
        <v>126</v>
      </c>
      <c r="B90" s="56">
        <v>0.8</v>
      </c>
      <c r="C90" s="56"/>
      <c r="D90" s="56"/>
      <c r="E90" s="56"/>
      <c r="F90" s="56"/>
    </row>
    <row r="91" spans="1:6" x14ac:dyDescent="0.35">
      <c r="A91" s="62" t="s">
        <v>125</v>
      </c>
      <c r="B91" s="56"/>
      <c r="C91" s="56"/>
      <c r="D91" s="56"/>
      <c r="E91" s="56"/>
      <c r="F91" s="56"/>
    </row>
    <row r="92" spans="1:6" ht="17.5" x14ac:dyDescent="0.45">
      <c r="A92" s="63" t="s">
        <v>133</v>
      </c>
      <c r="B92" s="56">
        <f>(B85/B90)-1</f>
        <v>36.5</v>
      </c>
      <c r="C92" s="56"/>
      <c r="D92" s="56"/>
      <c r="E92" s="56"/>
      <c r="F92" s="56"/>
    </row>
    <row r="93" spans="1:6" x14ac:dyDescent="0.35">
      <c r="A93" s="56" t="s">
        <v>127</v>
      </c>
      <c r="B93" s="56">
        <f>1/B92</f>
        <v>2.7397260273972601E-2</v>
      </c>
      <c r="C93" s="56"/>
      <c r="D93" s="56"/>
      <c r="E93" s="56"/>
      <c r="F93" s="56"/>
    </row>
    <row r="94" spans="1:6" ht="22.5" x14ac:dyDescent="0.55000000000000004">
      <c r="A94" s="64" t="s">
        <v>135</v>
      </c>
      <c r="B94" s="56">
        <f>1 - ($B$83/$B$82)</f>
        <v>0.99888987764182424</v>
      </c>
      <c r="C94" s="56"/>
      <c r="D94" s="56"/>
      <c r="E94" s="56"/>
      <c r="F94" s="56"/>
    </row>
    <row r="95" spans="1:6" ht="22.5" x14ac:dyDescent="0.55000000000000004">
      <c r="A95" s="64" t="s">
        <v>134</v>
      </c>
      <c r="B95" s="56">
        <f>1 - ($B$83/$B$82/B87)</f>
        <v>0.96669632925472748</v>
      </c>
      <c r="C95" s="56"/>
      <c r="D95" s="56"/>
      <c r="E95" s="56"/>
      <c r="F95" s="56"/>
    </row>
    <row r="96" spans="1:6" x14ac:dyDescent="0.35">
      <c r="A96" s="56" t="s">
        <v>136</v>
      </c>
      <c r="B96" s="56">
        <f>B94*B88</f>
        <v>23394.841683366736</v>
      </c>
      <c r="C96" s="56"/>
      <c r="D96" s="56"/>
      <c r="E96" s="56"/>
      <c r="F96" s="56"/>
    </row>
    <row r="97" spans="1:6" x14ac:dyDescent="0.35">
      <c r="A97" s="56" t="s">
        <v>137</v>
      </c>
      <c r="B97" s="56">
        <f>B95*B89</f>
        <v>754.69472277889122</v>
      </c>
      <c r="C97" s="56"/>
      <c r="D97" s="56"/>
      <c r="E97" s="56"/>
      <c r="F97" s="56"/>
    </row>
    <row r="98" spans="1:6" x14ac:dyDescent="0.35">
      <c r="A98" s="56"/>
      <c r="B98" s="56"/>
      <c r="C98" s="56"/>
      <c r="D98" s="56"/>
      <c r="E98" s="56"/>
      <c r="F98" s="56"/>
    </row>
    <row r="99" spans="1:6" x14ac:dyDescent="0.35">
      <c r="A99" s="56"/>
      <c r="B99" s="56"/>
      <c r="C99" s="56"/>
      <c r="D99" s="56"/>
      <c r="E99" s="56"/>
      <c r="F99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zoomScale="85" zoomScaleNormal="85" workbookViewId="0">
      <selection activeCell="J69" sqref="J69"/>
    </sheetView>
  </sheetViews>
  <sheetFormatPr defaultColWidth="11" defaultRowHeight="15.5" x14ac:dyDescent="0.35"/>
  <cols>
    <col min="1" max="1" width="37.08203125" customWidth="1"/>
    <col min="2" max="2" width="12.08203125" style="65" customWidth="1"/>
    <col min="3" max="4" width="11.58203125" customWidth="1"/>
    <col min="5" max="5" width="13.5" customWidth="1"/>
    <col min="6" max="6" width="12.83203125" customWidth="1"/>
    <col min="7" max="7" width="21" customWidth="1"/>
    <col min="8" max="8" width="11" bestFit="1" customWidth="1"/>
    <col min="10" max="10" width="12.5" bestFit="1" customWidth="1"/>
    <col min="11" max="11" width="11" bestFit="1" customWidth="1"/>
    <col min="13" max="13" width="32" customWidth="1"/>
    <col min="14" max="14" width="12.5" bestFit="1" customWidth="1"/>
  </cols>
  <sheetData>
    <row r="2" spans="1:15" x14ac:dyDescent="0.35">
      <c r="A2" t="s">
        <v>138</v>
      </c>
      <c r="B2" s="78">
        <f>'[1]баланс тритий'!$B$202+'[1]баланс дейтерий'!$B$202</f>
        <v>1.5488804739309392E+22</v>
      </c>
      <c r="C2" t="s">
        <v>139</v>
      </c>
      <c r="F2" s="78"/>
      <c r="G2" t="s">
        <v>139</v>
      </c>
      <c r="M2" t="s">
        <v>10</v>
      </c>
      <c r="N2">
        <f>LN(2)/(4500*24*3600)</f>
        <v>1.782785958230312E-9</v>
      </c>
    </row>
    <row r="3" spans="1:15" x14ac:dyDescent="0.35">
      <c r="B3" s="80">
        <f>B2*(1/2*1.38E-23*300)</f>
        <v>32.061825810370443</v>
      </c>
      <c r="C3" s="79" t="s">
        <v>185</v>
      </c>
      <c r="F3" s="80">
        <f>F2*(1/2*1.38E-23*300)</f>
        <v>0</v>
      </c>
      <c r="G3" s="79" t="s">
        <v>185</v>
      </c>
      <c r="M3" t="s">
        <v>11</v>
      </c>
      <c r="N3">
        <f>6.02214076*10^23</f>
        <v>6.0221407599999999E+23</v>
      </c>
    </row>
    <row r="4" spans="1:15" x14ac:dyDescent="0.35">
      <c r="B4" s="73">
        <f>B3/101325/0.0224</f>
        <v>1.4126143690022578E-2</v>
      </c>
      <c r="C4" t="s">
        <v>140</v>
      </c>
      <c r="E4" s="65"/>
      <c r="F4" s="73">
        <f>F3/101325/0.0224</f>
        <v>0</v>
      </c>
      <c r="G4" t="s">
        <v>140</v>
      </c>
      <c r="M4" t="s">
        <v>12</v>
      </c>
      <c r="N4">
        <v>22</v>
      </c>
    </row>
    <row r="5" spans="1:15" x14ac:dyDescent="0.35">
      <c r="B5" s="80">
        <f>B4*3600</f>
        <v>50.854117284081283</v>
      </c>
      <c r="C5" t="s">
        <v>18</v>
      </c>
      <c r="F5" s="80">
        <f>F4*3600</f>
        <v>0</v>
      </c>
      <c r="G5" t="s">
        <v>18</v>
      </c>
      <c r="M5" t="s">
        <v>13</v>
      </c>
      <c r="N5">
        <f>10^10</f>
        <v>10000000000</v>
      </c>
    </row>
    <row r="6" spans="1:15" x14ac:dyDescent="0.35">
      <c r="B6" s="68">
        <f>B16/(3600/101325/0.0224)</f>
        <v>32.152649988231047</v>
      </c>
      <c r="C6" s="79" t="s">
        <v>185</v>
      </c>
      <c r="M6" t="s">
        <v>14</v>
      </c>
      <c r="N6">
        <f>N5*N4/N2/N3/2</f>
        <v>1.0245722238604596E-4</v>
      </c>
    </row>
    <row r="7" spans="1:15" x14ac:dyDescent="0.35">
      <c r="A7" s="87" t="s">
        <v>146</v>
      </c>
      <c r="B7" s="87"/>
      <c r="C7" s="87"/>
      <c r="D7" s="87" t="s">
        <v>147</v>
      </c>
      <c r="E7" s="87"/>
      <c r="F7" s="86" t="s">
        <v>148</v>
      </c>
      <c r="G7" s="86"/>
      <c r="I7" s="70"/>
      <c r="M7" t="s">
        <v>15</v>
      </c>
      <c r="N7">
        <f>1.3*10^6</f>
        <v>1300000</v>
      </c>
    </row>
    <row r="8" spans="1:15" x14ac:dyDescent="0.35">
      <c r="A8" t="s">
        <v>1</v>
      </c>
      <c r="M8" t="s">
        <v>16</v>
      </c>
      <c r="N8">
        <f>N6/N7</f>
        <v>7.8813247989266128E-11</v>
      </c>
    </row>
    <row r="9" spans="1:15" x14ac:dyDescent="0.35">
      <c r="A9" t="s">
        <v>0</v>
      </c>
      <c r="B9" s="77">
        <v>0.99</v>
      </c>
      <c r="C9" s="65" t="s">
        <v>19</v>
      </c>
      <c r="D9" s="75">
        <f>B11</f>
        <v>0.5</v>
      </c>
      <c r="E9" s="65" t="s">
        <v>19</v>
      </c>
      <c r="F9" s="75">
        <f>B11</f>
        <v>0.5</v>
      </c>
      <c r="G9" s="65" t="s">
        <v>19</v>
      </c>
      <c r="M9" t="s">
        <v>23</v>
      </c>
      <c r="N9">
        <v>1.248</v>
      </c>
    </row>
    <row r="10" spans="1:15" x14ac:dyDescent="0.35">
      <c r="A10" t="s">
        <v>2</v>
      </c>
      <c r="B10" s="74">
        <f>D11</f>
        <v>8.1965722739563184E-4</v>
      </c>
      <c r="C10" s="65" t="s">
        <v>19</v>
      </c>
      <c r="D10" s="65">
        <f>10^-9</f>
        <v>1.0000000000000001E-9</v>
      </c>
      <c r="E10" s="65" t="s">
        <v>19</v>
      </c>
      <c r="F10" s="74">
        <f>D11</f>
        <v>8.1965722739563184E-4</v>
      </c>
      <c r="G10" s="65" t="s">
        <v>19</v>
      </c>
      <c r="M10" t="s">
        <v>142</v>
      </c>
      <c r="N10">
        <f>N9-1</f>
        <v>0.248</v>
      </c>
    </row>
    <row r="11" spans="1:15" x14ac:dyDescent="0.35">
      <c r="A11" t="s">
        <v>181</v>
      </c>
      <c r="B11" s="75">
        <f>'[2]параметры для расчета'!$C$22%</f>
        <v>0.5</v>
      </c>
      <c r="C11" s="65" t="s">
        <v>19</v>
      </c>
      <c r="D11" s="81">
        <f>N35</f>
        <v>8.1965722739563184E-4</v>
      </c>
      <c r="E11" s="65" t="s">
        <v>19</v>
      </c>
      <c r="F11" s="75">
        <v>0.05</v>
      </c>
      <c r="G11" s="65" t="s">
        <v>19</v>
      </c>
      <c r="M11" t="s">
        <v>179</v>
      </c>
      <c r="N11">
        <v>1.4</v>
      </c>
    </row>
    <row r="12" spans="1:15" x14ac:dyDescent="0.35">
      <c r="A12" t="s">
        <v>163</v>
      </c>
      <c r="B12" s="67">
        <f>(B9+B11)/2</f>
        <v>0.745</v>
      </c>
      <c r="C12" s="65" t="s">
        <v>19</v>
      </c>
      <c r="D12" s="67">
        <f>(D9+D11)/2</f>
        <v>0.25040982861369782</v>
      </c>
      <c r="E12" s="65" t="s">
        <v>19</v>
      </c>
      <c r="F12" s="67">
        <f>(F9+F11)/2</f>
        <v>0.27500000000000002</v>
      </c>
      <c r="G12" s="65" t="s">
        <v>19</v>
      </c>
      <c r="M12" t="s">
        <v>180</v>
      </c>
      <c r="N12">
        <f>N11-1</f>
        <v>0.39999999999999991</v>
      </c>
    </row>
    <row r="13" spans="1:15" x14ac:dyDescent="0.35">
      <c r="A13" t="s">
        <v>162</v>
      </c>
      <c r="B13" s="67">
        <f>(B10+B11)/2</f>
        <v>0.25040982861369782</v>
      </c>
      <c r="C13" s="65" t="s">
        <v>19</v>
      </c>
      <c r="D13" s="69">
        <f>(D10+D11)/2</f>
        <v>4.0982911369781593E-4</v>
      </c>
      <c r="E13" s="65" t="s">
        <v>19</v>
      </c>
      <c r="F13" s="67">
        <f>(F10+F11)/2</f>
        <v>2.5409828613697817E-2</v>
      </c>
      <c r="G13" s="65" t="s">
        <v>19</v>
      </c>
      <c r="M13" t="s">
        <v>27</v>
      </c>
      <c r="N13">
        <v>0.06</v>
      </c>
      <c r="O13" t="s">
        <v>60</v>
      </c>
    </row>
    <row r="14" spans="1:15" x14ac:dyDescent="0.35">
      <c r="A14" t="s">
        <v>182</v>
      </c>
      <c r="B14" s="75">
        <f>B16*((B11-B10)/(B9-B10))</f>
        <v>25.735738816828466</v>
      </c>
      <c r="C14" t="s">
        <v>18</v>
      </c>
      <c r="D14" s="65">
        <f>D16*(D11-D10)/(D9-D10)</f>
        <v>4.5536457168608026E-2</v>
      </c>
      <c r="E14" t="s">
        <v>18</v>
      </c>
      <c r="F14" s="65">
        <f>F16*(F11-F10)/(F9-F10)</f>
        <v>9.8522194402610702E-2</v>
      </c>
      <c r="G14" t="s">
        <v>18</v>
      </c>
      <c r="M14" t="s">
        <v>52</v>
      </c>
      <c r="N14">
        <v>8.31</v>
      </c>
    </row>
    <row r="15" spans="1:15" x14ac:dyDescent="0.35">
      <c r="A15" t="s">
        <v>183</v>
      </c>
      <c r="B15" s="76">
        <f>B16-B14</f>
        <v>25.262437118824039</v>
      </c>
      <c r="C15" t="s">
        <v>18</v>
      </c>
      <c r="D15" s="65">
        <f>D16-D14</f>
        <v>27.73224132060917</v>
      </c>
      <c r="E15" t="s">
        <v>18</v>
      </c>
      <c r="F15" s="65">
        <f>F16-F14</f>
        <v>0.90147780559738933</v>
      </c>
      <c r="G15" t="s">
        <v>18</v>
      </c>
      <c r="M15" t="s">
        <v>53</v>
      </c>
      <c r="N15">
        <v>20</v>
      </c>
    </row>
    <row r="16" spans="1:15" x14ac:dyDescent="0.35">
      <c r="A16" t="s">
        <v>184</v>
      </c>
      <c r="B16" s="67">
        <f>B5+D14+F14</f>
        <v>50.998175935652505</v>
      </c>
      <c r="C16" t="s">
        <v>18</v>
      </c>
      <c r="D16" s="65">
        <f>P35</f>
        <v>27.777777777777779</v>
      </c>
      <c r="E16" t="s">
        <v>18</v>
      </c>
      <c r="F16" s="82">
        <f>1</f>
        <v>1</v>
      </c>
      <c r="G16" t="s">
        <v>18</v>
      </c>
      <c r="M16" t="s">
        <v>54</v>
      </c>
      <c r="N16">
        <f>101325</f>
        <v>101325</v>
      </c>
    </row>
    <row r="17" spans="1:15" x14ac:dyDescent="0.35">
      <c r="A17" t="s">
        <v>35</v>
      </c>
      <c r="B17" s="65">
        <f>1+$N$10*(1-B11)/(1-$N$9*(B10/B11)+$N$10*B10)</f>
        <v>1.1242289028654553</v>
      </c>
      <c r="C17" s="66" t="s">
        <v>141</v>
      </c>
      <c r="D17" s="65">
        <f>1+$N$12*(1-D11)/(1-$N$11*(D10/D11)+$N$12*D10)</f>
        <v>1.3996728196027608</v>
      </c>
      <c r="E17" s="66" t="s">
        <v>141</v>
      </c>
      <c r="F17" s="65">
        <f>1+$N$10*(1-F11)/(1-$N$9*(F10/F11)+$N$10*F10)</f>
        <v>1.2404708253992016</v>
      </c>
      <c r="G17" s="66" t="s">
        <v>141</v>
      </c>
      <c r="M17" t="s">
        <v>55</v>
      </c>
      <c r="N17">
        <v>0.2</v>
      </c>
      <c r="O17" t="s">
        <v>56</v>
      </c>
    </row>
    <row r="18" spans="1:15" x14ac:dyDescent="0.35">
      <c r="A18" t="s">
        <v>36</v>
      </c>
      <c r="B18" s="65">
        <f>1-($N$9-1)*(1-B11)/((B9*$N$9/B11)-1-(($N$9-1)*B9))</f>
        <v>0.89881846073503491</v>
      </c>
      <c r="C18" s="66" t="s">
        <v>141</v>
      </c>
      <c r="D18" s="65">
        <f>1-($N$11-1)*(1-D11)/((D9*$N$11/D11)-1-(($N$11-1)*D9))</f>
        <v>0.99953134983605307</v>
      </c>
      <c r="E18" s="66" t="s">
        <v>141</v>
      </c>
      <c r="F18" s="65">
        <f>1-($N$9-1)*(1-F11)/((F9*$N$9/F11)-1-(($N$9-1)*F9))</f>
        <v>0.97925325818950337</v>
      </c>
      <c r="G18" s="66" t="s">
        <v>141</v>
      </c>
      <c r="M18" t="s">
        <v>59</v>
      </c>
      <c r="N18">
        <v>3.14</v>
      </c>
    </row>
    <row r="19" spans="1:15" x14ac:dyDescent="0.35">
      <c r="A19" t="s">
        <v>143</v>
      </c>
      <c r="B19" s="65">
        <f>B15/(B17-1)</f>
        <v>203.35394208692509</v>
      </c>
      <c r="C19" t="s">
        <v>18</v>
      </c>
      <c r="D19" s="65">
        <f>D15/(D17-1)</f>
        <v>69.387358760529551</v>
      </c>
      <c r="E19" t="s">
        <v>18</v>
      </c>
      <c r="F19" s="65">
        <f>F15/(F17-1)</f>
        <v>3.7488032242616582</v>
      </c>
      <c r="G19" t="s">
        <v>18</v>
      </c>
    </row>
    <row r="20" spans="1:15" x14ac:dyDescent="0.35">
      <c r="A20" t="s">
        <v>144</v>
      </c>
      <c r="B20" s="65">
        <f>B14/(1-B18)</f>
        <v>254.35211802257754</v>
      </c>
      <c r="C20" t="s">
        <v>18</v>
      </c>
      <c r="D20" s="65">
        <f>D14/(1-D18)</f>
        <v>97.165136538317569</v>
      </c>
      <c r="E20" t="s">
        <v>18</v>
      </c>
      <c r="F20" s="65">
        <f>F14/(1-F18)</f>
        <v>4.7488032242616658</v>
      </c>
      <c r="G20" t="s">
        <v>18</v>
      </c>
    </row>
    <row r="21" spans="1:15" x14ac:dyDescent="0.35">
      <c r="A21" t="s">
        <v>37</v>
      </c>
      <c r="B21" s="67">
        <v>0.8</v>
      </c>
      <c r="C21" s="66" t="s">
        <v>141</v>
      </c>
      <c r="D21" s="67">
        <v>0.8</v>
      </c>
      <c r="E21" s="66" t="s">
        <v>141</v>
      </c>
      <c r="F21" s="67">
        <v>0.8</v>
      </c>
      <c r="G21" s="66" t="s">
        <v>141</v>
      </c>
      <c r="M21" t="s">
        <v>177</v>
      </c>
      <c r="N21">
        <f>0.12*100*100*100</f>
        <v>120000</v>
      </c>
      <c r="O21" t="s">
        <v>109</v>
      </c>
    </row>
    <row r="22" spans="1:15" x14ac:dyDescent="0.35">
      <c r="A22" t="s">
        <v>40</v>
      </c>
      <c r="B22" s="65">
        <f>B19/B21</f>
        <v>254.19242760865635</v>
      </c>
      <c r="C22" t="s">
        <v>18</v>
      </c>
      <c r="D22" s="65">
        <f>D19/D21</f>
        <v>86.734198450661935</v>
      </c>
      <c r="E22" t="s">
        <v>18</v>
      </c>
      <c r="F22" s="65">
        <f>F19/F21</f>
        <v>4.6860040303270729</v>
      </c>
      <c r="G22" t="s">
        <v>18</v>
      </c>
      <c r="M22" t="s">
        <v>178</v>
      </c>
      <c r="N22">
        <f>0.07*100*100*100</f>
        <v>70000.000000000015</v>
      </c>
      <c r="O22" t="s">
        <v>109</v>
      </c>
    </row>
    <row r="23" spans="1:15" x14ac:dyDescent="0.35">
      <c r="A23" t="s">
        <v>41</v>
      </c>
      <c r="B23" s="65">
        <f>B20/B21</f>
        <v>317.94014752822193</v>
      </c>
      <c r="C23" t="s">
        <v>18</v>
      </c>
      <c r="D23" s="65">
        <f>D20/D21</f>
        <v>121.45642067289695</v>
      </c>
      <c r="E23" t="s">
        <v>18</v>
      </c>
      <c r="F23" s="65">
        <f>F20/F21</f>
        <v>5.9360040303270818</v>
      </c>
      <c r="G23" t="s">
        <v>18</v>
      </c>
      <c r="M23" t="s">
        <v>116</v>
      </c>
      <c r="N23">
        <f>2/0.0224</f>
        <v>89.285714285714292</v>
      </c>
      <c r="O23" t="s">
        <v>109</v>
      </c>
    </row>
    <row r="24" spans="1:15" x14ac:dyDescent="0.35">
      <c r="A24" t="s">
        <v>42</v>
      </c>
      <c r="B24" s="65">
        <f>(B21*(B17-1))+1</f>
        <v>1.0993831222923642</v>
      </c>
      <c r="D24" s="65">
        <f>(D21*(D17-1))+1</f>
        <v>1.3197382556822086</v>
      </c>
      <c r="F24" s="65">
        <f>(F21*(F17-1))+1</f>
        <v>1.1923766603193613</v>
      </c>
      <c r="H24" s="65"/>
      <c r="N24">
        <f>0.5*N21/N23</f>
        <v>672</v>
      </c>
    </row>
    <row r="25" spans="1:15" x14ac:dyDescent="0.35">
      <c r="A25" t="s">
        <v>43</v>
      </c>
      <c r="B25" s="65">
        <f>1-B21*(1-B18)</f>
        <v>0.91905476858802793</v>
      </c>
      <c r="D25" s="65">
        <f>1-D21*(1-D18)</f>
        <v>0.99962507986884241</v>
      </c>
      <c r="F25" s="65">
        <f>1-F21*(1-F18)</f>
        <v>0.98340260655160272</v>
      </c>
      <c r="M25" t="s">
        <v>151</v>
      </c>
    </row>
    <row r="26" spans="1:15" x14ac:dyDescent="0.35">
      <c r="A26" t="s">
        <v>44</v>
      </c>
      <c r="B26" s="65">
        <f>B24*B22</f>
        <v>279.45486472748036</v>
      </c>
      <c r="C26" t="s">
        <v>18</v>
      </c>
      <c r="D26" s="65">
        <f>D24*D22</f>
        <v>114.4664397712711</v>
      </c>
      <c r="E26" t="s">
        <v>18</v>
      </c>
      <c r="F26" s="65">
        <f>F24*F22</f>
        <v>5.5874818359244625</v>
      </c>
      <c r="G26" t="s">
        <v>18</v>
      </c>
      <c r="M26" t="s">
        <v>155</v>
      </c>
      <c r="N26">
        <f>2*10^-3</f>
        <v>2E-3</v>
      </c>
      <c r="O26" t="s">
        <v>60</v>
      </c>
    </row>
    <row r="27" spans="1:15" x14ac:dyDescent="0.35">
      <c r="A27" t="s">
        <v>45</v>
      </c>
      <c r="B27" s="65">
        <f>B25*B23</f>
        <v>292.20440871139346</v>
      </c>
      <c r="C27" t="s">
        <v>18</v>
      </c>
      <c r="D27" s="65">
        <f>D25*D23</f>
        <v>121.41088421572834</v>
      </c>
      <c r="E27" t="s">
        <v>18</v>
      </c>
      <c r="F27" s="65">
        <f>F25*F23</f>
        <v>5.8374818359244713</v>
      </c>
      <c r="G27" t="s">
        <v>18</v>
      </c>
      <c r="M27" t="s">
        <v>152</v>
      </c>
      <c r="N27">
        <v>0.82</v>
      </c>
    </row>
    <row r="28" spans="1:15" x14ac:dyDescent="0.35">
      <c r="A28" t="s">
        <v>44</v>
      </c>
      <c r="B28" s="65">
        <f>(B26*$N$14*$N$15/$N$16)/3600</f>
        <v>1.2732790119172966E-4</v>
      </c>
      <c r="C28" t="s">
        <v>57</v>
      </c>
      <c r="D28" s="65">
        <f>(D26*$N$14*$N$15/$N$16)/3600</f>
        <v>5.2154295281918073E-5</v>
      </c>
      <c r="E28" t="s">
        <v>57</v>
      </c>
      <c r="F28" s="65">
        <f>(F26*$N$14*$N$15/$N$16)/3600</f>
        <v>2.5458219731081113E-6</v>
      </c>
      <c r="G28" t="s">
        <v>57</v>
      </c>
      <c r="M28" t="s">
        <v>153</v>
      </c>
      <c r="N28">
        <v>3500</v>
      </c>
      <c r="O28" t="s">
        <v>154</v>
      </c>
    </row>
    <row r="29" spans="1:15" x14ac:dyDescent="0.35">
      <c r="A29" t="s">
        <v>45</v>
      </c>
      <c r="B29" s="65">
        <f>(B27*$N$14*$N$15/$N$16)/3600</f>
        <v>1.3313697049602106E-4</v>
      </c>
      <c r="C29" t="s">
        <v>57</v>
      </c>
      <c r="D29" s="65">
        <f>(D27*$N$14*$N$15/$N$16)/3600</f>
        <v>5.5318389551372233E-5</v>
      </c>
      <c r="E29" t="s">
        <v>57</v>
      </c>
      <c r="F29" s="65">
        <f>(F27*$N$14*$N$15/$N$16)/3600</f>
        <v>2.6597293668082551E-6</v>
      </c>
      <c r="G29" t="s">
        <v>57</v>
      </c>
    </row>
    <row r="30" spans="1:15" x14ac:dyDescent="0.35">
      <c r="A30" t="s">
        <v>145</v>
      </c>
      <c r="B30" s="65">
        <f>B11/B10</f>
        <v>610.01109157384417</v>
      </c>
      <c r="C30" s="66" t="s">
        <v>141</v>
      </c>
      <c r="D30" s="65">
        <f>D11/D10</f>
        <v>819657.22739563184</v>
      </c>
      <c r="E30" s="66" t="s">
        <v>141</v>
      </c>
      <c r="F30" s="65">
        <f>F11/F10</f>
        <v>61.00110915738442</v>
      </c>
      <c r="G30" s="66" t="s">
        <v>141</v>
      </c>
    </row>
    <row r="31" spans="1:15" x14ac:dyDescent="0.35">
      <c r="A31" t="s">
        <v>48</v>
      </c>
      <c r="B31" s="65">
        <f>B9/B11</f>
        <v>1.98</v>
      </c>
      <c r="C31" s="66" t="s">
        <v>141</v>
      </c>
      <c r="D31" s="65">
        <f>D9/D11</f>
        <v>610.01109157384417</v>
      </c>
      <c r="E31" s="66" t="s">
        <v>141</v>
      </c>
      <c r="F31" s="65">
        <f>F9/F11</f>
        <v>10</v>
      </c>
      <c r="G31" s="66" t="s">
        <v>141</v>
      </c>
    </row>
    <row r="32" spans="1:15" x14ac:dyDescent="0.35">
      <c r="A32" t="s">
        <v>47</v>
      </c>
      <c r="B32" s="68">
        <f>LN((B31-B21)/(1-B21))/LN($N$9/B25)</f>
        <v>5.8014110797219383</v>
      </c>
      <c r="C32" t="s">
        <v>176</v>
      </c>
      <c r="D32" s="68">
        <f>LN((D31-D21)/(1-D21))/LN($N$11/D25)</f>
        <v>23.813771038777062</v>
      </c>
      <c r="E32" t="s">
        <v>176</v>
      </c>
      <c r="F32" s="68">
        <f>LN((F31-F21)/(1-F21))/LN(N9/F25)</f>
        <v>16.067896482119355</v>
      </c>
      <c r="G32" t="s">
        <v>176</v>
      </c>
    </row>
    <row r="33" spans="1:18" x14ac:dyDescent="0.35">
      <c r="A33" s="71" t="s">
        <v>49</v>
      </c>
      <c r="B33" s="72">
        <f>LN((B30 /$N$9))/LN($N$9/B24)</f>
        <v>48.834972392550711</v>
      </c>
      <c r="C33" s="71" t="s">
        <v>176</v>
      </c>
      <c r="D33" s="72">
        <f>LN((D30 /$N$11))/LN($N$11/D24)</f>
        <v>224.93964719167138</v>
      </c>
      <c r="E33" s="71" t="s">
        <v>176</v>
      </c>
      <c r="F33" s="72">
        <f>LN((F30 /$N$9))/LN($N$9/F24)</f>
        <v>85.30442960084423</v>
      </c>
      <c r="G33" s="71" t="s">
        <v>176</v>
      </c>
      <c r="M33" s="1" t="s">
        <v>17</v>
      </c>
      <c r="N33" s="1"/>
      <c r="O33" s="1"/>
      <c r="P33" s="1"/>
      <c r="Q33" s="1"/>
      <c r="R33" s="1" t="s">
        <v>25</v>
      </c>
    </row>
    <row r="34" spans="1:18" x14ac:dyDescent="0.35">
      <c r="A34" t="s">
        <v>149</v>
      </c>
      <c r="B34" s="68">
        <f>B32*$N$13</f>
        <v>0.34808466478331629</v>
      </c>
      <c r="C34" t="s">
        <v>60</v>
      </c>
      <c r="D34" s="68">
        <f>D32*$N$13</f>
        <v>1.4288262623266237</v>
      </c>
      <c r="E34" t="s">
        <v>60</v>
      </c>
      <c r="F34" s="68">
        <f>F32*$N$13</f>
        <v>0.96407378892716133</v>
      </c>
      <c r="G34" t="s">
        <v>60</v>
      </c>
      <c r="M34" s="1" t="s">
        <v>29</v>
      </c>
      <c r="N34" s="1" t="s">
        <v>19</v>
      </c>
      <c r="O34" s="1" t="s">
        <v>30</v>
      </c>
      <c r="P34" s="1" t="s">
        <v>18</v>
      </c>
      <c r="Q34" s="1" t="s">
        <v>31</v>
      </c>
      <c r="R34" s="1"/>
    </row>
    <row r="35" spans="1:18" x14ac:dyDescent="0.35">
      <c r="A35" t="s">
        <v>150</v>
      </c>
      <c r="B35" s="68">
        <f>B33*$N$13</f>
        <v>2.9300983435530426</v>
      </c>
      <c r="C35" t="s">
        <v>60</v>
      </c>
      <c r="D35" s="68">
        <f>D33*$N$13</f>
        <v>13.496378831500282</v>
      </c>
      <c r="E35" t="s">
        <v>60</v>
      </c>
      <c r="F35" s="68">
        <f>F33*$N$13</f>
        <v>5.118265776050654</v>
      </c>
      <c r="G35" t="s">
        <v>60</v>
      </c>
      <c r="M35" s="1" t="s">
        <v>0</v>
      </c>
      <c r="N35" s="5">
        <v>8.1965722739563184E-4</v>
      </c>
      <c r="O35" s="1" t="s">
        <v>4</v>
      </c>
      <c r="P35" s="6">
        <v>27.777777777777779</v>
      </c>
      <c r="Q35" s="1" t="s">
        <v>33</v>
      </c>
      <c r="R35" s="7"/>
    </row>
    <row r="36" spans="1:18" x14ac:dyDescent="0.35">
      <c r="A36" t="s">
        <v>75</v>
      </c>
      <c r="B36" s="65">
        <f>B29/$N$17</f>
        <v>6.6568485248010532E-4</v>
      </c>
      <c r="C36" t="s">
        <v>58</v>
      </c>
      <c r="D36" s="65">
        <f>D29/$N$17</f>
        <v>2.7659194775686113E-4</v>
      </c>
      <c r="E36" t="s">
        <v>58</v>
      </c>
      <c r="F36" s="65">
        <f>F29/$N$17</f>
        <v>1.3298646834041275E-5</v>
      </c>
      <c r="G36" t="s">
        <v>58</v>
      </c>
      <c r="M36" s="1" t="s">
        <v>2</v>
      </c>
      <c r="N36" s="5">
        <v>7.8813247989266128E-11</v>
      </c>
      <c r="O36" s="1" t="s">
        <v>5</v>
      </c>
      <c r="P36" s="6">
        <v>194.44444444444446</v>
      </c>
      <c r="Q36" s="1"/>
      <c r="R36" s="1"/>
    </row>
    <row r="37" spans="1:18" x14ac:dyDescent="0.35">
      <c r="A37" t="s">
        <v>77</v>
      </c>
      <c r="B37" s="65">
        <f>SQRT(4*B36/$N$18)</f>
        <v>2.9120545693776395E-2</v>
      </c>
      <c r="C37" t="s">
        <v>60</v>
      </c>
      <c r="D37" s="65">
        <f>SQRT(4*D36/$N$18)</f>
        <v>1.877089316637643E-2</v>
      </c>
      <c r="E37" t="s">
        <v>60</v>
      </c>
      <c r="F37" s="65">
        <f>SQRT(4*F36/$N$18)</f>
        <v>4.1159386998525982E-3</v>
      </c>
      <c r="G37" t="s">
        <v>60</v>
      </c>
      <c r="M37" s="1" t="s">
        <v>3</v>
      </c>
      <c r="N37" s="5">
        <v>1.0245722238604596E-4</v>
      </c>
      <c r="O37" s="1" t="s">
        <v>6</v>
      </c>
      <c r="P37" s="6">
        <v>222.22222222222223</v>
      </c>
      <c r="Q37" s="1"/>
      <c r="R37" s="1"/>
    </row>
    <row r="38" spans="1:18" x14ac:dyDescent="0.35">
      <c r="A38" t="s">
        <v>76</v>
      </c>
      <c r="B38" s="65">
        <f>B28/$N$17</f>
        <v>6.3663950595864828E-4</v>
      </c>
      <c r="C38" t="s">
        <v>58</v>
      </c>
      <c r="D38" s="65">
        <f>D28/$N$17</f>
        <v>2.6077147640959035E-4</v>
      </c>
      <c r="E38" t="s">
        <v>58</v>
      </c>
      <c r="F38" s="65">
        <f>F28/$N$17</f>
        <v>1.2729109865540556E-5</v>
      </c>
      <c r="G38" t="s">
        <v>58</v>
      </c>
    </row>
    <row r="39" spans="1:18" x14ac:dyDescent="0.35">
      <c r="A39" t="s">
        <v>78</v>
      </c>
      <c r="B39" s="65">
        <f>SQRT(4*B38/$N$18)</f>
        <v>2.8478162512260357E-2</v>
      </c>
      <c r="C39" t="s">
        <v>60</v>
      </c>
      <c r="D39" s="65">
        <f>SQRT(4*D38/$N$18)</f>
        <v>1.8226161515225745E-2</v>
      </c>
      <c r="E39" t="s">
        <v>60</v>
      </c>
      <c r="F39" s="65">
        <f>SQRT(4*F38/$N$18)</f>
        <v>4.0268382858399511E-3</v>
      </c>
      <c r="G39" t="s">
        <v>60</v>
      </c>
    </row>
    <row r="40" spans="1:18" x14ac:dyDescent="0.35">
      <c r="A40" t="s">
        <v>73</v>
      </c>
      <c r="B40" s="65">
        <f>B37/$N$27</f>
        <v>3.5512860602166338E-2</v>
      </c>
      <c r="C40" t="s">
        <v>60</v>
      </c>
      <c r="D40" s="65">
        <f>D37/$N$27</f>
        <v>2.2891333129727354E-2</v>
      </c>
      <c r="E40" t="s">
        <v>60</v>
      </c>
      <c r="F40" s="65">
        <f>F37/$N$27</f>
        <v>5.0194374388446324E-3</v>
      </c>
      <c r="G40" t="s">
        <v>60</v>
      </c>
    </row>
    <row r="41" spans="1:18" x14ac:dyDescent="0.35">
      <c r="A41" t="s">
        <v>74</v>
      </c>
      <c r="B41" s="65">
        <f>B39/$N$27</f>
        <v>3.4729466478366292E-2</v>
      </c>
      <c r="C41" t="s">
        <v>60</v>
      </c>
      <c r="D41" s="65">
        <f>D39/$N$27</f>
        <v>2.2227026238080178E-2</v>
      </c>
      <c r="E41" t="s">
        <v>60</v>
      </c>
      <c r="F41" s="65">
        <f>F39/$N$27</f>
        <v>4.9107783973657941E-3</v>
      </c>
      <c r="G41" t="s">
        <v>60</v>
      </c>
    </row>
    <row r="42" spans="1:18" x14ac:dyDescent="0.35">
      <c r="A42" t="s">
        <v>50</v>
      </c>
      <c r="B42" s="65">
        <f>MAX(B40:B41)</f>
        <v>3.5512860602166338E-2</v>
      </c>
      <c r="C42" t="s">
        <v>60</v>
      </c>
      <c r="D42" s="65">
        <f>MAX(D40:D41)</f>
        <v>2.2891333129727354E-2</v>
      </c>
      <c r="E42" t="s">
        <v>60</v>
      </c>
      <c r="F42" s="65">
        <f>MAX(F40:F41)</f>
        <v>5.0194374388446324E-3</v>
      </c>
      <c r="G42" t="s">
        <v>60</v>
      </c>
    </row>
    <row r="43" spans="1:18" x14ac:dyDescent="0.35">
      <c r="A43" t="s">
        <v>81</v>
      </c>
      <c r="B43" s="65">
        <f>B34*$N$18*(B42/2)^2</f>
        <v>3.4460840084305308E-4</v>
      </c>
      <c r="C43" t="s">
        <v>62</v>
      </c>
      <c r="D43" s="65">
        <f>D34*$N$18*(D42/2)^2</f>
        <v>5.8774812448405211E-4</v>
      </c>
      <c r="E43" t="s">
        <v>62</v>
      </c>
      <c r="F43" s="65">
        <f>F34*$N$18*(F42/2)^2</f>
        <v>1.9067336170283121E-5</v>
      </c>
      <c r="G43" t="s">
        <v>62</v>
      </c>
    </row>
    <row r="44" spans="1:18" x14ac:dyDescent="0.35">
      <c r="A44" t="s">
        <v>82</v>
      </c>
      <c r="B44" s="65">
        <f>B35*$N$18*(B42/2)^2</f>
        <v>2.9008359363181268E-3</v>
      </c>
      <c r="C44" t="s">
        <v>62</v>
      </c>
      <c r="D44" s="65">
        <f>D35*$N$18*(D42/2)^2</f>
        <v>5.5517396024228616E-3</v>
      </c>
      <c r="E44" t="s">
        <v>62</v>
      </c>
      <c r="F44" s="65">
        <f>F35*$N$18*(F42/2)^2</f>
        <v>1.0122844877819428E-4</v>
      </c>
      <c r="G44" t="s">
        <v>62</v>
      </c>
    </row>
    <row r="45" spans="1:18" x14ac:dyDescent="0.35">
      <c r="A45" s="71" t="s">
        <v>156</v>
      </c>
      <c r="B45" s="73">
        <f>B43*0.00038/$N$26</f>
        <v>6.5475596160180079E-5</v>
      </c>
      <c r="C45" s="71" t="s">
        <v>62</v>
      </c>
      <c r="D45" s="73">
        <f>D43*0.00038/$N$26</f>
        <v>1.116721436519699E-4</v>
      </c>
      <c r="E45" s="71" t="s">
        <v>62</v>
      </c>
      <c r="F45" s="73">
        <f>F43*0.00038/$N$26</f>
        <v>3.622793872353793E-6</v>
      </c>
      <c r="G45" s="71" t="s">
        <v>62</v>
      </c>
    </row>
    <row r="46" spans="1:18" x14ac:dyDescent="0.35">
      <c r="A46" s="71" t="s">
        <v>157</v>
      </c>
      <c r="B46" s="73">
        <f>B44*0.00038/$N$26</f>
        <v>5.5115882790044411E-4</v>
      </c>
      <c r="C46" s="71" t="s">
        <v>62</v>
      </c>
      <c r="D46" s="73">
        <f>D44*0.00038/$N$26</f>
        <v>1.0548305244603437E-3</v>
      </c>
      <c r="E46" s="71" t="s">
        <v>62</v>
      </c>
      <c r="F46" s="73">
        <f>F44*0.00038/$N$26</f>
        <v>1.9233405267856915E-5</v>
      </c>
      <c r="G46" s="71" t="s">
        <v>62</v>
      </c>
    </row>
    <row r="47" spans="1:18" x14ac:dyDescent="0.35">
      <c r="A47" s="71" t="s">
        <v>156</v>
      </c>
      <c r="B47" s="72">
        <f>B45*$N$21</f>
        <v>7.8570715392216099</v>
      </c>
      <c r="C47" s="71" t="s">
        <v>65</v>
      </c>
      <c r="D47" s="72">
        <f>D45*$N$22</f>
        <v>7.8170500556378943</v>
      </c>
      <c r="E47" s="71" t="s">
        <v>65</v>
      </c>
      <c r="F47" s="72">
        <f>F45*$N$21</f>
        <v>0.43473526468245516</v>
      </c>
      <c r="G47" s="71" t="s">
        <v>65</v>
      </c>
    </row>
    <row r="48" spans="1:18" x14ac:dyDescent="0.35">
      <c r="A48" s="71" t="s">
        <v>157</v>
      </c>
      <c r="B48" s="72">
        <f>B46*$N$21</f>
        <v>66.139059348053294</v>
      </c>
      <c r="C48" s="71" t="s">
        <v>65</v>
      </c>
      <c r="D48" s="72">
        <f>D46*$N$22</f>
        <v>73.83813671222407</v>
      </c>
      <c r="E48" s="71" t="s">
        <v>65</v>
      </c>
      <c r="F48" s="72">
        <f>F46*$N$21</f>
        <v>2.3080086321428297</v>
      </c>
      <c r="G48" s="71" t="s">
        <v>65</v>
      </c>
    </row>
    <row r="49" spans="1:7" x14ac:dyDescent="0.35">
      <c r="A49" s="71" t="s">
        <v>158</v>
      </c>
      <c r="B49" s="73">
        <f>B43*41.8*($N$17/9.82/$N$26/$N$21)^0.5</f>
        <v>1.3269537169748535E-4</v>
      </c>
      <c r="C49" s="71" t="s">
        <v>62</v>
      </c>
      <c r="D49" s="73">
        <f>D43*41.8*($N$17/9.82/$N$26/$N$21)^0.5</f>
        <v>2.2631907885040586E-4</v>
      </c>
      <c r="E49" s="71" t="s">
        <v>62</v>
      </c>
      <c r="F49" s="73">
        <f>F43*41.8*($N$17/9.82/N26/N22)^0.5</f>
        <v>9.6130575307985753E-6</v>
      </c>
      <c r="G49" s="71" t="s">
        <v>62</v>
      </c>
    </row>
    <row r="50" spans="1:7" x14ac:dyDescent="0.35">
      <c r="A50" s="71" t="s">
        <v>159</v>
      </c>
      <c r="B50" s="73">
        <f>B44*41.8*($N$17/9.82/$N$26/$N$21)^0.5</f>
        <v>1.11699976512896E-3</v>
      </c>
      <c r="C50" s="71" t="s">
        <v>62</v>
      </c>
      <c r="D50" s="73">
        <f>D44*41.8*($N$17/9.82/$N$26/$N$22)^0.5</f>
        <v>2.798985223603541E-3</v>
      </c>
      <c r="E50" s="71" t="s">
        <v>62</v>
      </c>
      <c r="F50" s="73">
        <f>F44*41.8*($N$17/9.82/N26/N22)^0.5</f>
        <v>5.1035702793917282E-5</v>
      </c>
      <c r="G50" s="71" t="s">
        <v>62</v>
      </c>
    </row>
    <row r="51" spans="1:7" x14ac:dyDescent="0.35">
      <c r="A51" s="71" t="s">
        <v>158</v>
      </c>
      <c r="B51" s="72">
        <f>B49*$N$21</f>
        <v>15.923444603698242</v>
      </c>
      <c r="C51" s="71" t="s">
        <v>65</v>
      </c>
      <c r="D51" s="72">
        <f>D49*$N$22</f>
        <v>15.842335519528413</v>
      </c>
      <c r="E51" s="71" t="s">
        <v>65</v>
      </c>
      <c r="F51" s="72">
        <f>F49*$N$21</f>
        <v>1.1535669036958289</v>
      </c>
      <c r="G51" s="71" t="s">
        <v>65</v>
      </c>
    </row>
    <row r="52" spans="1:7" x14ac:dyDescent="0.35">
      <c r="A52" s="71" t="s">
        <v>159</v>
      </c>
      <c r="B52" s="72">
        <f>B50*$N$21</f>
        <v>134.03997181547521</v>
      </c>
      <c r="C52" s="71" t="s">
        <v>65</v>
      </c>
      <c r="D52" s="72">
        <f>D50*$N$22</f>
        <v>195.92896565224791</v>
      </c>
      <c r="E52" s="71" t="s">
        <v>65</v>
      </c>
      <c r="F52" s="72">
        <f>F50*$N$21</f>
        <v>6.1242843352700742</v>
      </c>
      <c r="G52" s="71" t="s">
        <v>65</v>
      </c>
    </row>
    <row r="53" spans="1:7" x14ac:dyDescent="0.35">
      <c r="A53" t="s">
        <v>160</v>
      </c>
      <c r="B53" s="67">
        <f>B47+B51</f>
        <v>23.780516142919851</v>
      </c>
      <c r="C53" t="s">
        <v>65</v>
      </c>
      <c r="D53" s="67">
        <f>D47+D51</f>
        <v>23.659385575166308</v>
      </c>
      <c r="E53" t="s">
        <v>65</v>
      </c>
      <c r="F53" s="67">
        <f>F47+F51</f>
        <v>1.5883021683782841</v>
      </c>
      <c r="G53" t="s">
        <v>65</v>
      </c>
    </row>
    <row r="54" spans="1:7" x14ac:dyDescent="0.35">
      <c r="A54" t="s">
        <v>161</v>
      </c>
      <c r="B54" s="67">
        <f>B48+B52</f>
        <v>200.17903116352852</v>
      </c>
      <c r="C54" t="s">
        <v>65</v>
      </c>
      <c r="D54" s="67">
        <f>D48+D52</f>
        <v>269.76710236447195</v>
      </c>
      <c r="E54" t="s">
        <v>65</v>
      </c>
      <c r="F54" s="67">
        <f>F48+F52</f>
        <v>8.4322929674129039</v>
      </c>
      <c r="G54" t="s">
        <v>65</v>
      </c>
    </row>
    <row r="55" spans="1:7" x14ac:dyDescent="0.35">
      <c r="A55" t="s">
        <v>164</v>
      </c>
      <c r="B55" s="67">
        <f>$B$53*$B$12</f>
        <v>17.716484526475288</v>
      </c>
      <c r="C55" t="s">
        <v>65</v>
      </c>
      <c r="D55" s="67">
        <f>$D$53*$D$12</f>
        <v>5.9245426869827895</v>
      </c>
      <c r="E55" t="s">
        <v>65</v>
      </c>
      <c r="F55" s="67">
        <f>$F$53*$F$12</f>
        <v>0.43678309630402817</v>
      </c>
      <c r="G55" t="s">
        <v>65</v>
      </c>
    </row>
    <row r="56" spans="1:7" x14ac:dyDescent="0.35">
      <c r="A56" t="s">
        <v>165</v>
      </c>
      <c r="B56" s="67">
        <f>$B$54*$B$13</f>
        <v>50.126796885715251</v>
      </c>
      <c r="C56" t="s">
        <v>65</v>
      </c>
      <c r="D56" s="67">
        <f>$D$54*$D$13</f>
        <v>0.11055841246685952</v>
      </c>
      <c r="E56" t="s">
        <v>65</v>
      </c>
      <c r="F56" s="67">
        <f>$F$54*$F$13</f>
        <v>0.21426311912245127</v>
      </c>
      <c r="G56" t="s">
        <v>65</v>
      </c>
    </row>
    <row r="57" spans="1:7" x14ac:dyDescent="0.35">
      <c r="A57" t="s">
        <v>172</v>
      </c>
      <c r="B57" s="67">
        <f>$B$53*(1-$B$12)</f>
        <v>6.064031616444562</v>
      </c>
      <c r="C57" t="s">
        <v>65</v>
      </c>
      <c r="D57" s="67">
        <f>$D$53*(1-$D$12)</f>
        <v>17.734842888183518</v>
      </c>
      <c r="E57" t="s">
        <v>65</v>
      </c>
      <c r="F57" s="67">
        <f>$F$53*(1-$F$12)</f>
        <v>1.1515190720742559</v>
      </c>
      <c r="G57" t="s">
        <v>65</v>
      </c>
    </row>
    <row r="58" spans="1:7" x14ac:dyDescent="0.35">
      <c r="A58" t="s">
        <v>173</v>
      </c>
      <c r="B58" s="67">
        <f>$B$54*(1-$B$13)</f>
        <v>150.05223427781328</v>
      </c>
      <c r="C58" t="s">
        <v>65</v>
      </c>
      <c r="D58" s="67">
        <f>$D$54*(1-$D$13)</f>
        <v>269.65654395200511</v>
      </c>
      <c r="E58" t="s">
        <v>65</v>
      </c>
      <c r="F58" s="67">
        <f>$F$54*(1-$F$13)</f>
        <v>8.2180298482904526</v>
      </c>
      <c r="G58" t="s">
        <v>65</v>
      </c>
    </row>
    <row r="59" spans="1:7" x14ac:dyDescent="0.35">
      <c r="A59" t="s">
        <v>166</v>
      </c>
      <c r="B59" s="67">
        <f>B43*N16/$N$14/$N$15</f>
        <v>0.21009293751758334</v>
      </c>
      <c r="C59" t="s">
        <v>95</v>
      </c>
      <c r="D59" s="67">
        <f>D43*N16/$N$14/$N$15</f>
        <v>0.35832478166875198</v>
      </c>
      <c r="E59" t="s">
        <v>95</v>
      </c>
      <c r="F59" s="67">
        <f>F43*N16/$N$14/$N$15</f>
        <v>1.1624535724752931E-2</v>
      </c>
      <c r="G59" t="s">
        <v>95</v>
      </c>
    </row>
    <row r="60" spans="1:7" x14ac:dyDescent="0.35">
      <c r="A60" t="s">
        <v>167</v>
      </c>
      <c r="B60" s="67">
        <f>B44*N16/$N$14/$N$15</f>
        <v>1.7685150496235511</v>
      </c>
      <c r="C60" t="s">
        <v>95</v>
      </c>
      <c r="D60" s="67">
        <f>D44*N16/$N$14/$N$15</f>
        <v>3.384657131260508</v>
      </c>
      <c r="E60" t="s">
        <v>95</v>
      </c>
      <c r="F60" s="67">
        <f>F44*N16/$N$14/$N$15</f>
        <v>6.1714636416669889E-2</v>
      </c>
      <c r="G60" t="s">
        <v>95</v>
      </c>
    </row>
    <row r="61" spans="1:7" x14ac:dyDescent="0.35">
      <c r="A61" t="s">
        <v>168</v>
      </c>
      <c r="B61" s="67">
        <f>$B$59*B12*6</f>
        <v>0.9391154307035976</v>
      </c>
      <c r="C61" t="s">
        <v>65</v>
      </c>
      <c r="D61" s="67">
        <f>$D$59*D12*6</f>
        <v>0.53836828299427719</v>
      </c>
      <c r="E61" t="s">
        <v>65</v>
      </c>
      <c r="F61" s="67">
        <f>$F$59*F12*6</f>
        <v>1.9180483945842337E-2</v>
      </c>
      <c r="G61" t="s">
        <v>65</v>
      </c>
    </row>
    <row r="62" spans="1:7" x14ac:dyDescent="0.35">
      <c r="A62" t="s">
        <v>169</v>
      </c>
      <c r="B62" s="67">
        <f>$B$60*B13*6</f>
        <v>2.6571213028618725</v>
      </c>
      <c r="C62" t="s">
        <v>65</v>
      </c>
      <c r="D62" s="67">
        <f>$D$60*D13*6</f>
        <v>8.3227861936529188E-3</v>
      </c>
      <c r="E62" t="s">
        <v>65</v>
      </c>
      <c r="F62" s="67">
        <f>$F$60*F13*6</f>
        <v>9.4089500058255338E-3</v>
      </c>
      <c r="G62" t="s">
        <v>65</v>
      </c>
    </row>
    <row r="63" spans="1:7" x14ac:dyDescent="0.35">
      <c r="A63" t="s">
        <v>170</v>
      </c>
      <c r="B63" s="67">
        <f>$B$59*(1-B12)*4</f>
        <v>0.21429479626793502</v>
      </c>
      <c r="C63" t="s">
        <v>65</v>
      </c>
      <c r="D63" s="67">
        <f>$D$59*(1-D12)*4</f>
        <v>1.0743869380121565</v>
      </c>
      <c r="E63" t="s">
        <v>65</v>
      </c>
      <c r="F63" s="67">
        <f>$F$59*(1-F12)*4</f>
        <v>3.3711153601783499E-2</v>
      </c>
      <c r="G63" t="s">
        <v>65</v>
      </c>
    </row>
    <row r="64" spans="1:7" x14ac:dyDescent="0.35">
      <c r="A64" t="s">
        <v>171</v>
      </c>
      <c r="B64" s="67">
        <f>$B$60*(1-B13)*4</f>
        <v>5.30264599658629</v>
      </c>
      <c r="C64" t="s">
        <v>65</v>
      </c>
      <c r="D64" s="67">
        <f>$D$60*(1-D13)*4</f>
        <v>13.53308000091293</v>
      </c>
      <c r="E64" t="s">
        <v>65</v>
      </c>
      <c r="F64" s="67">
        <f>$F$60*(1-F13)*4</f>
        <v>0.24058591232946255</v>
      </c>
      <c r="G64" t="s">
        <v>65</v>
      </c>
    </row>
    <row r="66" spans="1:9" x14ac:dyDescent="0.35">
      <c r="A66" t="s">
        <v>174</v>
      </c>
      <c r="B66" s="67">
        <f>B55+B56+B61+B62</f>
        <v>71.439518145755997</v>
      </c>
      <c r="C66" t="s">
        <v>65</v>
      </c>
      <c r="D66" s="67">
        <f>D55+D56+D61+D62</f>
        <v>6.5817921686375795</v>
      </c>
      <c r="E66" t="s">
        <v>65</v>
      </c>
      <c r="F66" s="67">
        <f>F55+F56+F61+F62</f>
        <v>0.67963564937814736</v>
      </c>
      <c r="G66" t="s">
        <v>65</v>
      </c>
      <c r="H66" s="83"/>
      <c r="I66" s="75">
        <f>B66+D66+F66</f>
        <v>78.700945963771716</v>
      </c>
    </row>
    <row r="67" spans="1:9" x14ac:dyDescent="0.35">
      <c r="A67" t="s">
        <v>175</v>
      </c>
      <c r="B67" s="67">
        <f>B57+B58+B63+B64</f>
        <v>161.63320668711205</v>
      </c>
      <c r="C67" t="s">
        <v>65</v>
      </c>
      <c r="D67" s="67">
        <f>D57+D58+D63+D64</f>
        <v>301.99885377911369</v>
      </c>
      <c r="E67" t="s">
        <v>65</v>
      </c>
      <c r="F67" s="67">
        <f>F57+F58+F63+F64</f>
        <v>9.6438459862959558</v>
      </c>
      <c r="G67" t="s">
        <v>65</v>
      </c>
      <c r="H67" s="83"/>
      <c r="I67" s="76">
        <f>B67+D67+F67</f>
        <v>473.27590645252172</v>
      </c>
    </row>
  </sheetData>
  <mergeCells count="3">
    <mergeCell ref="F7:G7"/>
    <mergeCell ref="A7:C7"/>
    <mergeCell ref="D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8"/>
  <sheetViews>
    <sheetView topLeftCell="A19" zoomScale="70" zoomScaleNormal="70" workbookViewId="0">
      <selection activeCell="B14" sqref="B14:B15"/>
    </sheetView>
  </sheetViews>
  <sheetFormatPr defaultColWidth="11" defaultRowHeight="15.5" x14ac:dyDescent="0.35"/>
  <cols>
    <col min="1" max="1" width="37.08203125" customWidth="1"/>
    <col min="2" max="2" width="12.08203125" style="65" customWidth="1"/>
    <col min="3" max="4" width="11.58203125" customWidth="1"/>
    <col min="5" max="5" width="13.5" customWidth="1"/>
    <col min="6" max="6" width="12.83203125" customWidth="1"/>
    <col min="7" max="7" width="21" customWidth="1"/>
    <col min="8" max="8" width="11" bestFit="1" customWidth="1"/>
    <col min="10" max="10" width="12.5" bestFit="1" customWidth="1"/>
    <col min="11" max="11" width="11" bestFit="1" customWidth="1"/>
    <col min="13" max="13" width="32" customWidth="1"/>
    <col min="14" max="14" width="12.5" bestFit="1" customWidth="1"/>
  </cols>
  <sheetData>
    <row r="2" spans="1:15" x14ac:dyDescent="0.35">
      <c r="A2" t="s">
        <v>138</v>
      </c>
      <c r="B2" s="78">
        <f>'[1]баланс тритий'!$B$203+'[1]баланс дейтерий'!$B$203</f>
        <v>1.5905471405976059E+22</v>
      </c>
      <c r="C2" t="s">
        <v>139</v>
      </c>
      <c r="F2" s="78"/>
      <c r="G2" t="s">
        <v>139</v>
      </c>
      <c r="M2" t="s">
        <v>10</v>
      </c>
      <c r="N2">
        <f>LN(2)/(4500*24*3600)</f>
        <v>1.782785958230312E-9</v>
      </c>
    </row>
    <row r="3" spans="1:15" x14ac:dyDescent="0.35">
      <c r="B3" s="80">
        <f>B2*(1/2*1.38E-23*300)</f>
        <v>32.924325810370441</v>
      </c>
      <c r="C3" s="79" t="s">
        <v>185</v>
      </c>
      <c r="F3" s="80">
        <f>F2*(1/2*1.38E-23*300)</f>
        <v>0</v>
      </c>
      <c r="G3" s="79" t="s">
        <v>185</v>
      </c>
      <c r="M3" t="s">
        <v>11</v>
      </c>
      <c r="N3">
        <f>6.02214076*10^23</f>
        <v>6.0221407599999999E+23</v>
      </c>
    </row>
    <row r="4" spans="1:15" x14ac:dyDescent="0.35">
      <c r="B4" s="73">
        <f>B3/101325/0.0224</f>
        <v>1.4506153206782649E-2</v>
      </c>
      <c r="C4" t="s">
        <v>140</v>
      </c>
      <c r="E4" s="65"/>
      <c r="F4" s="73">
        <f>F3/101325/0.0224</f>
        <v>0</v>
      </c>
      <c r="G4" t="s">
        <v>140</v>
      </c>
      <c r="M4" t="s">
        <v>12</v>
      </c>
      <c r="N4">
        <v>22</v>
      </c>
    </row>
    <row r="5" spans="1:15" x14ac:dyDescent="0.35">
      <c r="B5" s="80">
        <f>B4*3600</f>
        <v>52.222151544417535</v>
      </c>
      <c r="C5" t="s">
        <v>18</v>
      </c>
      <c r="F5" s="80">
        <f>F4*3600</f>
        <v>0</v>
      </c>
      <c r="G5" t="s">
        <v>18</v>
      </c>
      <c r="M5" t="s">
        <v>13</v>
      </c>
      <c r="N5">
        <f>10^10</f>
        <v>10000000000</v>
      </c>
    </row>
    <row r="6" spans="1:15" x14ac:dyDescent="0.35">
      <c r="B6" s="68">
        <f>B16/(3600/101325/0.0224)</f>
        <v>33.015149988231045</v>
      </c>
      <c r="C6" s="79" t="s">
        <v>185</v>
      </c>
      <c r="M6" t="s">
        <v>14</v>
      </c>
      <c r="N6">
        <f>N5*N4/N2/N3/2</f>
        <v>1.0245722238604596E-4</v>
      </c>
    </row>
    <row r="7" spans="1:15" x14ac:dyDescent="0.35">
      <c r="A7" s="87" t="s">
        <v>146</v>
      </c>
      <c r="B7" s="87"/>
      <c r="C7" s="87"/>
      <c r="D7" s="87" t="s">
        <v>147</v>
      </c>
      <c r="E7" s="87"/>
      <c r="F7" s="86" t="s">
        <v>148</v>
      </c>
      <c r="G7" s="86"/>
      <c r="I7" s="70"/>
      <c r="M7" t="s">
        <v>15</v>
      </c>
      <c r="N7">
        <f>1.3*10^6</f>
        <v>1300000</v>
      </c>
    </row>
    <row r="8" spans="1:15" x14ac:dyDescent="0.35">
      <c r="A8" t="s">
        <v>1</v>
      </c>
      <c r="M8" t="s">
        <v>16</v>
      </c>
      <c r="N8">
        <f>N6/N7</f>
        <v>7.8813247989266128E-11</v>
      </c>
    </row>
    <row r="9" spans="1:15" x14ac:dyDescent="0.35">
      <c r="A9" t="s">
        <v>0</v>
      </c>
      <c r="B9" s="77">
        <v>0.99</v>
      </c>
      <c r="C9" s="65" t="s">
        <v>19</v>
      </c>
      <c r="D9" s="75">
        <f>B11</f>
        <v>0.5</v>
      </c>
      <c r="E9" s="65" t="s">
        <v>19</v>
      </c>
      <c r="F9" s="75">
        <f>B11</f>
        <v>0.5</v>
      </c>
      <c r="G9" s="65" t="s">
        <v>19</v>
      </c>
      <c r="M9" t="s">
        <v>23</v>
      </c>
      <c r="N9">
        <v>1.248</v>
      </c>
    </row>
    <row r="10" spans="1:15" x14ac:dyDescent="0.35">
      <c r="A10" t="s">
        <v>2</v>
      </c>
      <c r="B10" s="74">
        <f>D11</f>
        <v>8.1965722739563184E-4</v>
      </c>
      <c r="C10" s="65" t="s">
        <v>19</v>
      </c>
      <c r="D10" s="65">
        <f>10^-9</f>
        <v>1.0000000000000001E-9</v>
      </c>
      <c r="E10" s="65" t="s">
        <v>19</v>
      </c>
      <c r="F10" s="74">
        <f>D11</f>
        <v>8.1965722739563184E-4</v>
      </c>
      <c r="G10" s="65" t="s">
        <v>19</v>
      </c>
      <c r="M10" t="s">
        <v>142</v>
      </c>
      <c r="N10">
        <f>N9-1</f>
        <v>0.248</v>
      </c>
    </row>
    <row r="11" spans="1:15" x14ac:dyDescent="0.35">
      <c r="A11" t="s">
        <v>181</v>
      </c>
      <c r="B11" s="75">
        <f>'[2]параметры для расчета'!$C$22%</f>
        <v>0.5</v>
      </c>
      <c r="C11" s="65" t="s">
        <v>19</v>
      </c>
      <c r="D11" s="81">
        <f>N35</f>
        <v>8.1965722739563184E-4</v>
      </c>
      <c r="E11" s="65" t="s">
        <v>19</v>
      </c>
      <c r="F11" s="75">
        <v>0.05</v>
      </c>
      <c r="G11" s="65" t="s">
        <v>19</v>
      </c>
      <c r="M11" t="s">
        <v>179</v>
      </c>
      <c r="N11">
        <v>1.4</v>
      </c>
    </row>
    <row r="12" spans="1:15" x14ac:dyDescent="0.35">
      <c r="A12" t="s">
        <v>163</v>
      </c>
      <c r="B12" s="67">
        <f>(B9+B11)/2</f>
        <v>0.745</v>
      </c>
      <c r="C12" s="65" t="s">
        <v>19</v>
      </c>
      <c r="D12" s="67">
        <f>(D9+D11)/2</f>
        <v>0.25040982861369782</v>
      </c>
      <c r="E12" s="65" t="s">
        <v>19</v>
      </c>
      <c r="F12" s="67">
        <f>(F9+F11)/2</f>
        <v>0.27500000000000002</v>
      </c>
      <c r="G12" s="65" t="s">
        <v>19</v>
      </c>
      <c r="M12" t="s">
        <v>180</v>
      </c>
      <c r="N12">
        <f>N11-1</f>
        <v>0.39999999999999991</v>
      </c>
    </row>
    <row r="13" spans="1:15" x14ac:dyDescent="0.35">
      <c r="A13" t="s">
        <v>162</v>
      </c>
      <c r="B13" s="67">
        <f>(B10+B11)/2</f>
        <v>0.25040982861369782</v>
      </c>
      <c r="C13" s="65" t="s">
        <v>19</v>
      </c>
      <c r="D13" s="67">
        <f>(D10+D11)/2</f>
        <v>4.0982911369781593E-4</v>
      </c>
      <c r="E13" s="65" t="s">
        <v>19</v>
      </c>
      <c r="F13" s="67">
        <f>(F10+F11)/2</f>
        <v>2.5409828613697817E-2</v>
      </c>
      <c r="G13" s="65" t="s">
        <v>19</v>
      </c>
      <c r="M13" t="s">
        <v>27</v>
      </c>
      <c r="N13">
        <v>0.06</v>
      </c>
      <c r="O13" t="s">
        <v>60</v>
      </c>
    </row>
    <row r="14" spans="1:15" x14ac:dyDescent="0.35">
      <c r="A14" t="s">
        <v>182</v>
      </c>
      <c r="B14" s="75">
        <f>B16*((B11-B10)/(B9-B10))</f>
        <v>26.426104144029779</v>
      </c>
      <c r="C14" t="s">
        <v>18</v>
      </c>
      <c r="D14" s="65">
        <f>D16*(D11-D10)/(D9-D10)</f>
        <v>4.5536457168608026E-2</v>
      </c>
      <c r="E14" t="s">
        <v>18</v>
      </c>
      <c r="F14" s="65">
        <f>F16*(F11-F10)/(F9-F10)</f>
        <v>9.8522194402610702E-2</v>
      </c>
      <c r="G14" t="s">
        <v>18</v>
      </c>
      <c r="M14" t="s">
        <v>52</v>
      </c>
      <c r="N14">
        <v>8.31</v>
      </c>
    </row>
    <row r="15" spans="1:15" x14ac:dyDescent="0.35">
      <c r="A15" t="s">
        <v>183</v>
      </c>
      <c r="B15" s="76">
        <f>B16-B14</f>
        <v>25.940106051958978</v>
      </c>
      <c r="C15" t="s">
        <v>18</v>
      </c>
      <c r="D15" s="65">
        <f>D16-D14</f>
        <v>27.73224132060917</v>
      </c>
      <c r="E15" t="s">
        <v>18</v>
      </c>
      <c r="F15" s="65">
        <f>F16-F14</f>
        <v>0.90147780559738933</v>
      </c>
      <c r="G15" t="s">
        <v>18</v>
      </c>
      <c r="M15" t="s">
        <v>53</v>
      </c>
      <c r="N15">
        <v>20</v>
      </c>
    </row>
    <row r="16" spans="1:15" x14ac:dyDescent="0.35">
      <c r="A16" t="s">
        <v>184</v>
      </c>
      <c r="B16" s="67">
        <f>B5+D14+F14</f>
        <v>52.366210195988756</v>
      </c>
      <c r="C16" t="s">
        <v>18</v>
      </c>
      <c r="D16" s="65">
        <f>P35</f>
        <v>27.777777777777779</v>
      </c>
      <c r="E16" t="s">
        <v>18</v>
      </c>
      <c r="F16" s="82">
        <f>1</f>
        <v>1</v>
      </c>
      <c r="G16" t="s">
        <v>18</v>
      </c>
      <c r="M16" t="s">
        <v>54</v>
      </c>
      <c r="N16">
        <f>101325</f>
        <v>101325</v>
      </c>
    </row>
    <row r="17" spans="1:15" x14ac:dyDescent="0.35">
      <c r="A17" t="s">
        <v>35</v>
      </c>
      <c r="B17" s="65">
        <f>1+$N$10*(1-B11)/(1-$N$9*(B10/B11)+$N$10*B10)</f>
        <v>1.1242289028654553</v>
      </c>
      <c r="C17" s="66" t="s">
        <v>141</v>
      </c>
      <c r="D17" s="65">
        <f>1+$N$12*(1-D11)/(1-$N$11*(D10/D11)+$N$12*D10)</f>
        <v>1.3996728196027608</v>
      </c>
      <c r="E17" s="66" t="s">
        <v>141</v>
      </c>
      <c r="F17" s="65">
        <f>1+$N$10*(1-F11)/(1-$N$9*(F10/F11)+$N$10*F10)</f>
        <v>1.2404708253992016</v>
      </c>
      <c r="G17" s="66" t="s">
        <v>141</v>
      </c>
      <c r="M17" t="s">
        <v>55</v>
      </c>
      <c r="N17">
        <v>0.2</v>
      </c>
      <c r="O17" t="s">
        <v>56</v>
      </c>
    </row>
    <row r="18" spans="1:15" x14ac:dyDescent="0.35">
      <c r="A18" t="s">
        <v>36</v>
      </c>
      <c r="B18" s="65">
        <f>1-($N$9-1)*(1-B11)/((B9*$N$9/B11)-1-(($N$9-1)*B9))</f>
        <v>0.89881846073503491</v>
      </c>
      <c r="C18" s="66" t="s">
        <v>141</v>
      </c>
      <c r="D18" s="65">
        <f>1-($N$11-1)*(1-D11)/((D9*$N$11/D11)-1-(($N$11-1)*D9))</f>
        <v>0.99953134983605307</v>
      </c>
      <c r="E18" s="66" t="s">
        <v>141</v>
      </c>
      <c r="F18" s="65">
        <f>1-($N$9-1)*(1-F11)/((F9*$N$9/F11)-1-(($N$9-1)*F9))</f>
        <v>0.97925325818950337</v>
      </c>
      <c r="G18" s="66" t="s">
        <v>141</v>
      </c>
      <c r="M18" t="s">
        <v>59</v>
      </c>
      <c r="N18">
        <v>3.14</v>
      </c>
    </row>
    <row r="19" spans="1:15" x14ac:dyDescent="0.35">
      <c r="A19" t="s">
        <v>143</v>
      </c>
      <c r="B19" s="65">
        <f>B15/(B17-1)</f>
        <v>208.8089442442643</v>
      </c>
      <c r="C19" t="s">
        <v>18</v>
      </c>
      <c r="D19" s="65">
        <f>D15/(D17-1)</f>
        <v>69.387358760529551</v>
      </c>
      <c r="E19" t="s">
        <v>18</v>
      </c>
      <c r="F19" s="65">
        <f>F15/(F17-1)</f>
        <v>3.7488032242616582</v>
      </c>
      <c r="G19" t="s">
        <v>18</v>
      </c>
    </row>
    <row r="20" spans="1:15" x14ac:dyDescent="0.35">
      <c r="A20" t="s">
        <v>144</v>
      </c>
      <c r="B20" s="65">
        <f>B14/(1-B18)</f>
        <v>261.17515444025298</v>
      </c>
      <c r="C20" t="s">
        <v>18</v>
      </c>
      <c r="D20" s="65">
        <f>D14/(1-D18)</f>
        <v>97.165136538317569</v>
      </c>
      <c r="E20" t="s">
        <v>18</v>
      </c>
      <c r="F20" s="65">
        <f>F14/(1-F18)</f>
        <v>4.7488032242616658</v>
      </c>
      <c r="G20" t="s">
        <v>18</v>
      </c>
    </row>
    <row r="21" spans="1:15" x14ac:dyDescent="0.35">
      <c r="A21" t="s">
        <v>37</v>
      </c>
      <c r="B21" s="67">
        <v>0.8</v>
      </c>
      <c r="C21" s="66" t="s">
        <v>141</v>
      </c>
      <c r="D21" s="67">
        <v>0.8</v>
      </c>
      <c r="E21" s="66" t="s">
        <v>141</v>
      </c>
      <c r="F21" s="67">
        <v>0.8</v>
      </c>
      <c r="G21" s="66" t="s">
        <v>141</v>
      </c>
      <c r="M21" t="s">
        <v>177</v>
      </c>
      <c r="N21">
        <f>0.12*100*100*100</f>
        <v>120000</v>
      </c>
      <c r="O21" t="s">
        <v>109</v>
      </c>
    </row>
    <row r="22" spans="1:15" x14ac:dyDescent="0.35">
      <c r="A22" t="s">
        <v>40</v>
      </c>
      <c r="B22" s="65">
        <f>B19/B21</f>
        <v>261.01118030533036</v>
      </c>
      <c r="C22" t="s">
        <v>18</v>
      </c>
      <c r="D22" s="65">
        <f>D19/D21</f>
        <v>86.734198450661935</v>
      </c>
      <c r="E22" t="s">
        <v>18</v>
      </c>
      <c r="F22" s="65">
        <f>F19/F21</f>
        <v>4.6860040303270729</v>
      </c>
      <c r="G22" t="s">
        <v>18</v>
      </c>
      <c r="M22" t="s">
        <v>178</v>
      </c>
      <c r="N22">
        <f>0.07*100*100*100</f>
        <v>70000.000000000015</v>
      </c>
      <c r="O22" t="s">
        <v>109</v>
      </c>
    </row>
    <row r="23" spans="1:15" x14ac:dyDescent="0.35">
      <c r="A23" t="s">
        <v>41</v>
      </c>
      <c r="B23" s="65">
        <f>B20/B21</f>
        <v>326.46894305031623</v>
      </c>
      <c r="C23" t="s">
        <v>18</v>
      </c>
      <c r="D23" s="65">
        <f>D20/D21</f>
        <v>121.45642067289695</v>
      </c>
      <c r="E23" t="s">
        <v>18</v>
      </c>
      <c r="F23" s="65">
        <f>F20/F21</f>
        <v>5.9360040303270818</v>
      </c>
      <c r="G23" t="s">
        <v>18</v>
      </c>
      <c r="M23" t="s">
        <v>116</v>
      </c>
      <c r="N23">
        <f>2/0.0224</f>
        <v>89.285714285714292</v>
      </c>
      <c r="O23" t="s">
        <v>109</v>
      </c>
    </row>
    <row r="24" spans="1:15" x14ac:dyDescent="0.35">
      <c r="A24" t="s">
        <v>42</v>
      </c>
      <c r="B24" s="65">
        <f>(B21*(B17-1))+1</f>
        <v>1.0993831222923642</v>
      </c>
      <c r="D24" s="65">
        <f>(D21*(D17-1))+1</f>
        <v>1.3197382556822086</v>
      </c>
      <c r="F24" s="65">
        <f>(F21*(F17-1))+1</f>
        <v>1.1923766603193613</v>
      </c>
      <c r="H24" s="65"/>
      <c r="N24">
        <f>0.5*N21/N23</f>
        <v>672</v>
      </c>
    </row>
    <row r="25" spans="1:15" x14ac:dyDescent="0.35">
      <c r="A25" t="s">
        <v>43</v>
      </c>
      <c r="B25" s="65">
        <f>1-B21*(1-B18)</f>
        <v>0.91905476858802793</v>
      </c>
      <c r="D25" s="65">
        <f>1-D21*(1-D18)</f>
        <v>0.99962507986884241</v>
      </c>
      <c r="F25" s="65">
        <f>1-F21*(1-F18)</f>
        <v>0.98340260655160272</v>
      </c>
      <c r="M25" t="s">
        <v>151</v>
      </c>
    </row>
    <row r="26" spans="1:15" x14ac:dyDescent="0.35">
      <c r="A26" t="s">
        <v>44</v>
      </c>
      <c r="B26" s="65">
        <f>B24*B22</f>
        <v>286.95128635728935</v>
      </c>
      <c r="C26" t="s">
        <v>18</v>
      </c>
      <c r="D26" s="65">
        <f>D24*D22</f>
        <v>114.4664397712711</v>
      </c>
      <c r="E26" t="s">
        <v>18</v>
      </c>
      <c r="F26" s="65">
        <f>F24*F22</f>
        <v>5.5874818359244625</v>
      </c>
      <c r="G26" t="s">
        <v>18</v>
      </c>
      <c r="M26" t="s">
        <v>155</v>
      </c>
      <c r="N26">
        <f>2*10^-3</f>
        <v>2E-3</v>
      </c>
      <c r="O26" t="s">
        <v>60</v>
      </c>
    </row>
    <row r="27" spans="1:15" x14ac:dyDescent="0.35">
      <c r="A27" t="s">
        <v>45</v>
      </c>
      <c r="B27" s="65">
        <f>B25*B23</f>
        <v>300.04283890628642</v>
      </c>
      <c r="C27" t="s">
        <v>18</v>
      </c>
      <c r="D27" s="65">
        <f>D25*D23</f>
        <v>121.41088421572834</v>
      </c>
      <c r="E27" t="s">
        <v>18</v>
      </c>
      <c r="F27" s="65">
        <f>F25*F23</f>
        <v>5.8374818359244713</v>
      </c>
      <c r="G27" t="s">
        <v>18</v>
      </c>
      <c r="M27" t="s">
        <v>152</v>
      </c>
      <c r="N27">
        <v>0.82</v>
      </c>
    </row>
    <row r="28" spans="1:15" x14ac:dyDescent="0.35">
      <c r="A28" t="s">
        <v>44</v>
      </c>
      <c r="B28" s="65">
        <f>(B26*$N$14*$N$15/$N$16)/3600</f>
        <v>1.3074349259144529E-4</v>
      </c>
      <c r="C28" t="s">
        <v>57</v>
      </c>
      <c r="D28" s="65">
        <f>(D26*$N$14*$N$15/$N$16)/3600</f>
        <v>5.2154295281918073E-5</v>
      </c>
      <c r="E28" t="s">
        <v>57</v>
      </c>
      <c r="F28" s="65">
        <f>(F26*$N$14*$N$15/$N$16)/3600</f>
        <v>2.5458219731081113E-6</v>
      </c>
      <c r="G28" t="s">
        <v>57</v>
      </c>
      <c r="M28" t="s">
        <v>153</v>
      </c>
      <c r="N28">
        <v>3500</v>
      </c>
      <c r="O28" t="s">
        <v>154</v>
      </c>
    </row>
    <row r="29" spans="1:15" x14ac:dyDescent="0.35">
      <c r="A29" t="s">
        <v>45</v>
      </c>
      <c r="B29" s="65">
        <f>(B27*$N$14*$N$15/$N$16)/3600</f>
        <v>1.3670839111282399E-4</v>
      </c>
      <c r="C29" t="s">
        <v>57</v>
      </c>
      <c r="D29" s="65">
        <f>(D27*$N$14*$N$15/$N$16)/3600</f>
        <v>5.5318389551372233E-5</v>
      </c>
      <c r="E29" t="s">
        <v>57</v>
      </c>
      <c r="F29" s="65">
        <f>(F27*$N$14*$N$15/$N$16)/3600</f>
        <v>2.6597293668082551E-6</v>
      </c>
      <c r="G29" t="s">
        <v>57</v>
      </c>
    </row>
    <row r="30" spans="1:15" x14ac:dyDescent="0.35">
      <c r="A30" t="s">
        <v>145</v>
      </c>
      <c r="B30" s="65">
        <f>B11/B10</f>
        <v>610.01109157384417</v>
      </c>
      <c r="C30" s="66" t="s">
        <v>141</v>
      </c>
      <c r="D30" s="65">
        <f>D11/D10</f>
        <v>819657.22739563184</v>
      </c>
      <c r="E30" s="66" t="s">
        <v>141</v>
      </c>
      <c r="F30" s="65">
        <f>F11/F10</f>
        <v>61.00110915738442</v>
      </c>
      <c r="G30" s="66" t="s">
        <v>141</v>
      </c>
    </row>
    <row r="31" spans="1:15" x14ac:dyDescent="0.35">
      <c r="A31" t="s">
        <v>48</v>
      </c>
      <c r="B31" s="65">
        <f>B9/B11</f>
        <v>1.98</v>
      </c>
      <c r="C31" s="66" t="s">
        <v>141</v>
      </c>
      <c r="D31" s="65">
        <f>D9/D11</f>
        <v>610.01109157384417</v>
      </c>
      <c r="E31" s="66" t="s">
        <v>141</v>
      </c>
      <c r="F31" s="65">
        <f>F9/F11</f>
        <v>10</v>
      </c>
      <c r="G31" s="66" t="s">
        <v>141</v>
      </c>
    </row>
    <row r="32" spans="1:15" x14ac:dyDescent="0.35">
      <c r="A32" t="s">
        <v>47</v>
      </c>
      <c r="B32" s="68">
        <f>LN((B31-B21)/(1-B21))/LN($N$9/B25)</f>
        <v>5.8014110797219383</v>
      </c>
      <c r="C32" t="s">
        <v>176</v>
      </c>
      <c r="D32" s="68">
        <f>LN((D31-D21)/(1-D21))/LN($N$11/D25)</f>
        <v>23.813771038777062</v>
      </c>
      <c r="E32" t="s">
        <v>176</v>
      </c>
      <c r="F32" s="68">
        <f>LN((F31-F21)/(1-F21))/LN(N9/F25)</f>
        <v>16.067896482119355</v>
      </c>
      <c r="G32" t="s">
        <v>176</v>
      </c>
    </row>
    <row r="33" spans="1:18" x14ac:dyDescent="0.35">
      <c r="A33" s="71" t="s">
        <v>49</v>
      </c>
      <c r="B33" s="72">
        <f>LN((B30 /$N$9))/LN($N$9/B24)</f>
        <v>48.834972392550711</v>
      </c>
      <c r="C33" s="71" t="s">
        <v>176</v>
      </c>
      <c r="D33" s="72">
        <f>LN((D30 /$N$11))/LN($N$11/D24)</f>
        <v>224.93964719167138</v>
      </c>
      <c r="E33" s="71" t="s">
        <v>176</v>
      </c>
      <c r="F33" s="72">
        <f>LN((F30 /$N$9))/LN($N$9/F24)</f>
        <v>85.30442960084423</v>
      </c>
      <c r="G33" s="71" t="s">
        <v>176</v>
      </c>
      <c r="M33" s="1" t="s">
        <v>17</v>
      </c>
      <c r="N33" s="1"/>
      <c r="O33" s="1"/>
      <c r="P33" s="1"/>
      <c r="Q33" s="1"/>
      <c r="R33" s="1" t="s">
        <v>25</v>
      </c>
    </row>
    <row r="34" spans="1:18" x14ac:dyDescent="0.35">
      <c r="A34" t="s">
        <v>149</v>
      </c>
      <c r="B34" s="68">
        <f>B32*$N$13</f>
        <v>0.34808466478331629</v>
      </c>
      <c r="C34" t="s">
        <v>60</v>
      </c>
      <c r="D34" s="68">
        <f>D32*$N$13</f>
        <v>1.4288262623266237</v>
      </c>
      <c r="E34" t="s">
        <v>60</v>
      </c>
      <c r="F34" s="68">
        <f>F32*$N$13</f>
        <v>0.96407378892716133</v>
      </c>
      <c r="G34" t="s">
        <v>60</v>
      </c>
      <c r="M34" s="1" t="s">
        <v>29</v>
      </c>
      <c r="N34" s="1" t="s">
        <v>19</v>
      </c>
      <c r="O34" s="1" t="s">
        <v>30</v>
      </c>
      <c r="P34" s="1" t="s">
        <v>18</v>
      </c>
      <c r="Q34" s="1" t="s">
        <v>31</v>
      </c>
      <c r="R34" s="1"/>
    </row>
    <row r="35" spans="1:18" x14ac:dyDescent="0.35">
      <c r="A35" t="s">
        <v>150</v>
      </c>
      <c r="B35" s="68">
        <f>B33*$N$13</f>
        <v>2.9300983435530426</v>
      </c>
      <c r="C35" t="s">
        <v>60</v>
      </c>
      <c r="D35" s="68">
        <f>D33*$N$13</f>
        <v>13.496378831500282</v>
      </c>
      <c r="E35" t="s">
        <v>60</v>
      </c>
      <c r="F35" s="68">
        <f>F33*$N$13</f>
        <v>5.118265776050654</v>
      </c>
      <c r="G35" t="s">
        <v>60</v>
      </c>
      <c r="M35" s="1" t="s">
        <v>0</v>
      </c>
      <c r="N35" s="5">
        <v>8.1965722739563184E-4</v>
      </c>
      <c r="O35" s="1" t="s">
        <v>4</v>
      </c>
      <c r="P35" s="6">
        <v>27.777777777777779</v>
      </c>
      <c r="Q35" s="1" t="s">
        <v>33</v>
      </c>
      <c r="R35" s="7"/>
    </row>
    <row r="36" spans="1:18" x14ac:dyDescent="0.35">
      <c r="A36" t="s">
        <v>75</v>
      </c>
      <c r="B36" s="65">
        <f>B29/$N$17</f>
        <v>6.8354195556411988E-4</v>
      </c>
      <c r="C36" t="s">
        <v>58</v>
      </c>
      <c r="D36" s="65">
        <f>D29/$N$17</f>
        <v>2.7659194775686113E-4</v>
      </c>
      <c r="E36" t="s">
        <v>58</v>
      </c>
      <c r="F36" s="65">
        <f>F29/$N$17</f>
        <v>1.3298646834041275E-5</v>
      </c>
      <c r="G36" t="s">
        <v>58</v>
      </c>
      <c r="M36" s="1" t="s">
        <v>2</v>
      </c>
      <c r="N36" s="5">
        <v>7.8813247989266128E-11</v>
      </c>
      <c r="O36" s="1" t="s">
        <v>5</v>
      </c>
      <c r="P36" s="6">
        <v>194.44444444444446</v>
      </c>
      <c r="Q36" s="1"/>
      <c r="R36" s="1"/>
    </row>
    <row r="37" spans="1:18" x14ac:dyDescent="0.35">
      <c r="A37" t="s">
        <v>77</v>
      </c>
      <c r="B37" s="65">
        <f>SQRT(4*B36/$N$18)</f>
        <v>2.950854255162684E-2</v>
      </c>
      <c r="C37" t="s">
        <v>60</v>
      </c>
      <c r="D37" s="65">
        <f>SQRT(4*D36/$N$18)</f>
        <v>1.877089316637643E-2</v>
      </c>
      <c r="E37" t="s">
        <v>60</v>
      </c>
      <c r="F37" s="65">
        <f>SQRT(4*F36/$N$18)</f>
        <v>4.1159386998525982E-3</v>
      </c>
      <c r="G37" t="s">
        <v>60</v>
      </c>
      <c r="M37" s="1" t="s">
        <v>3</v>
      </c>
      <c r="N37" s="5">
        <v>1.0245722238604596E-4</v>
      </c>
      <c r="O37" s="1" t="s">
        <v>6</v>
      </c>
      <c r="P37" s="6">
        <v>222.22222222222223</v>
      </c>
      <c r="Q37" s="1"/>
      <c r="R37" s="1"/>
    </row>
    <row r="38" spans="1:18" x14ac:dyDescent="0.35">
      <c r="A38" t="s">
        <v>76</v>
      </c>
      <c r="B38" s="65">
        <f>B28/$N$17</f>
        <v>6.5371746295722643E-4</v>
      </c>
      <c r="C38" t="s">
        <v>58</v>
      </c>
      <c r="D38" s="65">
        <f>D28/$N$17</f>
        <v>2.6077147640959035E-4</v>
      </c>
      <c r="E38" t="s">
        <v>58</v>
      </c>
      <c r="F38" s="65">
        <f>F28/$N$17</f>
        <v>1.2729109865540556E-5</v>
      </c>
      <c r="G38" t="s">
        <v>58</v>
      </c>
    </row>
    <row r="39" spans="1:18" x14ac:dyDescent="0.35">
      <c r="A39" t="s">
        <v>78</v>
      </c>
      <c r="B39" s="65">
        <f>SQRT(4*B38/$N$18)</f>
        <v>2.8857600373360371E-2</v>
      </c>
      <c r="C39" t="s">
        <v>60</v>
      </c>
      <c r="D39" s="65">
        <f>SQRT(4*D38/$N$18)</f>
        <v>1.8226161515225745E-2</v>
      </c>
      <c r="E39" t="s">
        <v>60</v>
      </c>
      <c r="F39" s="65">
        <f>SQRT(4*F38/$N$18)</f>
        <v>4.0268382858399511E-3</v>
      </c>
      <c r="G39" t="s">
        <v>60</v>
      </c>
    </row>
    <row r="40" spans="1:18" x14ac:dyDescent="0.35">
      <c r="A40" t="s">
        <v>73</v>
      </c>
      <c r="B40" s="65">
        <f>B37/$N$27</f>
        <v>3.5986027501983951E-2</v>
      </c>
      <c r="C40" t="s">
        <v>60</v>
      </c>
      <c r="D40" s="65">
        <f>D37/$N$27</f>
        <v>2.2891333129727354E-2</v>
      </c>
      <c r="E40" t="s">
        <v>60</v>
      </c>
      <c r="F40" s="65">
        <f>F37/$N$27</f>
        <v>5.0194374388446324E-3</v>
      </c>
      <c r="G40" t="s">
        <v>60</v>
      </c>
    </row>
    <row r="41" spans="1:18" x14ac:dyDescent="0.35">
      <c r="A41" t="s">
        <v>74</v>
      </c>
      <c r="B41" s="65">
        <f>B39/$N$27</f>
        <v>3.5192195577268749E-2</v>
      </c>
      <c r="C41" t="s">
        <v>60</v>
      </c>
      <c r="D41" s="65">
        <f>D39/$N$27</f>
        <v>2.2227026238080178E-2</v>
      </c>
      <c r="E41" t="s">
        <v>60</v>
      </c>
      <c r="F41" s="65">
        <f>F39/$N$27</f>
        <v>4.9107783973657941E-3</v>
      </c>
      <c r="G41" t="s">
        <v>60</v>
      </c>
    </row>
    <row r="42" spans="1:18" x14ac:dyDescent="0.35">
      <c r="A42" t="s">
        <v>50</v>
      </c>
      <c r="B42" s="65">
        <f>MAX(B40:B41)</f>
        <v>3.5986027501983951E-2</v>
      </c>
      <c r="C42" t="s">
        <v>60</v>
      </c>
      <c r="D42" s="65">
        <f>MAX(D40:D41)</f>
        <v>2.2891333129727354E-2</v>
      </c>
      <c r="E42" t="s">
        <v>60</v>
      </c>
      <c r="F42" s="65">
        <f>MAX(F40:F41)</f>
        <v>5.0194374388446324E-3</v>
      </c>
      <c r="G42" t="s">
        <v>60</v>
      </c>
    </row>
    <row r="43" spans="1:18" x14ac:dyDescent="0.35">
      <c r="A43" t="s">
        <v>81</v>
      </c>
      <c r="B43" s="65">
        <f>B34*$N$18*(B42/2)^2</f>
        <v>3.5385257654352943E-4</v>
      </c>
      <c r="C43" t="s">
        <v>62</v>
      </c>
      <c r="D43" s="65">
        <f>D34*$N$18*(D42/2)^2</f>
        <v>5.8774812448405211E-4</v>
      </c>
      <c r="E43" t="s">
        <v>62</v>
      </c>
      <c r="F43" s="65">
        <f>F34*$N$18*(F42/2)^2</f>
        <v>1.9067336170283121E-5</v>
      </c>
      <c r="G43" t="s">
        <v>62</v>
      </c>
    </row>
    <row r="44" spans="1:18" x14ac:dyDescent="0.35">
      <c r="A44" t="s">
        <v>82</v>
      </c>
      <c r="B44" s="65">
        <f>B35*$N$18*(B42/2)^2</f>
        <v>2.9786513262156978E-3</v>
      </c>
      <c r="C44" t="s">
        <v>62</v>
      </c>
      <c r="D44" s="65">
        <f>D35*$N$18*(D42/2)^2</f>
        <v>5.5517396024228616E-3</v>
      </c>
      <c r="E44" t="s">
        <v>62</v>
      </c>
      <c r="F44" s="65">
        <f>F35*$N$18*(F42/2)^2</f>
        <v>1.0122844877819428E-4</v>
      </c>
      <c r="G44" t="s">
        <v>62</v>
      </c>
    </row>
    <row r="45" spans="1:18" x14ac:dyDescent="0.35">
      <c r="A45" s="71" t="s">
        <v>156</v>
      </c>
      <c r="B45" s="73">
        <f>B43*0.00038/$N$26</f>
        <v>6.7231989543270587E-5</v>
      </c>
      <c r="C45" s="71" t="s">
        <v>62</v>
      </c>
      <c r="D45" s="73">
        <f>D43*0.00038/$N$26</f>
        <v>1.116721436519699E-4</v>
      </c>
      <c r="E45" s="71" t="s">
        <v>62</v>
      </c>
      <c r="F45" s="73">
        <f>F43*0.00038/$N$26</f>
        <v>3.622793872353793E-6</v>
      </c>
      <c r="G45" s="71" t="s">
        <v>62</v>
      </c>
    </row>
    <row r="46" spans="1:18" x14ac:dyDescent="0.35">
      <c r="A46" s="71" t="s">
        <v>157</v>
      </c>
      <c r="B46" s="73">
        <f>B44*0.00038/$N$26</f>
        <v>5.6594375198098254E-4</v>
      </c>
      <c r="C46" s="71" t="s">
        <v>62</v>
      </c>
      <c r="D46" s="73">
        <f>D44*0.00038/$N$26</f>
        <v>1.0548305244603437E-3</v>
      </c>
      <c r="E46" s="71" t="s">
        <v>62</v>
      </c>
      <c r="F46" s="73">
        <f>F44*0.00038/$N$26</f>
        <v>1.9233405267856915E-5</v>
      </c>
      <c r="G46" s="71" t="s">
        <v>62</v>
      </c>
    </row>
    <row r="47" spans="1:18" x14ac:dyDescent="0.35">
      <c r="A47" s="71" t="s">
        <v>156</v>
      </c>
      <c r="B47" s="72">
        <f>B45*$N$21</f>
        <v>8.0678387451924714</v>
      </c>
      <c r="C47" s="71" t="s">
        <v>65</v>
      </c>
      <c r="D47" s="72">
        <f>D45*$N$22</f>
        <v>7.8170500556378943</v>
      </c>
      <c r="E47" s="71" t="s">
        <v>65</v>
      </c>
      <c r="F47" s="72">
        <f>F45*$N$21</f>
        <v>0.43473526468245516</v>
      </c>
      <c r="G47" s="71" t="s">
        <v>65</v>
      </c>
    </row>
    <row r="48" spans="1:18" x14ac:dyDescent="0.35">
      <c r="A48" s="71" t="s">
        <v>157</v>
      </c>
      <c r="B48" s="72">
        <f>B46*$N$21</f>
        <v>67.913250237717904</v>
      </c>
      <c r="C48" s="71" t="s">
        <v>65</v>
      </c>
      <c r="D48" s="72">
        <f>D46*$N$22</f>
        <v>73.83813671222407</v>
      </c>
      <c r="E48" s="71" t="s">
        <v>65</v>
      </c>
      <c r="F48" s="72">
        <f>F46*$N$21</f>
        <v>2.3080086321428297</v>
      </c>
      <c r="G48" s="71" t="s">
        <v>65</v>
      </c>
    </row>
    <row r="49" spans="1:7" x14ac:dyDescent="0.35">
      <c r="A49" s="71" t="s">
        <v>158</v>
      </c>
      <c r="B49" s="73">
        <f>B43*41.8*($N$17/9.82/$N$26/$N$21)^0.5</f>
        <v>1.3625494635559197E-4</v>
      </c>
      <c r="C49" s="71" t="s">
        <v>62</v>
      </c>
      <c r="D49" s="73">
        <f>D43*41.8*($N$17/9.82/$N$26/$N$21)^0.5</f>
        <v>2.2631907885040586E-4</v>
      </c>
      <c r="E49" s="71" t="s">
        <v>62</v>
      </c>
      <c r="F49" s="73">
        <f>F43*41.8*($N$17/9.82/N26/N22)^0.5</f>
        <v>9.6130575307985753E-6</v>
      </c>
      <c r="G49" s="71" t="s">
        <v>62</v>
      </c>
    </row>
    <row r="50" spans="1:7" x14ac:dyDescent="0.35">
      <c r="A50" s="71" t="s">
        <v>159</v>
      </c>
      <c r="B50" s="73">
        <f>B44*41.8*($N$17/9.82/$N$26/$N$21)^0.5</f>
        <v>1.1469634632308692E-3</v>
      </c>
      <c r="C50" s="71" t="s">
        <v>62</v>
      </c>
      <c r="D50" s="73">
        <f>D44*41.8*($N$17/9.82/$N$26/$N$22)^0.5</f>
        <v>2.798985223603541E-3</v>
      </c>
      <c r="E50" s="71" t="s">
        <v>62</v>
      </c>
      <c r="F50" s="73">
        <f>F44*41.8*($N$17/9.82/N26/N22)^0.5</f>
        <v>5.1035702793917282E-5</v>
      </c>
      <c r="G50" s="71" t="s">
        <v>62</v>
      </c>
    </row>
    <row r="51" spans="1:7" x14ac:dyDescent="0.35">
      <c r="A51" s="71" t="s">
        <v>158</v>
      </c>
      <c r="B51" s="72">
        <f>B49*$N$21</f>
        <v>16.350593562671037</v>
      </c>
      <c r="C51" s="71" t="s">
        <v>65</v>
      </c>
      <c r="D51" s="72">
        <f>D49*$N$22</f>
        <v>15.842335519528413</v>
      </c>
      <c r="E51" s="71" t="s">
        <v>65</v>
      </c>
      <c r="F51" s="72">
        <f>F49*$N$21</f>
        <v>1.1535669036958289</v>
      </c>
      <c r="G51" s="71" t="s">
        <v>65</v>
      </c>
    </row>
    <row r="52" spans="1:7" x14ac:dyDescent="0.35">
      <c r="A52" s="71" t="s">
        <v>159</v>
      </c>
      <c r="B52" s="72">
        <f>B50*$N$21</f>
        <v>137.63561558770431</v>
      </c>
      <c r="C52" s="71" t="s">
        <v>65</v>
      </c>
      <c r="D52" s="72">
        <f>D50*$N$22</f>
        <v>195.92896565224791</v>
      </c>
      <c r="E52" s="71" t="s">
        <v>65</v>
      </c>
      <c r="F52" s="72">
        <f>F50*$N$21</f>
        <v>6.1242843352700742</v>
      </c>
      <c r="G52" s="71" t="s">
        <v>65</v>
      </c>
    </row>
    <row r="53" spans="1:7" x14ac:dyDescent="0.35">
      <c r="A53" t="s">
        <v>160</v>
      </c>
      <c r="B53" s="67">
        <f>B47+B51</f>
        <v>24.418432307863508</v>
      </c>
      <c r="C53" t="s">
        <v>65</v>
      </c>
      <c r="D53" s="67">
        <f>D47+D51</f>
        <v>23.659385575166308</v>
      </c>
      <c r="E53" t="s">
        <v>65</v>
      </c>
      <c r="F53" s="67">
        <f>F47+F51</f>
        <v>1.5883021683782841</v>
      </c>
      <c r="G53" t="s">
        <v>65</v>
      </c>
    </row>
    <row r="54" spans="1:7" x14ac:dyDescent="0.35">
      <c r="A54" t="s">
        <v>161</v>
      </c>
      <c r="B54" s="67">
        <f>B48+B52</f>
        <v>205.54886582542221</v>
      </c>
      <c r="C54" t="s">
        <v>65</v>
      </c>
      <c r="D54" s="67">
        <f>D48+D52</f>
        <v>269.76710236447195</v>
      </c>
      <c r="E54" t="s">
        <v>65</v>
      </c>
      <c r="F54" s="67">
        <f>F48+F52</f>
        <v>8.4322929674129039</v>
      </c>
      <c r="G54" t="s">
        <v>65</v>
      </c>
    </row>
    <row r="55" spans="1:7" x14ac:dyDescent="0.35">
      <c r="A55" t="s">
        <v>164</v>
      </c>
      <c r="B55" s="67">
        <f>$B$53*$B$12</f>
        <v>18.191732069358313</v>
      </c>
      <c r="C55" t="s">
        <v>65</v>
      </c>
      <c r="D55" s="67">
        <f>$D$53*$D$12</f>
        <v>5.9245426869827895</v>
      </c>
      <c r="E55" t="s">
        <v>65</v>
      </c>
      <c r="F55" s="67">
        <f>$F$53*$F$12</f>
        <v>0.43678309630402817</v>
      </c>
      <c r="G55" t="s">
        <v>65</v>
      </c>
    </row>
    <row r="56" spans="1:7" x14ac:dyDescent="0.35">
      <c r="A56" t="s">
        <v>165</v>
      </c>
      <c r="B56" s="67">
        <f>$B$54*$B$13</f>
        <v>51.471456263083944</v>
      </c>
      <c r="C56" t="s">
        <v>65</v>
      </c>
      <c r="D56" s="67">
        <f>$D$54*$D$13</f>
        <v>0.11055841246685952</v>
      </c>
      <c r="E56" t="s">
        <v>65</v>
      </c>
      <c r="F56" s="67">
        <f>$F$54*$F$13</f>
        <v>0.21426311912245127</v>
      </c>
      <c r="G56" t="s">
        <v>65</v>
      </c>
    </row>
    <row r="57" spans="1:7" x14ac:dyDescent="0.35">
      <c r="A57" t="s">
        <v>172</v>
      </c>
      <c r="B57" s="67">
        <f>$B$53*(1-$B$12)</f>
        <v>6.2267002385051944</v>
      </c>
      <c r="C57" t="s">
        <v>65</v>
      </c>
      <c r="D57" s="67">
        <f>$D$53*(1-$D$12)</f>
        <v>17.734842888183518</v>
      </c>
      <c r="E57" t="s">
        <v>65</v>
      </c>
      <c r="F57" s="67">
        <f>$F$53*(1-$F$12)</f>
        <v>1.1515190720742559</v>
      </c>
      <c r="G57" t="s">
        <v>65</v>
      </c>
    </row>
    <row r="58" spans="1:7" x14ac:dyDescent="0.35">
      <c r="A58" t="s">
        <v>173</v>
      </c>
      <c r="B58" s="67">
        <f>$B$54*(1-$B$13)</f>
        <v>154.07740956233829</v>
      </c>
      <c r="C58" t="s">
        <v>65</v>
      </c>
      <c r="D58" s="67">
        <f>$D$54*(1-$D$13)</f>
        <v>269.65654395200511</v>
      </c>
      <c r="E58" t="s">
        <v>65</v>
      </c>
      <c r="F58" s="67">
        <f>$F$54*(1-$F$13)</f>
        <v>8.2180298482904526</v>
      </c>
      <c r="G58" t="s">
        <v>65</v>
      </c>
    </row>
    <row r="59" spans="1:7" x14ac:dyDescent="0.35">
      <c r="A59" t="s">
        <v>166</v>
      </c>
      <c r="B59" s="67">
        <f>B43*N16/$N$14/$N$15</f>
        <v>0.21572871430970589</v>
      </c>
      <c r="C59" t="s">
        <v>95</v>
      </c>
      <c r="D59" s="67">
        <f>D43*N16/$N$14/$N$15</f>
        <v>0.35832478166875198</v>
      </c>
      <c r="E59" t="s">
        <v>95</v>
      </c>
      <c r="F59" s="67">
        <f>F43*N16/$N$14/$N$15</f>
        <v>1.1624535724752931E-2</v>
      </c>
      <c r="G59" t="s">
        <v>95</v>
      </c>
    </row>
    <row r="60" spans="1:7" x14ac:dyDescent="0.35">
      <c r="A60" t="s">
        <v>167</v>
      </c>
      <c r="B60" s="67">
        <f>B44*N16/$N$14/$N$15</f>
        <v>1.8159557498724765</v>
      </c>
      <c r="C60" t="s">
        <v>95</v>
      </c>
      <c r="D60" s="67">
        <f>D44*N16/$N$14/$N$15</f>
        <v>3.384657131260508</v>
      </c>
      <c r="E60" t="s">
        <v>95</v>
      </c>
      <c r="F60" s="67">
        <f>F44*N16/$N$14/$N$15</f>
        <v>6.1714636416669889E-2</v>
      </c>
      <c r="G60" t="s">
        <v>95</v>
      </c>
    </row>
    <row r="61" spans="1:7" x14ac:dyDescent="0.35">
      <c r="A61" t="s">
        <v>168</v>
      </c>
      <c r="B61" s="67">
        <f>$B$59*B12*6</f>
        <v>0.9643073529643853</v>
      </c>
      <c r="C61" t="s">
        <v>65</v>
      </c>
      <c r="D61" s="67">
        <f>$D$59*D12*6</f>
        <v>0.53836828299427719</v>
      </c>
      <c r="E61" t="s">
        <v>65</v>
      </c>
      <c r="F61" s="67">
        <f>$F$59*F12*6</f>
        <v>1.9180483945842337E-2</v>
      </c>
      <c r="G61" t="s">
        <v>65</v>
      </c>
    </row>
    <row r="62" spans="1:7" x14ac:dyDescent="0.35">
      <c r="A62" t="s">
        <v>169</v>
      </c>
      <c r="B62" s="67">
        <f>$B$60*B13*6</f>
        <v>2.7283990085737559</v>
      </c>
      <c r="C62" t="s">
        <v>65</v>
      </c>
      <c r="D62" s="67">
        <f>$D$60*D13*6</f>
        <v>8.3227861936529188E-3</v>
      </c>
      <c r="E62" t="s">
        <v>65</v>
      </c>
      <c r="F62" s="67">
        <f>$F$60*F13*6</f>
        <v>9.4089500058255338E-3</v>
      </c>
      <c r="G62" t="s">
        <v>65</v>
      </c>
    </row>
    <row r="63" spans="1:7" x14ac:dyDescent="0.35">
      <c r="A63" t="s">
        <v>170</v>
      </c>
      <c r="B63" s="67">
        <f>$B$59*(1-B12)*4</f>
        <v>0.2200432885959</v>
      </c>
      <c r="C63" t="s">
        <v>65</v>
      </c>
      <c r="D63" s="67">
        <f>$D$59*(1-D12)*4</f>
        <v>1.0743869380121565</v>
      </c>
      <c r="E63" t="s">
        <v>65</v>
      </c>
      <c r="F63" s="67">
        <f>$F$59*(1-F12)*4</f>
        <v>3.3711153601783499E-2</v>
      </c>
      <c r="G63" t="s">
        <v>65</v>
      </c>
    </row>
    <row r="64" spans="1:7" x14ac:dyDescent="0.35">
      <c r="A64" t="s">
        <v>171</v>
      </c>
      <c r="B64" s="67">
        <f>$B$60*(1-B13)*4</f>
        <v>5.4448903271074025</v>
      </c>
      <c r="C64" t="s">
        <v>65</v>
      </c>
      <c r="D64" s="67">
        <f>$D$60*(1-D13)*4</f>
        <v>13.53308000091293</v>
      </c>
      <c r="E64" t="s">
        <v>65</v>
      </c>
      <c r="F64" s="67">
        <f>$F$60*(1-F13)*4</f>
        <v>0.24058591232946255</v>
      </c>
      <c r="G64" t="s">
        <v>65</v>
      </c>
    </row>
    <row r="66" spans="1:9" x14ac:dyDescent="0.35">
      <c r="A66" t="s">
        <v>174</v>
      </c>
      <c r="B66" s="67">
        <f>B55+B56+B61+B62</f>
        <v>73.355894693980403</v>
      </c>
      <c r="C66" t="s">
        <v>65</v>
      </c>
      <c r="D66" s="67">
        <f>D55+D56+D61+D62</f>
        <v>6.5817921686375795</v>
      </c>
      <c r="E66" t="s">
        <v>65</v>
      </c>
      <c r="F66" s="67">
        <f>F55+F56+F61+F62</f>
        <v>0.67963564937814736</v>
      </c>
      <c r="G66" t="s">
        <v>65</v>
      </c>
      <c r="H66" s="83"/>
      <c r="I66" s="75">
        <f>B66+D66+F66</f>
        <v>80.617322511996122</v>
      </c>
    </row>
    <row r="67" spans="1:9" x14ac:dyDescent="0.35">
      <c r="A67" t="s">
        <v>175</v>
      </c>
      <c r="B67" s="67">
        <f>B57+B58+B63+B64</f>
        <v>165.96904341654678</v>
      </c>
      <c r="C67" t="s">
        <v>65</v>
      </c>
      <c r="D67" s="67">
        <f>D57+D58+D63+D64</f>
        <v>301.99885377911369</v>
      </c>
      <c r="E67" t="s">
        <v>65</v>
      </c>
      <c r="F67" s="67">
        <f>F57+F58+F63+F64</f>
        <v>9.6438459862959558</v>
      </c>
      <c r="G67" t="s">
        <v>65</v>
      </c>
      <c r="H67" s="83"/>
      <c r="I67" s="76">
        <f>B67+D67+F67</f>
        <v>477.61174318195646</v>
      </c>
    </row>
    <row r="68" spans="1:9" x14ac:dyDescent="0.35">
      <c r="H68" s="84"/>
    </row>
  </sheetData>
  <mergeCells count="3">
    <mergeCell ref="A7:C7"/>
    <mergeCell ref="D7:E7"/>
    <mergeCell ref="F7:G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tabSelected="1" topLeftCell="A64" zoomScale="85" zoomScaleNormal="85" workbookViewId="0">
      <selection activeCell="A2" sqref="A2:F6"/>
    </sheetView>
  </sheetViews>
  <sheetFormatPr defaultColWidth="11" defaultRowHeight="15.5" x14ac:dyDescent="0.35"/>
  <cols>
    <col min="1" max="1" width="37.08203125" customWidth="1"/>
    <col min="2" max="2" width="12.08203125" style="65" customWidth="1"/>
    <col min="3" max="4" width="11.58203125" customWidth="1"/>
    <col min="5" max="5" width="13.5" customWidth="1"/>
    <col min="6" max="6" width="12.83203125" customWidth="1"/>
    <col min="7" max="7" width="21" customWidth="1"/>
    <col min="8" max="8" width="11" bestFit="1" customWidth="1"/>
    <col min="10" max="10" width="12.5" bestFit="1" customWidth="1"/>
    <col min="11" max="11" width="11" bestFit="1" customWidth="1"/>
    <col min="13" max="13" width="32" customWidth="1"/>
    <col min="14" max="14" width="12.5" bestFit="1" customWidth="1"/>
  </cols>
  <sheetData>
    <row r="2" spans="1:15" x14ac:dyDescent="0.35">
      <c r="A2" s="85" t="s">
        <v>186</v>
      </c>
      <c r="B2" s="78">
        <f>'[1]баланс тритий'!$B$204+'[1]баланс дейтерий'!$B$204</f>
        <v>1.6219035874233286E+22</v>
      </c>
      <c r="C2" t="s">
        <v>139</v>
      </c>
      <c r="F2" s="78">
        <f>'[3]поэлементый расчет систем'!$G$358+'[3]поэлементый расчет систем'!$I$358</f>
        <v>1.2376695252319463E+22</v>
      </c>
      <c r="G2" t="s">
        <v>139</v>
      </c>
      <c r="M2" t="s">
        <v>10</v>
      </c>
      <c r="N2">
        <f>LN(2)/(4500*24*3600)</f>
        <v>1.782785958230312E-9</v>
      </c>
    </row>
    <row r="3" spans="1:15" x14ac:dyDescent="0.35">
      <c r="B3" s="80">
        <f>B2*(1/2*1.38E-23*300)</f>
        <v>33.573404259662901</v>
      </c>
      <c r="C3" s="79" t="s">
        <v>185</v>
      </c>
      <c r="F3" s="80">
        <f>F2*(1/2*1.38E-23*300)</f>
        <v>25.61975917230129</v>
      </c>
      <c r="G3" s="79" t="s">
        <v>185</v>
      </c>
      <c r="M3" t="s">
        <v>11</v>
      </c>
      <c r="N3">
        <f>6.02214076*10^23</f>
        <v>6.0221407599999999E+23</v>
      </c>
    </row>
    <row r="4" spans="1:15" x14ac:dyDescent="0.35">
      <c r="B4" s="73">
        <f>B3/101325/0.0224</f>
        <v>1.4792131163715985E-2</v>
      </c>
      <c r="C4" t="s">
        <v>140</v>
      </c>
      <c r="E4" s="65"/>
      <c r="F4" s="73">
        <f>F3/101325/0.0224</f>
        <v>1.1287828756609429E-2</v>
      </c>
      <c r="G4" t="s">
        <v>140</v>
      </c>
      <c r="M4" t="s">
        <v>12</v>
      </c>
      <c r="N4">
        <v>22</v>
      </c>
    </row>
    <row r="5" spans="1:15" x14ac:dyDescent="0.35">
      <c r="B5" s="80">
        <f>B4*3600</f>
        <v>53.251672189377544</v>
      </c>
      <c r="C5" t="s">
        <v>18</v>
      </c>
      <c r="F5" s="80">
        <f>F4*3600</f>
        <v>40.636183523793946</v>
      </c>
      <c r="G5" t="s">
        <v>18</v>
      </c>
      <c r="M5" t="s">
        <v>13</v>
      </c>
      <c r="N5">
        <f>10^10</f>
        <v>10000000000</v>
      </c>
    </row>
    <row r="6" spans="1:15" x14ac:dyDescent="0.35">
      <c r="B6" s="68">
        <f>B16/(3600/101325/0.0224)</f>
        <v>36.126228371747338</v>
      </c>
      <c r="C6" s="79" t="s">
        <v>185</v>
      </c>
      <c r="M6" t="s">
        <v>14</v>
      </c>
      <c r="N6">
        <f>N5*N4/N2/N3/2</f>
        <v>1.0245722238604596E-4</v>
      </c>
    </row>
    <row r="7" spans="1:15" x14ac:dyDescent="0.35">
      <c r="A7" s="87" t="s">
        <v>146</v>
      </c>
      <c r="B7" s="87"/>
      <c r="C7" s="87"/>
      <c r="D7" s="87" t="s">
        <v>147</v>
      </c>
      <c r="E7" s="87"/>
      <c r="F7" s="86" t="s">
        <v>148</v>
      </c>
      <c r="G7" s="86"/>
      <c r="I7" s="70"/>
      <c r="M7" t="s">
        <v>15</v>
      </c>
      <c r="N7">
        <f>1.3*10^6</f>
        <v>1300000</v>
      </c>
    </row>
    <row r="8" spans="1:15" x14ac:dyDescent="0.35">
      <c r="A8" t="s">
        <v>1</v>
      </c>
      <c r="M8" t="s">
        <v>16</v>
      </c>
      <c r="N8">
        <f>N6/N7</f>
        <v>7.8813247989266128E-11</v>
      </c>
    </row>
    <row r="9" spans="1:15" x14ac:dyDescent="0.35">
      <c r="A9" t="s">
        <v>0</v>
      </c>
      <c r="B9" s="77">
        <v>0.99</v>
      </c>
      <c r="C9" s="65" t="s">
        <v>19</v>
      </c>
      <c r="D9" s="75">
        <f>B11</f>
        <v>0.5</v>
      </c>
      <c r="E9" s="65" t="s">
        <v>19</v>
      </c>
      <c r="F9" s="75">
        <f>B11</f>
        <v>0.5</v>
      </c>
      <c r="G9" s="65" t="s">
        <v>19</v>
      </c>
      <c r="M9" t="s">
        <v>23</v>
      </c>
      <c r="N9">
        <v>1.248</v>
      </c>
    </row>
    <row r="10" spans="1:15" x14ac:dyDescent="0.35">
      <c r="A10" t="s">
        <v>2</v>
      </c>
      <c r="B10" s="74">
        <f>D11</f>
        <v>8.1965722739563184E-4</v>
      </c>
      <c r="C10" s="65" t="s">
        <v>19</v>
      </c>
      <c r="D10" s="65">
        <f>10^-9</f>
        <v>1.0000000000000001E-9</v>
      </c>
      <c r="E10" s="65" t="s">
        <v>19</v>
      </c>
      <c r="F10" s="74">
        <f>D11</f>
        <v>8.1965722739563184E-4</v>
      </c>
      <c r="G10" s="65" t="s">
        <v>19</v>
      </c>
      <c r="M10" t="s">
        <v>142</v>
      </c>
      <c r="N10">
        <f>N9-1</f>
        <v>0.248</v>
      </c>
    </row>
    <row r="11" spans="1:15" x14ac:dyDescent="0.35">
      <c r="A11" t="s">
        <v>181</v>
      </c>
      <c r="B11" s="75">
        <f>'[2]параметры для расчета'!$C$22%</f>
        <v>0.5</v>
      </c>
      <c r="C11" s="65" t="s">
        <v>19</v>
      </c>
      <c r="D11" s="81">
        <f>N35</f>
        <v>8.1965722739563184E-4</v>
      </c>
      <c r="E11" s="65" t="s">
        <v>19</v>
      </c>
      <c r="F11" s="75">
        <v>0.05</v>
      </c>
      <c r="G11" s="65" t="s">
        <v>19</v>
      </c>
      <c r="M11" t="s">
        <v>179</v>
      </c>
      <c r="N11">
        <v>1.4</v>
      </c>
    </row>
    <row r="12" spans="1:15" x14ac:dyDescent="0.35">
      <c r="A12" t="s">
        <v>163</v>
      </c>
      <c r="B12" s="67">
        <f>(B9+B11)/2</f>
        <v>0.745</v>
      </c>
      <c r="C12" s="65" t="s">
        <v>19</v>
      </c>
      <c r="D12" s="67">
        <f>(D9+D11)/2</f>
        <v>0.25040982861369782</v>
      </c>
      <c r="E12" s="65" t="s">
        <v>19</v>
      </c>
      <c r="F12" s="67">
        <f>(F9+F11)/2</f>
        <v>0.27500000000000002</v>
      </c>
      <c r="G12" s="65" t="s">
        <v>19</v>
      </c>
      <c r="M12" t="s">
        <v>180</v>
      </c>
      <c r="N12">
        <f>N11-1</f>
        <v>0.39999999999999991</v>
      </c>
    </row>
    <row r="13" spans="1:15" x14ac:dyDescent="0.35">
      <c r="A13" t="s">
        <v>162</v>
      </c>
      <c r="B13" s="67">
        <f>(B10+B11)/2</f>
        <v>0.25040982861369782</v>
      </c>
      <c r="C13" s="65" t="s">
        <v>19</v>
      </c>
      <c r="D13" s="67">
        <f>(D10+D11)/2</f>
        <v>4.0982911369781593E-4</v>
      </c>
      <c r="E13" s="65" t="s">
        <v>19</v>
      </c>
      <c r="F13" s="67">
        <f>(F10+F11)/2</f>
        <v>2.5409828613697817E-2</v>
      </c>
      <c r="G13" s="65" t="s">
        <v>19</v>
      </c>
      <c r="M13" t="s">
        <v>27</v>
      </c>
      <c r="N13">
        <v>0.06</v>
      </c>
      <c r="O13" t="s">
        <v>60</v>
      </c>
    </row>
    <row r="14" spans="1:15" x14ac:dyDescent="0.35">
      <c r="A14" t="s">
        <v>182</v>
      </c>
      <c r="B14" s="75">
        <f>B16*((B11-B10)/(B9-B10))</f>
        <v>28.916284603374901</v>
      </c>
      <c r="C14" t="s">
        <v>18</v>
      </c>
      <c r="D14" s="65">
        <f>D16*(D11-D10)/(D9-D10)</f>
        <v>4.5536457168608026E-2</v>
      </c>
      <c r="E14" t="s">
        <v>18</v>
      </c>
      <c r="F14" s="65">
        <f>F16*(F11-F10)/(F9-F10)</f>
        <v>4.0035659729113933</v>
      </c>
      <c r="G14" t="s">
        <v>18</v>
      </c>
      <c r="M14" t="s">
        <v>52</v>
      </c>
      <c r="N14">
        <v>8.31</v>
      </c>
    </row>
    <row r="15" spans="1:15" x14ac:dyDescent="0.35">
      <c r="A15" t="s">
        <v>183</v>
      </c>
      <c r="B15" s="76">
        <f>B16-B14</f>
        <v>28.384490016082648</v>
      </c>
      <c r="C15" t="s">
        <v>18</v>
      </c>
      <c r="D15" s="65">
        <f>D16-D14</f>
        <v>27.73224132060917</v>
      </c>
      <c r="E15" t="s">
        <v>18</v>
      </c>
      <c r="F15" s="65">
        <f>F16-F14</f>
        <v>36.63261755088255</v>
      </c>
      <c r="G15" t="s">
        <v>18</v>
      </c>
      <c r="M15" t="s">
        <v>53</v>
      </c>
      <c r="N15">
        <v>20</v>
      </c>
    </row>
    <row r="16" spans="1:15" x14ac:dyDescent="0.35">
      <c r="A16" t="s">
        <v>184</v>
      </c>
      <c r="B16" s="67">
        <f>B5+D14+F14</f>
        <v>57.300774619457549</v>
      </c>
      <c r="C16" t="s">
        <v>18</v>
      </c>
      <c r="D16" s="65">
        <f>P35</f>
        <v>27.777777777777779</v>
      </c>
      <c r="E16" t="s">
        <v>18</v>
      </c>
      <c r="F16" s="82">
        <f>F5</f>
        <v>40.636183523793946</v>
      </c>
      <c r="G16" t="s">
        <v>18</v>
      </c>
      <c r="M16" t="s">
        <v>54</v>
      </c>
      <c r="N16">
        <f>101325</f>
        <v>101325</v>
      </c>
    </row>
    <row r="17" spans="1:15" x14ac:dyDescent="0.35">
      <c r="A17" t="s">
        <v>35</v>
      </c>
      <c r="B17" s="65">
        <f>1+$N$10*(1-B11)/(1-$N$9*(B10/B11)+$N$10*B10)</f>
        <v>1.1242289028654553</v>
      </c>
      <c r="C17" s="66" t="s">
        <v>141</v>
      </c>
      <c r="D17" s="65">
        <f>1+$N$12*(1-D11)/(1-$N$11*(D10/D11)+$N$12*D10)</f>
        <v>1.3996728196027608</v>
      </c>
      <c r="E17" s="66" t="s">
        <v>141</v>
      </c>
      <c r="F17" s="65">
        <f>1+$N$10*(1-F11)/(1-$N$9*(F10/F11)+$N$10*F10)</f>
        <v>1.2404708253992016</v>
      </c>
      <c r="G17" s="66" t="s">
        <v>141</v>
      </c>
      <c r="M17" t="s">
        <v>55</v>
      </c>
      <c r="N17">
        <v>0.2</v>
      </c>
      <c r="O17" t="s">
        <v>56</v>
      </c>
    </row>
    <row r="18" spans="1:15" x14ac:dyDescent="0.35">
      <c r="A18" t="s">
        <v>36</v>
      </c>
      <c r="B18" s="65">
        <f>1-($N$9-1)*(1-B11)/((B9*$N$9/B11)-1-(($N$9-1)*B9))</f>
        <v>0.89881846073503491</v>
      </c>
      <c r="C18" s="66" t="s">
        <v>141</v>
      </c>
      <c r="D18" s="65">
        <f>1-($N$11-1)*(1-D11)/((D9*$N$11/D11)-1-(($N$11-1)*D9))</f>
        <v>0.99953134983605307</v>
      </c>
      <c r="E18" s="66" t="s">
        <v>141</v>
      </c>
      <c r="F18" s="65">
        <f>1-($N$9-1)*(1-F11)/((F9*$N$9/F11)-1-(($N$9-1)*F9))</f>
        <v>0.97925325818950337</v>
      </c>
      <c r="G18" s="66" t="s">
        <v>141</v>
      </c>
      <c r="M18" t="s">
        <v>59</v>
      </c>
      <c r="N18">
        <v>3.14</v>
      </c>
    </row>
    <row r="19" spans="1:15" x14ac:dyDescent="0.35">
      <c r="A19" t="s">
        <v>143</v>
      </c>
      <c r="B19" s="65">
        <f>B15/(B17-1)</f>
        <v>228.48539559931675</v>
      </c>
      <c r="C19" t="s">
        <v>18</v>
      </c>
      <c r="D19" s="65">
        <f>D15/(D17-1)</f>
        <v>69.387358760529551</v>
      </c>
      <c r="E19" t="s">
        <v>18</v>
      </c>
      <c r="F19" s="65">
        <f>F15/(F17-1)</f>
        <v>152.33705581568722</v>
      </c>
      <c r="G19" t="s">
        <v>18</v>
      </c>
    </row>
    <row r="20" spans="1:15" x14ac:dyDescent="0.35">
      <c r="A20" t="s">
        <v>144</v>
      </c>
      <c r="B20" s="65">
        <f>B14/(1-B18)</f>
        <v>285.7861702187742</v>
      </c>
      <c r="C20" t="s">
        <v>18</v>
      </c>
      <c r="D20" s="65">
        <f>D14/(1-D18)</f>
        <v>97.165136538317569</v>
      </c>
      <c r="E20" t="s">
        <v>18</v>
      </c>
      <c r="F20" s="65">
        <f>F14/(1-F18)</f>
        <v>192.97323933948149</v>
      </c>
      <c r="G20" t="s">
        <v>18</v>
      </c>
    </row>
    <row r="21" spans="1:15" x14ac:dyDescent="0.35">
      <c r="A21" t="s">
        <v>37</v>
      </c>
      <c r="B21" s="67">
        <v>0.8</v>
      </c>
      <c r="C21" s="66" t="s">
        <v>141</v>
      </c>
      <c r="D21" s="67">
        <v>0.8</v>
      </c>
      <c r="E21" s="66" t="s">
        <v>141</v>
      </c>
      <c r="F21" s="67">
        <v>0.8</v>
      </c>
      <c r="G21" s="66" t="s">
        <v>141</v>
      </c>
      <c r="M21" t="s">
        <v>177</v>
      </c>
      <c r="N21">
        <f>0.12*100*100*100</f>
        <v>120000</v>
      </c>
      <c r="O21" t="s">
        <v>109</v>
      </c>
    </row>
    <row r="22" spans="1:15" x14ac:dyDescent="0.35">
      <c r="A22" t="s">
        <v>40</v>
      </c>
      <c r="B22" s="65">
        <f>B19/B21</f>
        <v>285.60674449914592</v>
      </c>
      <c r="C22" t="s">
        <v>18</v>
      </c>
      <c r="D22" s="65">
        <f>D19/D21</f>
        <v>86.734198450661935</v>
      </c>
      <c r="E22" t="s">
        <v>18</v>
      </c>
      <c r="F22" s="65">
        <f>F19/F21</f>
        <v>190.42131976960903</v>
      </c>
      <c r="G22" t="s">
        <v>18</v>
      </c>
      <c r="M22" t="s">
        <v>178</v>
      </c>
      <c r="N22">
        <f>0.07*100*100*100</f>
        <v>70000.000000000015</v>
      </c>
      <c r="O22" t="s">
        <v>109</v>
      </c>
    </row>
    <row r="23" spans="1:15" x14ac:dyDescent="0.35">
      <c r="A23" t="s">
        <v>41</v>
      </c>
      <c r="B23" s="65">
        <f>B20/B21</f>
        <v>357.23271277346771</v>
      </c>
      <c r="C23" t="s">
        <v>18</v>
      </c>
      <c r="D23" s="65">
        <f>D20/D21</f>
        <v>121.45642067289695</v>
      </c>
      <c r="E23" t="s">
        <v>18</v>
      </c>
      <c r="F23" s="65">
        <f>F20/F21</f>
        <v>241.21654917435185</v>
      </c>
      <c r="G23" t="s">
        <v>18</v>
      </c>
      <c r="M23" t="s">
        <v>116</v>
      </c>
      <c r="N23">
        <f>2/0.0224</f>
        <v>89.285714285714292</v>
      </c>
      <c r="O23" t="s">
        <v>109</v>
      </c>
    </row>
    <row r="24" spans="1:15" x14ac:dyDescent="0.35">
      <c r="A24" t="s">
        <v>42</v>
      </c>
      <c r="B24" s="65">
        <f>(B21*(B17-1))+1</f>
        <v>1.0993831222923642</v>
      </c>
      <c r="D24" s="65">
        <f>(D21*(D17-1))+1</f>
        <v>1.3197382556822086</v>
      </c>
      <c r="F24" s="65">
        <f>(F21*(F17-1))+1</f>
        <v>1.1923766603193613</v>
      </c>
      <c r="H24" s="65"/>
      <c r="N24">
        <f>0.5*N21/N23</f>
        <v>672</v>
      </c>
    </row>
    <row r="25" spans="1:15" x14ac:dyDescent="0.35">
      <c r="A25" t="s">
        <v>43</v>
      </c>
      <c r="B25" s="65">
        <f>1-B21*(1-B18)</f>
        <v>0.91905476858802793</v>
      </c>
      <c r="D25" s="65">
        <f>1-D21*(1-D18)</f>
        <v>0.99962507986884241</v>
      </c>
      <c r="F25" s="65">
        <f>1-F21*(1-F18)</f>
        <v>0.98340260655160272</v>
      </c>
      <c r="M25" t="s">
        <v>151</v>
      </c>
    </row>
    <row r="26" spans="1:15" x14ac:dyDescent="0.35">
      <c r="A26" t="s">
        <v>44</v>
      </c>
      <c r="B26" s="65">
        <f>B24*B22</f>
        <v>313.99123451522854</v>
      </c>
      <c r="C26" t="s">
        <v>18</v>
      </c>
      <c r="D26" s="65">
        <f>D24*D22</f>
        <v>114.4664397712711</v>
      </c>
      <c r="E26" t="s">
        <v>18</v>
      </c>
      <c r="F26" s="65">
        <f>F24*F22</f>
        <v>227.05393732049157</v>
      </c>
      <c r="G26" t="s">
        <v>18</v>
      </c>
      <c r="M26" t="s">
        <v>155</v>
      </c>
      <c r="N26">
        <f>2*10^-3</f>
        <v>2E-3</v>
      </c>
      <c r="O26" t="s">
        <v>60</v>
      </c>
    </row>
    <row r="27" spans="1:15" x14ac:dyDescent="0.35">
      <c r="A27" t="s">
        <v>45</v>
      </c>
      <c r="B27" s="65">
        <f>B25*B23</f>
        <v>328.31642817009282</v>
      </c>
      <c r="C27" t="s">
        <v>18</v>
      </c>
      <c r="D27" s="65">
        <f>D25*D23</f>
        <v>121.41088421572834</v>
      </c>
      <c r="E27" t="s">
        <v>18</v>
      </c>
      <c r="F27" s="65">
        <f>F25*F23</f>
        <v>237.21298320144047</v>
      </c>
      <c r="G27" t="s">
        <v>18</v>
      </c>
      <c r="M27" t="s">
        <v>152</v>
      </c>
      <c r="N27">
        <v>0.82</v>
      </c>
    </row>
    <row r="28" spans="1:15" x14ac:dyDescent="0.35">
      <c r="A28" t="s">
        <v>44</v>
      </c>
      <c r="B28" s="65">
        <f>(B26*$N$14*$N$15/$N$16)/3600</f>
        <v>1.4306369267327626E-4</v>
      </c>
      <c r="C28" t="s">
        <v>57</v>
      </c>
      <c r="D28" s="65">
        <f>(D26*$N$14*$N$15/$N$16)/3600</f>
        <v>5.2154295281918073E-5</v>
      </c>
      <c r="E28" t="s">
        <v>57</v>
      </c>
      <c r="F28" s="65">
        <f>(F26*$N$14*$N$15/$N$16)/3600</f>
        <v>1.0345248891812841E-4</v>
      </c>
      <c r="G28" t="s">
        <v>57</v>
      </c>
      <c r="M28" t="s">
        <v>153</v>
      </c>
      <c r="N28">
        <v>3500</v>
      </c>
      <c r="O28" t="s">
        <v>154</v>
      </c>
    </row>
    <row r="29" spans="1:15" x14ac:dyDescent="0.35">
      <c r="A29" t="s">
        <v>45</v>
      </c>
      <c r="B29" s="65">
        <f>(B27*$N$14*$N$15/$N$16)/3600</f>
        <v>1.4959067456717776E-4</v>
      </c>
      <c r="C29" t="s">
        <v>57</v>
      </c>
      <c r="D29" s="65">
        <f>(D27*$N$14*$N$15/$N$16)/3600</f>
        <v>5.5318389551372233E-5</v>
      </c>
      <c r="E29" t="s">
        <v>57</v>
      </c>
      <c r="F29" s="65">
        <f>(F27*$N$14*$N$15/$N$16)/3600</f>
        <v>1.0808125067324452E-4</v>
      </c>
      <c r="G29" t="s">
        <v>57</v>
      </c>
    </row>
    <row r="30" spans="1:15" x14ac:dyDescent="0.35">
      <c r="A30" t="s">
        <v>145</v>
      </c>
      <c r="B30" s="65">
        <f>B11/B10</f>
        <v>610.01109157384417</v>
      </c>
      <c r="C30" s="66" t="s">
        <v>141</v>
      </c>
      <c r="D30" s="65">
        <f>D11/D10</f>
        <v>819657.22739563184</v>
      </c>
      <c r="E30" s="66" t="s">
        <v>141</v>
      </c>
      <c r="F30" s="65">
        <f>F11/F10</f>
        <v>61.00110915738442</v>
      </c>
      <c r="G30" s="66" t="s">
        <v>141</v>
      </c>
    </row>
    <row r="31" spans="1:15" x14ac:dyDescent="0.35">
      <c r="A31" t="s">
        <v>48</v>
      </c>
      <c r="B31" s="65">
        <f>B9/B11</f>
        <v>1.98</v>
      </c>
      <c r="C31" s="66" t="s">
        <v>141</v>
      </c>
      <c r="D31" s="65">
        <f>D9/D11</f>
        <v>610.01109157384417</v>
      </c>
      <c r="E31" s="66" t="s">
        <v>141</v>
      </c>
      <c r="F31" s="65">
        <f>F9/F11</f>
        <v>10</v>
      </c>
      <c r="G31" s="66" t="s">
        <v>141</v>
      </c>
    </row>
    <row r="32" spans="1:15" x14ac:dyDescent="0.35">
      <c r="A32" t="s">
        <v>47</v>
      </c>
      <c r="B32" s="68">
        <f>LN((B31-B21)/(1-B21))/LN($N$9/B25)</f>
        <v>5.8014110797219383</v>
      </c>
      <c r="C32" t="s">
        <v>176</v>
      </c>
      <c r="D32" s="68">
        <f>LN((D31-D21)/(1-D21))/LN($N$11/D25)</f>
        <v>23.813771038777062</v>
      </c>
      <c r="E32" t="s">
        <v>176</v>
      </c>
      <c r="F32" s="68">
        <f>LN((F31-F21)/(1-F21))/LN(N9/F25)</f>
        <v>16.067896482119355</v>
      </c>
      <c r="G32" t="s">
        <v>176</v>
      </c>
    </row>
    <row r="33" spans="1:18" x14ac:dyDescent="0.35">
      <c r="A33" s="71" t="s">
        <v>49</v>
      </c>
      <c r="B33" s="72">
        <f>LN((B30 /$N$9))/LN($N$9/B24)</f>
        <v>48.834972392550711</v>
      </c>
      <c r="C33" s="71" t="s">
        <v>176</v>
      </c>
      <c r="D33" s="72">
        <f>LN((D30 /$N$11))/LN($N$11/D24)</f>
        <v>224.93964719167138</v>
      </c>
      <c r="E33" s="71" t="s">
        <v>176</v>
      </c>
      <c r="F33" s="72">
        <f>LN((F30 /$N$9))/LN($N$9/F24)</f>
        <v>85.30442960084423</v>
      </c>
      <c r="G33" s="71" t="s">
        <v>176</v>
      </c>
      <c r="M33" s="1" t="s">
        <v>17</v>
      </c>
      <c r="N33" s="1"/>
      <c r="O33" s="1"/>
      <c r="P33" s="1"/>
      <c r="Q33" s="1"/>
      <c r="R33" s="1" t="s">
        <v>25</v>
      </c>
    </row>
    <row r="34" spans="1:18" x14ac:dyDescent="0.35">
      <c r="A34" t="s">
        <v>149</v>
      </c>
      <c r="B34" s="68">
        <f>B32*$N$13</f>
        <v>0.34808466478331629</v>
      </c>
      <c r="C34" t="s">
        <v>60</v>
      </c>
      <c r="D34" s="68">
        <f>D32*$N$13</f>
        <v>1.4288262623266237</v>
      </c>
      <c r="E34" t="s">
        <v>60</v>
      </c>
      <c r="F34" s="68">
        <f>F32*$N$13</f>
        <v>0.96407378892716133</v>
      </c>
      <c r="G34" t="s">
        <v>60</v>
      </c>
      <c r="M34" s="1" t="s">
        <v>29</v>
      </c>
      <c r="N34" s="1" t="s">
        <v>19</v>
      </c>
      <c r="O34" s="1" t="s">
        <v>30</v>
      </c>
      <c r="P34" s="1" t="s">
        <v>18</v>
      </c>
      <c r="Q34" s="1" t="s">
        <v>31</v>
      </c>
      <c r="R34" s="1"/>
    </row>
    <row r="35" spans="1:18" x14ac:dyDescent="0.35">
      <c r="A35" t="s">
        <v>150</v>
      </c>
      <c r="B35" s="68">
        <f>B33*$N$13</f>
        <v>2.9300983435530426</v>
      </c>
      <c r="C35" t="s">
        <v>60</v>
      </c>
      <c r="D35" s="68">
        <f>D33*$N$13</f>
        <v>13.496378831500282</v>
      </c>
      <c r="E35" t="s">
        <v>60</v>
      </c>
      <c r="F35" s="68">
        <f>F33*$N$13</f>
        <v>5.118265776050654</v>
      </c>
      <c r="G35" t="s">
        <v>60</v>
      </c>
      <c r="M35" s="1" t="s">
        <v>0</v>
      </c>
      <c r="N35" s="5">
        <v>8.1965722739563184E-4</v>
      </c>
      <c r="O35" s="1" t="s">
        <v>4</v>
      </c>
      <c r="P35" s="6">
        <v>27.777777777777779</v>
      </c>
      <c r="Q35" s="1" t="s">
        <v>33</v>
      </c>
      <c r="R35" s="7"/>
    </row>
    <row r="36" spans="1:18" x14ac:dyDescent="0.35">
      <c r="A36" t="s">
        <v>75</v>
      </c>
      <c r="B36" s="65">
        <f>B29/$N$17</f>
        <v>7.4795337283588878E-4</v>
      </c>
      <c r="C36" t="s">
        <v>58</v>
      </c>
      <c r="D36" s="65">
        <f>D29/$N$17</f>
        <v>2.7659194775686113E-4</v>
      </c>
      <c r="E36" t="s">
        <v>58</v>
      </c>
      <c r="F36" s="65">
        <f>F29/$N$17</f>
        <v>5.4040625336622254E-4</v>
      </c>
      <c r="G36" t="s">
        <v>58</v>
      </c>
      <c r="M36" s="1" t="s">
        <v>2</v>
      </c>
      <c r="N36" s="5">
        <v>7.8813247989266128E-11</v>
      </c>
      <c r="O36" s="1" t="s">
        <v>5</v>
      </c>
      <c r="P36" s="6">
        <v>194.44444444444446</v>
      </c>
      <c r="Q36" s="1"/>
      <c r="R36" s="1"/>
    </row>
    <row r="37" spans="1:18" x14ac:dyDescent="0.35">
      <c r="A37" t="s">
        <v>77</v>
      </c>
      <c r="B37" s="65">
        <f>SQRT(4*B36/$N$18)</f>
        <v>3.0867569460145843E-2</v>
      </c>
      <c r="C37" t="s">
        <v>60</v>
      </c>
      <c r="D37" s="65">
        <f>SQRT(4*D36/$N$18)</f>
        <v>1.877089316637643E-2</v>
      </c>
      <c r="E37" t="s">
        <v>60</v>
      </c>
      <c r="F37" s="65">
        <f>SQRT(4*F36/$N$18)</f>
        <v>2.6237675380713948E-2</v>
      </c>
      <c r="G37" t="s">
        <v>60</v>
      </c>
      <c r="M37" s="1" t="s">
        <v>3</v>
      </c>
      <c r="N37" s="5">
        <v>1.0245722238604596E-4</v>
      </c>
      <c r="O37" s="1" t="s">
        <v>6</v>
      </c>
      <c r="P37" s="6">
        <v>222.22222222222223</v>
      </c>
      <c r="Q37" s="1"/>
      <c r="R37" s="1"/>
    </row>
    <row r="38" spans="1:18" x14ac:dyDescent="0.35">
      <c r="A38" t="s">
        <v>76</v>
      </c>
      <c r="B38" s="65">
        <f>B28/$N$17</f>
        <v>7.1531846336638123E-4</v>
      </c>
      <c r="C38" t="s">
        <v>58</v>
      </c>
      <c r="D38" s="65">
        <f>D28/$N$17</f>
        <v>2.6077147640959035E-4</v>
      </c>
      <c r="E38" t="s">
        <v>58</v>
      </c>
      <c r="F38" s="65">
        <f>F28/$N$17</f>
        <v>5.1726244459064197E-4</v>
      </c>
      <c r="G38" t="s">
        <v>58</v>
      </c>
    </row>
    <row r="39" spans="1:18" x14ac:dyDescent="0.35">
      <c r="A39" t="s">
        <v>78</v>
      </c>
      <c r="B39" s="65">
        <f>SQRT(4*B38/$N$18)</f>
        <v>3.01866478976178E-2</v>
      </c>
      <c r="C39" t="s">
        <v>60</v>
      </c>
      <c r="D39" s="65">
        <f>SQRT(4*D38/$N$18)</f>
        <v>1.8226161515225745E-2</v>
      </c>
      <c r="E39" t="s">
        <v>60</v>
      </c>
      <c r="F39" s="65">
        <f>SQRT(4*F38/$N$18)</f>
        <v>2.5669691280456389E-2</v>
      </c>
      <c r="G39" t="s">
        <v>60</v>
      </c>
    </row>
    <row r="40" spans="1:18" x14ac:dyDescent="0.35">
      <c r="A40" t="s">
        <v>73</v>
      </c>
      <c r="B40" s="65">
        <f>B37/$N$27</f>
        <v>3.7643377390421763E-2</v>
      </c>
      <c r="C40" t="s">
        <v>60</v>
      </c>
      <c r="D40" s="65">
        <f>D37/$N$27</f>
        <v>2.2891333129727354E-2</v>
      </c>
      <c r="E40" t="s">
        <v>60</v>
      </c>
      <c r="F40" s="65">
        <f>F37/$N$27</f>
        <v>3.1997165098431646E-2</v>
      </c>
      <c r="G40" t="s">
        <v>60</v>
      </c>
    </row>
    <row r="41" spans="1:18" x14ac:dyDescent="0.35">
      <c r="A41" t="s">
        <v>74</v>
      </c>
      <c r="B41" s="65">
        <f>B39/$N$27</f>
        <v>3.6812985240997319E-2</v>
      </c>
      <c r="C41" t="s">
        <v>60</v>
      </c>
      <c r="D41" s="65">
        <f>D39/$N$27</f>
        <v>2.2227026238080178E-2</v>
      </c>
      <c r="E41" t="s">
        <v>60</v>
      </c>
      <c r="F41" s="65">
        <f>F39/$N$27</f>
        <v>3.130450156153218E-2</v>
      </c>
      <c r="G41" t="s">
        <v>60</v>
      </c>
    </row>
    <row r="42" spans="1:18" x14ac:dyDescent="0.35">
      <c r="A42" t="s">
        <v>50</v>
      </c>
      <c r="B42" s="65">
        <f>MAX(B40:B41)</f>
        <v>3.7643377390421763E-2</v>
      </c>
      <c r="C42" t="s">
        <v>60</v>
      </c>
      <c r="D42" s="65">
        <f>MAX(D40:D41)</f>
        <v>2.2891333129727354E-2</v>
      </c>
      <c r="E42" t="s">
        <v>60</v>
      </c>
      <c r="F42" s="65">
        <f>MAX(F40:F41)</f>
        <v>3.1997165098431646E-2</v>
      </c>
      <c r="G42" t="s">
        <v>60</v>
      </c>
    </row>
    <row r="43" spans="1:18" x14ac:dyDescent="0.35">
      <c r="A43" t="s">
        <v>81</v>
      </c>
      <c r="B43" s="65">
        <f>B34*$N$18*(B42/2)^2</f>
        <v>3.8719675647996902E-4</v>
      </c>
      <c r="C43" t="s">
        <v>62</v>
      </c>
      <c r="D43" s="65">
        <f>D34*$N$18*(D42/2)^2</f>
        <v>5.8774812448405211E-4</v>
      </c>
      <c r="E43" t="s">
        <v>62</v>
      </c>
      <c r="F43" s="65">
        <f>F34*$N$18*(F42/2)^2</f>
        <v>7.7482377192549911E-4</v>
      </c>
      <c r="G43" t="s">
        <v>62</v>
      </c>
    </row>
    <row r="44" spans="1:18" x14ac:dyDescent="0.35">
      <c r="A44" t="s">
        <v>82</v>
      </c>
      <c r="B44" s="65">
        <f>B35*$N$18*(B42/2)^2</f>
        <v>3.2593351261174142E-3</v>
      </c>
      <c r="C44" t="s">
        <v>62</v>
      </c>
      <c r="D44" s="65">
        <f>D35*$N$18*(D42/2)^2</f>
        <v>5.5517396024228616E-3</v>
      </c>
      <c r="E44" t="s">
        <v>62</v>
      </c>
      <c r="F44" s="65">
        <f>F35*$N$18*(F42/2)^2</f>
        <v>4.113537822379677E-3</v>
      </c>
      <c r="G44" t="s">
        <v>62</v>
      </c>
    </row>
    <row r="45" spans="1:18" x14ac:dyDescent="0.35">
      <c r="A45" s="71" t="s">
        <v>156</v>
      </c>
      <c r="B45" s="73">
        <f>B43*0.00038/$N$26</f>
        <v>7.3567383731194127E-5</v>
      </c>
      <c r="C45" s="71" t="s">
        <v>62</v>
      </c>
      <c r="D45" s="73">
        <f>D43*0.00038/$N$26</f>
        <v>1.116721436519699E-4</v>
      </c>
      <c r="E45" s="71" t="s">
        <v>62</v>
      </c>
      <c r="F45" s="73">
        <f>F43*0.00038/$N$26</f>
        <v>1.4721651666584485E-4</v>
      </c>
      <c r="G45" s="71" t="s">
        <v>62</v>
      </c>
    </row>
    <row r="46" spans="1:18" x14ac:dyDescent="0.35">
      <c r="A46" s="71" t="s">
        <v>157</v>
      </c>
      <c r="B46" s="73">
        <f>B44*0.00038/$N$26</f>
        <v>6.1927367396230875E-4</v>
      </c>
      <c r="C46" s="71" t="s">
        <v>62</v>
      </c>
      <c r="D46" s="73">
        <f>D44*0.00038/$N$26</f>
        <v>1.0548305244603437E-3</v>
      </c>
      <c r="E46" s="71" t="s">
        <v>62</v>
      </c>
      <c r="F46" s="73">
        <f>F44*0.00038/$N$26</f>
        <v>7.8157218625213873E-4</v>
      </c>
      <c r="G46" s="71" t="s">
        <v>62</v>
      </c>
    </row>
    <row r="47" spans="1:18" x14ac:dyDescent="0.35">
      <c r="A47" s="71" t="s">
        <v>156</v>
      </c>
      <c r="B47" s="72">
        <f>B45*$N$21</f>
        <v>8.8280860477432945</v>
      </c>
      <c r="C47" s="71" t="s">
        <v>65</v>
      </c>
      <c r="D47" s="72">
        <f>D45*$N$22</f>
        <v>7.8170500556378943</v>
      </c>
      <c r="E47" s="71" t="s">
        <v>65</v>
      </c>
      <c r="F47" s="72">
        <f>F45*$N$21</f>
        <v>17.665981999901383</v>
      </c>
      <c r="G47" s="71" t="s">
        <v>65</v>
      </c>
    </row>
    <row r="48" spans="1:18" x14ac:dyDescent="0.35">
      <c r="A48" s="71" t="s">
        <v>157</v>
      </c>
      <c r="B48" s="72">
        <f>B46*$N$21</f>
        <v>74.31284087547705</v>
      </c>
      <c r="C48" s="71" t="s">
        <v>65</v>
      </c>
      <c r="D48" s="72">
        <f>D46*$N$22</f>
        <v>73.83813671222407</v>
      </c>
      <c r="E48" s="71" t="s">
        <v>65</v>
      </c>
      <c r="F48" s="72">
        <f>F46*$N$21</f>
        <v>93.788662350256644</v>
      </c>
      <c r="G48" s="71" t="s">
        <v>65</v>
      </c>
    </row>
    <row r="49" spans="1:7" x14ac:dyDescent="0.35">
      <c r="A49" s="71" t="s">
        <v>158</v>
      </c>
      <c r="B49" s="73">
        <f>B43*41.8*($N$17/9.82/$N$26/$N$21)^0.5</f>
        <v>1.4909450087541577E-4</v>
      </c>
      <c r="C49" s="71" t="s">
        <v>62</v>
      </c>
      <c r="D49" s="73">
        <f>D43*41.8*($N$17/9.82/$N$26/$N$21)^0.5</f>
        <v>2.2631907885040586E-4</v>
      </c>
      <c r="E49" s="71" t="s">
        <v>62</v>
      </c>
      <c r="F49" s="73">
        <f>F43*41.8*($N$17/9.82/N26/N22)^0.5</f>
        <v>3.9063797004632028E-4</v>
      </c>
      <c r="G49" s="71" t="s">
        <v>62</v>
      </c>
    </row>
    <row r="50" spans="1:7" x14ac:dyDescent="0.35">
      <c r="A50" s="71" t="s">
        <v>159</v>
      </c>
      <c r="B50" s="73">
        <f>B44*41.8*($N$17/9.82/$N$26/$N$21)^0.5</f>
        <v>1.2550439425990543E-3</v>
      </c>
      <c r="C50" s="71" t="s">
        <v>62</v>
      </c>
      <c r="D50" s="73">
        <f>D44*41.8*($N$17/9.82/$N$26/$N$22)^0.5</f>
        <v>2.798985223603541E-3</v>
      </c>
      <c r="E50" s="71" t="s">
        <v>62</v>
      </c>
      <c r="F50" s="73">
        <f>F44*41.8*($N$17/9.82/N26/N22)^0.5</f>
        <v>2.0738961849994259E-3</v>
      </c>
      <c r="G50" s="71" t="s">
        <v>62</v>
      </c>
    </row>
    <row r="51" spans="1:7" x14ac:dyDescent="0.35">
      <c r="A51" s="71" t="s">
        <v>158</v>
      </c>
      <c r="B51" s="72">
        <f>B49*$N$21</f>
        <v>17.891340105049892</v>
      </c>
      <c r="C51" s="71" t="s">
        <v>65</v>
      </c>
      <c r="D51" s="72">
        <f>D49*$N$22</f>
        <v>15.842335519528413</v>
      </c>
      <c r="E51" s="71" t="s">
        <v>65</v>
      </c>
      <c r="F51" s="72">
        <f>F49*$N$21</f>
        <v>46.876556405558432</v>
      </c>
      <c r="G51" s="71" t="s">
        <v>65</v>
      </c>
    </row>
    <row r="52" spans="1:7" x14ac:dyDescent="0.35">
      <c r="A52" s="71" t="s">
        <v>159</v>
      </c>
      <c r="B52" s="72">
        <f>B50*$N$21</f>
        <v>150.60527311188653</v>
      </c>
      <c r="C52" s="71" t="s">
        <v>65</v>
      </c>
      <c r="D52" s="72">
        <f>D50*$N$22</f>
        <v>195.92896565224791</v>
      </c>
      <c r="E52" s="71" t="s">
        <v>65</v>
      </c>
      <c r="F52" s="72">
        <f>F50*$N$21</f>
        <v>248.86754219993111</v>
      </c>
      <c r="G52" s="71" t="s">
        <v>65</v>
      </c>
    </row>
    <row r="53" spans="1:7" x14ac:dyDescent="0.35">
      <c r="A53" t="s">
        <v>160</v>
      </c>
      <c r="B53" s="67">
        <f>B47+B51</f>
        <v>26.719426152793186</v>
      </c>
      <c r="C53" t="s">
        <v>65</v>
      </c>
      <c r="D53" s="67">
        <f>D47+D51</f>
        <v>23.659385575166308</v>
      </c>
      <c r="E53" t="s">
        <v>65</v>
      </c>
      <c r="F53" s="67">
        <f>F47+F51</f>
        <v>64.542538405459823</v>
      </c>
      <c r="G53" t="s">
        <v>65</v>
      </c>
    </row>
    <row r="54" spans="1:7" x14ac:dyDescent="0.35">
      <c r="A54" t="s">
        <v>161</v>
      </c>
      <c r="B54" s="67">
        <f>B48+B52</f>
        <v>224.9181139873636</v>
      </c>
      <c r="C54" t="s">
        <v>65</v>
      </c>
      <c r="D54" s="67">
        <f>D48+D52</f>
        <v>269.76710236447195</v>
      </c>
      <c r="E54" t="s">
        <v>65</v>
      </c>
      <c r="F54" s="67">
        <f>F48+F52</f>
        <v>342.65620455018774</v>
      </c>
      <c r="G54" t="s">
        <v>65</v>
      </c>
    </row>
    <row r="55" spans="1:7" x14ac:dyDescent="0.35">
      <c r="A55" t="s">
        <v>164</v>
      </c>
      <c r="B55" s="67">
        <f>$B$53*$B$12</f>
        <v>19.905972483830922</v>
      </c>
      <c r="C55" t="s">
        <v>65</v>
      </c>
      <c r="D55" s="67">
        <f>$D$53*$D$12</f>
        <v>5.9245426869827895</v>
      </c>
      <c r="E55" t="s">
        <v>65</v>
      </c>
      <c r="F55" s="67">
        <f>$F$53*$F$12</f>
        <v>17.749198061501453</v>
      </c>
      <c r="G55" t="s">
        <v>65</v>
      </c>
    </row>
    <row r="56" spans="1:7" x14ac:dyDescent="0.35">
      <c r="A56" t="s">
        <v>165</v>
      </c>
      <c r="B56" s="67">
        <f>$B$54*$B$13</f>
        <v>56.321706375691868</v>
      </c>
      <c r="C56" t="s">
        <v>65</v>
      </c>
      <c r="D56" s="67">
        <f>$D$54*$D$13</f>
        <v>0.11055841246685952</v>
      </c>
      <c r="E56" t="s">
        <v>65</v>
      </c>
      <c r="F56" s="67">
        <f>$F$54*$F$13</f>
        <v>8.706835431040453</v>
      </c>
      <c r="G56" t="s">
        <v>65</v>
      </c>
    </row>
    <row r="57" spans="1:7" x14ac:dyDescent="0.35">
      <c r="A57" t="s">
        <v>172</v>
      </c>
      <c r="B57" s="67">
        <f>$B$53*(1-$B$12)</f>
        <v>6.8134536689622625</v>
      </c>
      <c r="C57" t="s">
        <v>65</v>
      </c>
      <c r="D57" s="67">
        <f>$D$53*(1-$D$12)</f>
        <v>17.734842888183518</v>
      </c>
      <c r="E57" t="s">
        <v>65</v>
      </c>
      <c r="F57" s="67">
        <f>$F$53*(1-$F$12)</f>
        <v>46.79334034395837</v>
      </c>
      <c r="G57" t="s">
        <v>65</v>
      </c>
    </row>
    <row r="58" spans="1:7" x14ac:dyDescent="0.35">
      <c r="A58" t="s">
        <v>173</v>
      </c>
      <c r="B58" s="67">
        <f>$B$54*(1-$B$13)</f>
        <v>168.59640761167174</v>
      </c>
      <c r="C58" t="s">
        <v>65</v>
      </c>
      <c r="D58" s="67">
        <f>$D$54*(1-$D$13)</f>
        <v>269.65654395200511</v>
      </c>
      <c r="E58" t="s">
        <v>65</v>
      </c>
      <c r="F58" s="67">
        <f>$F$54*(1-$F$13)</f>
        <v>333.94936911914732</v>
      </c>
      <c r="G58" t="s">
        <v>65</v>
      </c>
    </row>
    <row r="59" spans="1:7" x14ac:dyDescent="0.35">
      <c r="A59" t="s">
        <v>166</v>
      </c>
      <c r="B59" s="67">
        <f>B43*N16/$N$14/$N$15</f>
        <v>0.23605722834135295</v>
      </c>
      <c r="C59" t="s">
        <v>95</v>
      </c>
      <c r="D59" s="67">
        <f>D43*N16/$N$14/$N$15</f>
        <v>0.35832478166875198</v>
      </c>
      <c r="E59" t="s">
        <v>95</v>
      </c>
      <c r="F59" s="67">
        <f>F43*N16/$N$14/$N$15</f>
        <v>0.47237676708995907</v>
      </c>
      <c r="G59" t="s">
        <v>95</v>
      </c>
    </row>
    <row r="60" spans="1:7" x14ac:dyDescent="0.35">
      <c r="A60" t="s">
        <v>167</v>
      </c>
      <c r="B60" s="67">
        <f>B44*N16/$N$14/$N$15</f>
        <v>1.9870766044154451</v>
      </c>
      <c r="C60" t="s">
        <v>95</v>
      </c>
      <c r="D60" s="67">
        <f>D44*N16/$N$14/$N$15</f>
        <v>3.384657131260508</v>
      </c>
      <c r="E60" t="s">
        <v>95</v>
      </c>
      <c r="F60" s="67">
        <f>F44*N16/$N$14/$N$15</f>
        <v>2.507847291532014</v>
      </c>
      <c r="G60" t="s">
        <v>95</v>
      </c>
    </row>
    <row r="61" spans="1:7" x14ac:dyDescent="0.35">
      <c r="A61" t="s">
        <v>168</v>
      </c>
      <c r="B61" s="67">
        <f>$B$59*B12*6</f>
        <v>1.0551758106858475</v>
      </c>
      <c r="C61" t="s">
        <v>65</v>
      </c>
      <c r="D61" s="67">
        <f>$D$59*D12*6</f>
        <v>0.53836828299427719</v>
      </c>
      <c r="E61" t="s">
        <v>65</v>
      </c>
      <c r="F61" s="67">
        <f>$F$59*F12*6</f>
        <v>0.77942166569843252</v>
      </c>
      <c r="G61" t="s">
        <v>65</v>
      </c>
    </row>
    <row r="62" spans="1:7" x14ac:dyDescent="0.35">
      <c r="A62" t="s">
        <v>169</v>
      </c>
      <c r="B62" s="67">
        <f>$B$60*B13*6</f>
        <v>2.9855010717237613</v>
      </c>
      <c r="C62" t="s">
        <v>65</v>
      </c>
      <c r="D62" s="67">
        <f>$D$60*D13*6</f>
        <v>8.3227861936529188E-3</v>
      </c>
      <c r="E62" t="s">
        <v>65</v>
      </c>
      <c r="F62" s="67">
        <f>$F$60*F13*6</f>
        <v>0.38234381920292848</v>
      </c>
      <c r="G62" t="s">
        <v>65</v>
      </c>
    </row>
    <row r="63" spans="1:7" x14ac:dyDescent="0.35">
      <c r="A63" t="s">
        <v>170</v>
      </c>
      <c r="B63" s="67">
        <f>$B$59*(1-B12)*4</f>
        <v>0.24077837290818002</v>
      </c>
      <c r="C63" t="s">
        <v>65</v>
      </c>
      <c r="D63" s="67">
        <f>$D$59*(1-D12)*4</f>
        <v>1.0743869380121565</v>
      </c>
      <c r="E63" t="s">
        <v>65</v>
      </c>
      <c r="F63" s="67">
        <f>$F$59*(1-F12)*4</f>
        <v>1.3698926245608813</v>
      </c>
      <c r="G63" t="s">
        <v>65</v>
      </c>
    </row>
    <row r="64" spans="1:7" x14ac:dyDescent="0.35">
      <c r="A64" t="s">
        <v>171</v>
      </c>
      <c r="B64" s="67">
        <f>$B$60*(1-B13)*4</f>
        <v>5.9579723698459404</v>
      </c>
      <c r="C64" t="s">
        <v>65</v>
      </c>
      <c r="D64" s="67">
        <f>$D$60*(1-D13)*4</f>
        <v>13.53308000091293</v>
      </c>
      <c r="E64" t="s">
        <v>65</v>
      </c>
      <c r="F64" s="67">
        <f>$F$60*(1-F13)*4</f>
        <v>9.7764932866594378</v>
      </c>
      <c r="G64" t="s">
        <v>65</v>
      </c>
    </row>
    <row r="66" spans="1:9" x14ac:dyDescent="0.35">
      <c r="A66" t="s">
        <v>174</v>
      </c>
      <c r="B66" s="67">
        <f>B55+B56+B61+B62</f>
        <v>80.26835574193241</v>
      </c>
      <c r="C66" t="s">
        <v>65</v>
      </c>
      <c r="D66" s="67">
        <f>D55+D56+D61+D62</f>
        <v>6.5817921686375795</v>
      </c>
      <c r="E66" t="s">
        <v>65</v>
      </c>
      <c r="F66" s="67">
        <f>F55+F56+F61+F62</f>
        <v>27.617798977443268</v>
      </c>
      <c r="G66" t="s">
        <v>65</v>
      </c>
      <c r="H66" s="83"/>
      <c r="I66" s="75">
        <f>B66+D66+F66</f>
        <v>114.46794688801326</v>
      </c>
    </row>
    <row r="67" spans="1:9" x14ac:dyDescent="0.35">
      <c r="A67" t="s">
        <v>175</v>
      </c>
      <c r="B67" s="67">
        <f>B57+B58+B63+B64</f>
        <v>181.60861202338813</v>
      </c>
      <c r="C67" t="s">
        <v>65</v>
      </c>
      <c r="D67" s="67">
        <f>D57+D58+D63+D64</f>
        <v>301.99885377911369</v>
      </c>
      <c r="E67" t="s">
        <v>65</v>
      </c>
      <c r="F67" s="67">
        <f>F57+F58+F63+F64</f>
        <v>391.88909537432602</v>
      </c>
      <c r="G67" t="s">
        <v>65</v>
      </c>
      <c r="H67" s="83"/>
      <c r="I67" s="76">
        <f>B67+D67+F67</f>
        <v>875.49656117682775</v>
      </c>
    </row>
  </sheetData>
  <mergeCells count="3">
    <mergeCell ref="A7:C7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Сценарий D+T</vt:lpstr>
      <vt:lpstr>Сценарий D+T(loop)</vt:lpstr>
      <vt:lpstr>Сценарий 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Сергей</cp:lastModifiedBy>
  <dcterms:created xsi:type="dcterms:W3CDTF">2021-03-01T13:18:36Z</dcterms:created>
  <dcterms:modified xsi:type="dcterms:W3CDTF">2023-06-23T13:38:29Z</dcterms:modified>
</cp:coreProperties>
</file>